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033FF30A-7CBA-437A-9F21-006CC987B776}" xr6:coauthVersionLast="47" xr6:coauthVersionMax="47" xr10:uidLastSave="{00000000-0000-0000-0000-000000000000}"/>
  <bookViews>
    <workbookView xWindow="-107" yWindow="-107" windowWidth="20847" windowHeight="11111" tabRatio="959" activeTab="9" xr2:uid="{00000000-000D-0000-FFFF-FFFF00000000}"/>
  </bookViews>
  <sheets>
    <sheet name="Carátula" sheetId="20" r:id="rId1"/>
    <sheet name="Balance Clasificado" sheetId="19" r:id="rId2"/>
    <sheet name="Clasificado" sheetId="2" state="hidden" r:id="rId3"/>
    <sheet name="Hoja1" sheetId="37" state="hidden" r:id="rId4"/>
    <sheet name="Estado de Resultados" sheetId="21" r:id="rId5"/>
    <sheet name="Balance 8 Columnas" sheetId="1" r:id="rId6"/>
    <sheet name="EERR Mensual US$" sheetId="26" state="hidden" r:id="rId7"/>
    <sheet name="EERR Mensual $" sheetId="27" r:id="rId8"/>
    <sheet name="ER Centro de Costo" sheetId="23" r:id="rId9"/>
    <sheet name="ER Centro de Costo aperturado" sheetId="39" r:id="rId10"/>
    <sheet name="Patrimonio" sheetId="5" r:id="rId11"/>
    <sheet name="Cajas y Bancos" sheetId="6" r:id="rId12"/>
    <sheet name="Otros Act no Fin" sheetId="9" state="hidden" r:id="rId13"/>
    <sheet name="Derechos de arrendamiento" sheetId="11" r:id="rId14"/>
    <sheet name="Deudores Diversos" sheetId="8" r:id="rId15"/>
    <sheet name="Pagos Anticipados" sheetId="33" r:id="rId16"/>
    <sheet name="Inventarios" sheetId="18" r:id="rId17"/>
    <sheet name="Impuestos a favor" sheetId="10" r:id="rId18"/>
    <sheet name="Activo fijo" sheetId="25" r:id="rId19"/>
    <sheet name="Acreedores diversos (prestamo)" sheetId="17" r:id="rId20"/>
    <sheet name="Acreedores Diversos" sheetId="35" r:id="rId21"/>
    <sheet name="Cuentas por pagar EERR" sheetId="31" r:id="rId22"/>
    <sheet name="Proveedores" sheetId="34" r:id="rId23"/>
    <sheet name="Impuestos nómina" sheetId="36" r:id="rId24"/>
    <sheet name="Otros Pasivos" sheetId="16" r:id="rId25"/>
    <sheet name="IVA por pagar del mes" sheetId="15" r:id="rId26"/>
    <sheet name="Publicidad y Mark" sheetId="28" r:id="rId27"/>
    <sheet name="Sum. Visual" sheetId="30" r:id="rId28"/>
    <sheet name="Finiquitos" sheetId="40" r:id="rId29"/>
  </sheets>
  <definedNames>
    <definedName name="_xlnm._FilterDatabase" localSheetId="18" hidden="1">'Activo fijo'!$B$17:$L$148</definedName>
    <definedName name="_xlnm._FilterDatabase" localSheetId="5" hidden="1">'Balance 8 Columnas'!$A$7:$K$120</definedName>
    <definedName name="_xlnm._FilterDatabase" localSheetId="21" hidden="1">'Cuentas por pagar EERR'!$B$14:$I$342</definedName>
    <definedName name="_xlnm._FilterDatabase" localSheetId="28" hidden="1">Finiquitos!$B$6:$E$8</definedName>
    <definedName name="_xlnm._FilterDatabase" localSheetId="16" hidden="1">Inventarios!$B$93:$S$1882</definedName>
    <definedName name="_xlnm._FilterDatabase" localSheetId="22" hidden="1">Proveedores!$B$17:$F$35</definedName>
    <definedName name="_xlnm._FilterDatabase" localSheetId="26" hidden="1">'Publicidad y Mark'!$B$6:$E$11</definedName>
    <definedName name="_xlnm._FilterDatabase" localSheetId="27" hidden="1">'Sum. Visual'!$B$6:$E$13</definedName>
    <definedName name="_xlnm.Print_Area" localSheetId="20">'Acreedores Diversos'!$B$1:$H$25</definedName>
    <definedName name="_xlnm.Print_Area" localSheetId="19">'Acreedores diversos (prestamo)'!$B$1:$H$51</definedName>
    <definedName name="_xlnm.Print_Area" localSheetId="18">'Activo fijo'!$A$1:$L$245</definedName>
    <definedName name="_xlnm.Print_Area" localSheetId="5">'Balance 8 Columnas'!$A$2:$K$113</definedName>
    <definedName name="_xlnm.Print_Area" localSheetId="1">'Balance Clasificado'!$B$1:$F$47</definedName>
    <definedName name="_xlnm.Print_Area" localSheetId="11">'Cajas y Bancos'!$B$1:$F$53</definedName>
    <definedName name="_xlnm.Print_Area" localSheetId="21">'Cuentas por pagar EERR'!$A$1:$I$339</definedName>
    <definedName name="_xlnm.Print_Area" localSheetId="13">'Derechos de arrendamiento'!$B$1:$D$345</definedName>
    <definedName name="_xlnm.Print_Area" localSheetId="14">'Deudores Diversos'!$B$1:$G$33</definedName>
    <definedName name="_xlnm.Print_Area" localSheetId="7">'EERR Mensual $'!$A$1:$O$73</definedName>
    <definedName name="_xlnm.Print_Area" localSheetId="6">'EERR Mensual US$'!$A$1:$K$91</definedName>
    <definedName name="_xlnm.Print_Area" localSheetId="8">'ER Centro de Costo'!$B$1:$R$78</definedName>
    <definedName name="_xlnm.Print_Area" localSheetId="9">'ER Centro de Costo aperturado'!$B$1:$R$87</definedName>
    <definedName name="_xlnm.Print_Area" localSheetId="4">'Estado de Resultados'!$B$1:$C$29</definedName>
    <definedName name="_xlnm.Print_Area" localSheetId="17">'Impuestos a favor'!$B$1:$D$33</definedName>
    <definedName name="_xlnm.Print_Area" localSheetId="23">'Impuestos nómina'!$A$1:$E$18</definedName>
    <definedName name="_xlnm.Print_Area" localSheetId="16">Inventarios!$B$92:$I$1883</definedName>
    <definedName name="_xlnm.Print_Area" localSheetId="25">'IVA por pagar del mes'!$B$1:$D$13</definedName>
    <definedName name="_xlnm.Print_Area" localSheetId="12">'Otros Act no Fin'!$B$1:$D$22</definedName>
    <definedName name="_xlnm.Print_Area" localSheetId="24">'Otros Pasivos'!$B$1:$D$15</definedName>
    <definedName name="_xlnm.Print_Area" localSheetId="15">'Pagos Anticipados'!$B$1:$G$50</definedName>
    <definedName name="_xlnm.Print_Area" localSheetId="10">Patrimonio!$B$1:$I$8</definedName>
    <definedName name="_xlnm.Print_Area" localSheetId="22">Proveedores!$A$1:$G$56</definedName>
    <definedName name="Balance2005" localSheetId="18">#REF!</definedName>
    <definedName name="Balance2005" localSheetId="7">#REF!</definedName>
    <definedName name="Balance2005" localSheetId="6">#REF!</definedName>
    <definedName name="Balance2005">#REF!</definedName>
    <definedName name="_xlnm.Database" localSheetId="19">#REF!</definedName>
    <definedName name="_xlnm.Database" localSheetId="18">#REF!</definedName>
    <definedName name="_xlnm.Database" localSheetId="13">#REF!</definedName>
    <definedName name="_xlnm.Database" localSheetId="7">#REF!</definedName>
    <definedName name="_xlnm.Database" localSheetId="6">#REF!</definedName>
    <definedName name="_xlnm.Database" localSheetId="17">#REF!</definedName>
    <definedName name="_xlnm.Database" localSheetId="16">#REF!</definedName>
    <definedName name="_xlnm.Database" localSheetId="25">#REF!</definedName>
    <definedName name="_xlnm.Database" localSheetId="12">#REF!</definedName>
    <definedName name="_xlnm.Database" localSheetId="24">#REF!</definedName>
    <definedName name="_xlnm.Database">#REF!</definedName>
    <definedName name="cod" localSheetId="19">#REF!</definedName>
    <definedName name="cod" localSheetId="18">#REF!</definedName>
    <definedName name="cod" localSheetId="13">#REF!</definedName>
    <definedName name="cod" localSheetId="7">#REF!</definedName>
    <definedName name="cod" localSheetId="6">#REF!</definedName>
    <definedName name="cod" localSheetId="17">#REF!</definedName>
    <definedName name="cod" localSheetId="16">#REF!</definedName>
    <definedName name="cod" localSheetId="25">#REF!</definedName>
    <definedName name="cod" localSheetId="12">#REF!</definedName>
    <definedName name="cod" localSheetId="24">#REF!</definedName>
    <definedName name="cod">#REF!</definedName>
    <definedName name="COSTOS" localSheetId="18">#REF!</definedName>
    <definedName name="COSTOS" localSheetId="7">#REF!</definedName>
    <definedName name="COSTOS" localSheetId="6">#REF!</definedName>
    <definedName name="COSTOS">#REF!</definedName>
    <definedName name="datos">#REF!</definedName>
    <definedName name="PJ" localSheetId="18">#REF!</definedName>
    <definedName name="PJ" localSheetId="7">#REF!</definedName>
    <definedName name="PJ" localSheetId="6">#REF!</definedName>
    <definedName name="PJ">#REF!</definedName>
    <definedName name="sumas" localSheetId="19">#REF!</definedName>
    <definedName name="sumas" localSheetId="18">#REF!</definedName>
    <definedName name="sumas" localSheetId="13">#REF!</definedName>
    <definedName name="sumas" localSheetId="7">#REF!</definedName>
    <definedName name="sumas" localSheetId="6">#REF!</definedName>
    <definedName name="sumas" localSheetId="17">#REF!</definedName>
    <definedName name="sumas" localSheetId="16">#REF!</definedName>
    <definedName name="sumas" localSheetId="25">#REF!</definedName>
    <definedName name="sumas" localSheetId="12">#REF!</definedName>
    <definedName name="sumas" localSheetId="24">#REF!</definedName>
    <definedName name="sumas">#REF!</definedName>
    <definedName name="uf" localSheetId="19">#REF!</definedName>
    <definedName name="uf" localSheetId="18">#REF!</definedName>
    <definedName name="uf" localSheetId="11">#REF!</definedName>
    <definedName name="uf" localSheetId="13">#REF!</definedName>
    <definedName name="uf" localSheetId="17">#REF!</definedName>
    <definedName name="uf" localSheetId="16">#REF!</definedName>
    <definedName name="uf" localSheetId="25">#REF!</definedName>
    <definedName name="uf" localSheetId="12">#REF!</definedName>
    <definedName name="uf" localSheetId="24">#REF!</definedName>
    <definedName name="uf" localSheetId="10">#REF!</definedName>
    <definedName name="u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39" l="1"/>
  <c r="L87" i="39" s="1"/>
  <c r="R26" i="39"/>
  <c r="R27" i="39"/>
  <c r="R28" i="39"/>
  <c r="R29" i="39"/>
  <c r="R30" i="39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5" i="39"/>
  <c r="R56" i="39"/>
  <c r="R57" i="39"/>
  <c r="R58" i="39"/>
  <c r="R59" i="39"/>
  <c r="R60" i="39"/>
  <c r="R61" i="39"/>
  <c r="R62" i="39"/>
  <c r="R63" i="39"/>
  <c r="R64" i="39"/>
  <c r="R65" i="39"/>
  <c r="R66" i="39"/>
  <c r="R67" i="39"/>
  <c r="R68" i="39"/>
  <c r="R69" i="39"/>
  <c r="R70" i="39"/>
  <c r="R71" i="39"/>
  <c r="R72" i="39"/>
  <c r="R73" i="39"/>
  <c r="R74" i="39"/>
  <c r="R75" i="39"/>
  <c r="R76" i="39"/>
  <c r="R77" i="39"/>
  <c r="R78" i="39"/>
  <c r="R79" i="39"/>
  <c r="R80" i="39"/>
  <c r="R81" i="39"/>
  <c r="R82" i="39"/>
  <c r="R83" i="39"/>
  <c r="R84" i="39"/>
  <c r="H10" i="23"/>
  <c r="E76" i="23" l="1"/>
  <c r="F76" i="23"/>
  <c r="G76" i="23"/>
  <c r="H76" i="23"/>
  <c r="I76" i="23"/>
  <c r="J76" i="23"/>
  <c r="K76" i="23"/>
  <c r="L76" i="23"/>
  <c r="M76" i="23"/>
  <c r="N76" i="23"/>
  <c r="O76" i="23"/>
  <c r="P76" i="23"/>
  <c r="Q7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5" i="23"/>
  <c r="R66" i="23"/>
  <c r="R67" i="23"/>
  <c r="R68" i="23"/>
  <c r="R69" i="23"/>
  <c r="R70" i="23"/>
  <c r="R71" i="23"/>
  <c r="R72" i="23"/>
  <c r="R73" i="23"/>
  <c r="R74" i="23"/>
  <c r="R75" i="23"/>
  <c r="L8" i="23"/>
  <c r="L12" i="23" s="1"/>
  <c r="E45" i="16"/>
  <c r="L78" i="23" l="1"/>
  <c r="E44" i="33"/>
  <c r="E31" i="16"/>
  <c r="H31" i="5" l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O46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E10" i="28"/>
  <c r="E22" i="33"/>
  <c r="E25" i="33"/>
  <c r="E42" i="33"/>
  <c r="D22" i="35"/>
  <c r="D31" i="10"/>
  <c r="N118" i="1" l="1"/>
  <c r="E60" i="33"/>
  <c r="E59" i="33"/>
  <c r="E58" i="33"/>
  <c r="E57" i="33"/>
  <c r="E56" i="33"/>
  <c r="E55" i="33"/>
  <c r="E62" i="33" l="1"/>
  <c r="D48" i="18"/>
  <c r="D78" i="18"/>
  <c r="E39" i="18" l="1"/>
  <c r="D39" i="18"/>
  <c r="E35" i="18"/>
  <c r="D35" i="18"/>
  <c r="E32" i="18"/>
  <c r="D32" i="18"/>
  <c r="E31" i="18"/>
  <c r="D31" i="18"/>
  <c r="E29" i="18"/>
  <c r="D29" i="18"/>
  <c r="E28" i="18"/>
  <c r="D28" i="18"/>
  <c r="E41" i="16" l="1"/>
  <c r="F25" i="34"/>
  <c r="E33" i="16"/>
  <c r="E11" i="30"/>
  <c r="F48" i="34"/>
  <c r="F45" i="34"/>
  <c r="G237" i="25"/>
  <c r="H237" i="25"/>
  <c r="J237" i="25"/>
  <c r="K237" i="25"/>
  <c r="L237" i="25"/>
  <c r="F237" i="25"/>
  <c r="E19" i="33" l="1"/>
  <c r="F48" i="6"/>
  <c r="H77" i="6"/>
  <c r="F23" i="6" l="1"/>
  <c r="E53" i="17" l="1"/>
  <c r="L320" i="31" l="1"/>
  <c r="L321" i="31"/>
  <c r="L322" i="31"/>
  <c r="L323" i="31"/>
  <c r="D1877" i="18"/>
  <c r="D1878" i="18"/>
  <c r="D1879" i="18"/>
  <c r="D1880" i="18"/>
  <c r="D1876" i="18"/>
  <c r="D320" i="31"/>
  <c r="D321" i="31"/>
  <c r="D322" i="31"/>
  <c r="D323" i="31"/>
  <c r="D23" i="35"/>
  <c r="D21" i="35"/>
  <c r="D60" i="16" l="1"/>
  <c r="F59" i="34" l="1"/>
  <c r="H73" i="27"/>
  <c r="I27" i="18" l="1"/>
  <c r="J27" i="18"/>
  <c r="J15" i="18"/>
  <c r="I15" i="18"/>
  <c r="J41" i="18" l="1"/>
  <c r="I41" i="18"/>
  <c r="E8" i="40" l="1"/>
  <c r="G2" i="40" l="1"/>
  <c r="D242" i="25" l="1"/>
  <c r="D244" i="25" s="1"/>
  <c r="L327" i="31" l="1"/>
  <c r="L328" i="31" s="1"/>
  <c r="F325" i="31"/>
  <c r="D1831" i="18"/>
  <c r="D1832" i="18"/>
  <c r="D1833" i="18"/>
  <c r="D1834" i="18"/>
  <c r="D1835" i="18"/>
  <c r="D1836" i="18"/>
  <c r="D1837" i="18"/>
  <c r="D1838" i="18"/>
  <c r="D1839" i="18"/>
  <c r="D1840" i="18"/>
  <c r="D1841" i="18"/>
  <c r="D1842" i="18"/>
  <c r="D1843" i="18"/>
  <c r="D1844" i="18"/>
  <c r="D1845" i="18"/>
  <c r="D1846" i="18"/>
  <c r="D1847" i="18"/>
  <c r="D1848" i="18"/>
  <c r="D1849" i="18"/>
  <c r="D1850" i="18"/>
  <c r="D1851" i="18"/>
  <c r="D1852" i="18"/>
  <c r="D1853" i="18"/>
  <c r="D1854" i="18"/>
  <c r="D1855" i="18"/>
  <c r="D1856" i="18"/>
  <c r="D1857" i="18"/>
  <c r="D1858" i="18"/>
  <c r="D1859" i="18"/>
  <c r="D1860" i="18"/>
  <c r="D1861" i="18"/>
  <c r="D1862" i="18"/>
  <c r="D1863" i="18"/>
  <c r="D1864" i="18"/>
  <c r="D1865" i="18"/>
  <c r="D1866" i="18"/>
  <c r="D1867" i="18"/>
  <c r="D1868" i="18"/>
  <c r="D1869" i="18"/>
  <c r="D1870" i="18"/>
  <c r="D1871" i="18"/>
  <c r="D1872" i="18"/>
  <c r="D1873" i="18"/>
  <c r="D1874" i="18"/>
  <c r="D1875" i="18"/>
  <c r="D1830" i="18"/>
  <c r="F328" i="31"/>
  <c r="D327" i="31"/>
  <c r="D328" i="31" s="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F23" i="34" l="1"/>
  <c r="E43" i="8" l="1"/>
  <c r="D12" i="8" s="1"/>
  <c r="D76" i="23"/>
  <c r="D172" i="11"/>
  <c r="F148" i="25" l="1"/>
  <c r="D1829" i="18" l="1"/>
  <c r="F46" i="34" l="1"/>
  <c r="L148" i="25" l="1"/>
  <c r="K148" i="25"/>
  <c r="J148" i="25"/>
  <c r="H148" i="25"/>
  <c r="G148" i="25"/>
  <c r="E23" i="33" l="1"/>
  <c r="E26" i="33" l="1"/>
  <c r="D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D74" i="18"/>
  <c r="Q8" i="39"/>
  <c r="P8" i="39"/>
  <c r="O8" i="39"/>
  <c r="K8" i="39"/>
  <c r="J8" i="39"/>
  <c r="H8" i="39"/>
  <c r="R9" i="39"/>
  <c r="N8" i="39"/>
  <c r="N12" i="39" s="1"/>
  <c r="M8" i="39"/>
  <c r="M12" i="39" s="1"/>
  <c r="I8" i="39"/>
  <c r="I12" i="39" s="1"/>
  <c r="G8" i="39"/>
  <c r="F8" i="39"/>
  <c r="F12" i="39" s="1"/>
  <c r="E8" i="39"/>
  <c r="D8" i="39"/>
  <c r="D12" i="39" s="1"/>
  <c r="R92" i="39"/>
  <c r="Q85" i="39"/>
  <c r="P85" i="39"/>
  <c r="O85" i="39"/>
  <c r="N85" i="39"/>
  <c r="M85" i="39"/>
  <c r="K85" i="39"/>
  <c r="J85" i="39"/>
  <c r="I85" i="39"/>
  <c r="H85" i="39"/>
  <c r="G85" i="39"/>
  <c r="F85" i="39"/>
  <c r="E85" i="39"/>
  <c r="D85" i="39"/>
  <c r="R25" i="39"/>
  <c r="R20" i="39"/>
  <c r="R19" i="39"/>
  <c r="R18" i="39"/>
  <c r="Q17" i="39"/>
  <c r="Q21" i="39" s="1"/>
  <c r="P17" i="39"/>
  <c r="P21" i="39" s="1"/>
  <c r="O17" i="39"/>
  <c r="O21" i="39" s="1"/>
  <c r="N17" i="39"/>
  <c r="N21" i="39" s="1"/>
  <c r="M17" i="39"/>
  <c r="M21" i="39" s="1"/>
  <c r="K17" i="39"/>
  <c r="K21" i="39" s="1"/>
  <c r="J17" i="39"/>
  <c r="J21" i="39" s="1"/>
  <c r="I17" i="39"/>
  <c r="I21" i="39" s="1"/>
  <c r="H17" i="39"/>
  <c r="H21" i="39" s="1"/>
  <c r="G17" i="39"/>
  <c r="G21" i="39" s="1"/>
  <c r="F17" i="39"/>
  <c r="E17" i="39"/>
  <c r="E21" i="39" s="1"/>
  <c r="D17" i="39"/>
  <c r="D21" i="39" s="1"/>
  <c r="B3" i="39"/>
  <c r="D87" i="39" l="1"/>
  <c r="M87" i="39"/>
  <c r="I87" i="39"/>
  <c r="N87" i="39"/>
  <c r="E90" i="18"/>
  <c r="Q12" i="39"/>
  <c r="Q87" i="39" s="1"/>
  <c r="K12" i="39"/>
  <c r="K87" i="39" s="1"/>
  <c r="G12" i="39"/>
  <c r="G87" i="39" s="1"/>
  <c r="P12" i="39"/>
  <c r="P87" i="39" s="1"/>
  <c r="O12" i="39"/>
  <c r="O87" i="39" s="1"/>
  <c r="J12" i="39"/>
  <c r="J87" i="39" s="1"/>
  <c r="H12" i="39"/>
  <c r="H87" i="39" s="1"/>
  <c r="R11" i="39"/>
  <c r="E12" i="39"/>
  <c r="E87" i="39" s="1"/>
  <c r="R10" i="39"/>
  <c r="R85" i="39"/>
  <c r="R8" i="39"/>
  <c r="L5" i="39" s="1"/>
  <c r="R17" i="39"/>
  <c r="L14" i="39" s="1"/>
  <c r="F21" i="39"/>
  <c r="F87" i="39" s="1"/>
  <c r="L330" i="31"/>
  <c r="E19" i="6"/>
  <c r="R12" i="39" l="1"/>
  <c r="F5" i="39"/>
  <c r="O5" i="39"/>
  <c r="P5" i="39"/>
  <c r="N5" i="39"/>
  <c r="G5" i="39"/>
  <c r="H5" i="39"/>
  <c r="Q5" i="39"/>
  <c r="J5" i="39"/>
  <c r="D5" i="39"/>
  <c r="K5" i="39"/>
  <c r="E5" i="39"/>
  <c r="M5" i="39"/>
  <c r="P14" i="39"/>
  <c r="H14" i="39"/>
  <c r="O14" i="39"/>
  <c r="E14" i="39"/>
  <c r="G14" i="39"/>
  <c r="N14" i="39"/>
  <c r="K14" i="39"/>
  <c r="M14" i="39"/>
  <c r="J14" i="39"/>
  <c r="Q14" i="39"/>
  <c r="R21" i="39"/>
  <c r="F14" i="39"/>
  <c r="D14" i="39"/>
  <c r="R87" i="39" l="1"/>
  <c r="I334" i="31" l="1"/>
  <c r="H334" i="31"/>
  <c r="F331" i="31"/>
  <c r="F337" i="31"/>
  <c r="F334" i="31"/>
  <c r="D334" i="31"/>
  <c r="D337" i="31" l="1"/>
  <c r="D1824" i="18"/>
  <c r="D1825" i="18"/>
  <c r="D1826" i="18"/>
  <c r="D1827" i="18"/>
  <c r="D1828" i="18"/>
  <c r="D17" i="35" l="1"/>
  <c r="D330" i="31"/>
  <c r="D331" i="31" s="1"/>
  <c r="D13" i="15" l="1"/>
  <c r="D274" i="31" l="1"/>
  <c r="D275" i="31"/>
  <c r="D1821" i="18"/>
  <c r="D1822" i="18"/>
  <c r="D1823" i="18"/>
  <c r="D1820" i="18"/>
  <c r="E40" i="33"/>
  <c r="E47" i="33" s="1"/>
  <c r="C8" i="35" l="1"/>
  <c r="J73" i="27" l="1"/>
  <c r="D230" i="31" l="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1775" i="18"/>
  <c r="D1776" i="18"/>
  <c r="D1777" i="18"/>
  <c r="D1778" i="18"/>
  <c r="D1779" i="18"/>
  <c r="D1780" i="18"/>
  <c r="D1781" i="18"/>
  <c r="D1782" i="18"/>
  <c r="D1783" i="18"/>
  <c r="D1784" i="18"/>
  <c r="D1785" i="18"/>
  <c r="D1786" i="18"/>
  <c r="D1787" i="18"/>
  <c r="D1788" i="18"/>
  <c r="D1789" i="18"/>
  <c r="D1790" i="18"/>
  <c r="D1791" i="18"/>
  <c r="D1792" i="18"/>
  <c r="D1793" i="18"/>
  <c r="D1794" i="18"/>
  <c r="D1795" i="18"/>
  <c r="D1796" i="18"/>
  <c r="D1797" i="18"/>
  <c r="D1798" i="18"/>
  <c r="D1799" i="18"/>
  <c r="D1800" i="18"/>
  <c r="D1801" i="18"/>
  <c r="D1802" i="18"/>
  <c r="D1803" i="18"/>
  <c r="D1804" i="18"/>
  <c r="D1805" i="18"/>
  <c r="D1806" i="18"/>
  <c r="D1807" i="18"/>
  <c r="D1808" i="18"/>
  <c r="D1809" i="18"/>
  <c r="D1810" i="18"/>
  <c r="D1811" i="18"/>
  <c r="D1812" i="18"/>
  <c r="D1813" i="18"/>
  <c r="D1814" i="18"/>
  <c r="D1815" i="18"/>
  <c r="D1816" i="18"/>
  <c r="D1817" i="18"/>
  <c r="D1818" i="18"/>
  <c r="D1819" i="18"/>
  <c r="C9" i="25" l="1"/>
  <c r="D1774" i="18" l="1"/>
  <c r="E18" i="16" l="1"/>
  <c r="F30" i="34"/>
  <c r="F35" i="34" s="1"/>
  <c r="E47" i="16" l="1"/>
  <c r="D52" i="16"/>
  <c r="D65" i="16" s="1"/>
  <c r="E53" i="8" l="1"/>
  <c r="D14" i="8" s="1"/>
  <c r="I73" i="27" l="1"/>
  <c r="D17" i="36" l="1"/>
  <c r="E48" i="8" l="1"/>
  <c r="D13" i="8" s="1"/>
  <c r="D1881" i="18" l="1"/>
  <c r="D1773" i="18"/>
  <c r="D1772" i="18"/>
  <c r="D1771" i="18"/>
  <c r="D1770" i="18"/>
  <c r="D1769" i="18"/>
  <c r="D1768" i="18"/>
  <c r="D1767" i="18"/>
  <c r="D1766" i="18"/>
  <c r="D1765" i="18"/>
  <c r="D1764" i="18"/>
  <c r="D1763" i="18"/>
  <c r="D1762" i="18"/>
  <c r="D1761" i="18"/>
  <c r="D1760" i="18"/>
  <c r="D1759" i="18"/>
  <c r="D1758" i="18"/>
  <c r="D1757" i="18"/>
  <c r="D1756" i="18"/>
  <c r="D1755" i="18"/>
  <c r="D1754" i="18"/>
  <c r="D1753" i="18"/>
  <c r="D1752" i="18"/>
  <c r="D1751" i="18"/>
  <c r="D1750" i="18"/>
  <c r="D1749" i="18"/>
  <c r="D1748" i="18"/>
  <c r="D1747" i="18"/>
  <c r="D1746" i="18"/>
  <c r="D1745" i="18"/>
  <c r="D1744" i="18"/>
  <c r="D1743" i="18"/>
  <c r="D1742" i="18"/>
  <c r="D1741" i="18"/>
  <c r="D1740" i="18"/>
  <c r="D1739" i="18"/>
  <c r="D1738" i="18"/>
  <c r="D1737" i="18"/>
  <c r="D1736" i="18"/>
  <c r="D1735" i="18"/>
  <c r="D1734" i="18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F319" i="11" l="1"/>
  <c r="F318" i="11" l="1"/>
  <c r="E60" i="8"/>
  <c r="D15" i="8" s="1"/>
  <c r="P57" i="27" l="1"/>
  <c r="F54" i="34" l="1"/>
  <c r="K19" i="31" l="1"/>
  <c r="K20" i="31" s="1"/>
  <c r="K21" i="31" s="1"/>
  <c r="K22" i="31" s="1"/>
  <c r="K23" i="31" s="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682" i="18"/>
  <c r="D1683" i="18"/>
  <c r="D1684" i="18"/>
  <c r="D1685" i="18"/>
  <c r="D1686" i="18"/>
  <c r="D1687" i="18"/>
  <c r="D1688" i="18"/>
  <c r="D1689" i="18"/>
  <c r="D1690" i="18"/>
  <c r="D1691" i="18"/>
  <c r="D1692" i="18"/>
  <c r="D1693" i="18"/>
  <c r="D1694" i="18"/>
  <c r="D1695" i="18"/>
  <c r="D1696" i="18"/>
  <c r="D1697" i="18"/>
  <c r="D1698" i="18"/>
  <c r="D1699" i="18"/>
  <c r="D1700" i="18"/>
  <c r="D1701" i="18"/>
  <c r="D1702" i="18"/>
  <c r="D1703" i="18"/>
  <c r="D1704" i="18"/>
  <c r="D1705" i="18"/>
  <c r="D1706" i="18"/>
  <c r="D1707" i="18"/>
  <c r="D1708" i="18"/>
  <c r="D1709" i="18"/>
  <c r="D1710" i="18"/>
  <c r="D1711" i="18"/>
  <c r="D1712" i="18"/>
  <c r="D1713" i="18"/>
  <c r="D1714" i="18"/>
  <c r="D1715" i="18"/>
  <c r="D1716" i="18"/>
  <c r="D1717" i="18"/>
  <c r="D1718" i="18"/>
  <c r="D1719" i="18"/>
  <c r="D1720" i="18"/>
  <c r="D1721" i="18"/>
  <c r="D1722" i="18"/>
  <c r="D1723" i="18"/>
  <c r="D1724" i="18"/>
  <c r="D1725" i="18"/>
  <c r="D1726" i="18"/>
  <c r="D1727" i="18"/>
  <c r="D1728" i="18"/>
  <c r="D1729" i="18"/>
  <c r="D1730" i="18"/>
  <c r="D1731" i="18"/>
  <c r="D1732" i="18"/>
  <c r="D1733" i="18"/>
  <c r="D1681" i="18"/>
  <c r="K24" i="31" l="1"/>
  <c r="K25" i="31" s="1"/>
  <c r="K26" i="31" s="1"/>
  <c r="K27" i="31" s="1"/>
  <c r="K28" i="31" s="1"/>
  <c r="K29" i="31" s="1"/>
  <c r="K30" i="31" s="1"/>
  <c r="K31" i="31" l="1"/>
  <c r="K32" i="31" s="1"/>
  <c r="K33" i="31" s="1"/>
  <c r="K34" i="31" l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l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K84" i="31" s="1"/>
  <c r="K85" i="31" s="1"/>
  <c r="K86" i="31" s="1"/>
  <c r="K87" i="31" s="1"/>
  <c r="K88" i="31" s="1"/>
  <c r="K89" i="31" s="1"/>
  <c r="K90" i="31" s="1"/>
  <c r="K91" i="31" s="1"/>
  <c r="K92" i="31" s="1"/>
  <c r="K93" i="31" s="1"/>
  <c r="K94" i="31" s="1"/>
  <c r="K95" i="31" s="1"/>
  <c r="K96" i="31" s="1"/>
  <c r="K97" i="31" s="1"/>
  <c r="K98" i="31" s="1"/>
  <c r="K99" i="31" s="1"/>
  <c r="K100" i="31" s="1"/>
  <c r="K101" i="31" s="1"/>
  <c r="K102" i="31" s="1"/>
  <c r="K103" i="31" s="1"/>
  <c r="K104" i="31" s="1"/>
  <c r="K105" i="31" s="1"/>
  <c r="K106" i="31" s="1"/>
  <c r="K107" i="31" s="1"/>
  <c r="K108" i="31" s="1"/>
  <c r="K109" i="31" s="1"/>
  <c r="K110" i="31" s="1"/>
  <c r="K111" i="31" s="1"/>
  <c r="K112" i="31" s="1"/>
  <c r="K113" i="31" s="1"/>
  <c r="K114" i="31" s="1"/>
  <c r="K115" i="31" s="1"/>
  <c r="K116" i="31" s="1"/>
  <c r="K117" i="31" s="1"/>
  <c r="K118" i="31" s="1"/>
  <c r="K119" i="31" s="1"/>
  <c r="K120" i="31" s="1"/>
  <c r="K121" i="31" s="1"/>
  <c r="K122" i="31" s="1"/>
  <c r="K123" i="31" s="1"/>
  <c r="K124" i="31" s="1"/>
  <c r="K125" i="31" s="1"/>
  <c r="K126" i="31" s="1"/>
  <c r="K127" i="31" s="1"/>
  <c r="K128" i="31" s="1"/>
  <c r="K129" i="31" s="1"/>
  <c r="K130" i="31" s="1"/>
  <c r="K131" i="31" s="1"/>
  <c r="K132" i="31" s="1"/>
  <c r="K133" i="31" s="1"/>
  <c r="K134" i="31" s="1"/>
  <c r="K135" i="31" s="1"/>
  <c r="K136" i="31" s="1"/>
  <c r="K137" i="31" s="1"/>
  <c r="K138" i="31" s="1"/>
  <c r="K139" i="31" s="1"/>
  <c r="K140" i="31" s="1"/>
  <c r="K141" i="31" s="1"/>
  <c r="K142" i="31" s="1"/>
  <c r="K143" i="31" s="1"/>
  <c r="I12" i="5"/>
  <c r="I23" i="5"/>
  <c r="D193" i="11"/>
  <c r="D331" i="11" s="1"/>
  <c r="K144" i="31" l="1"/>
  <c r="L143" i="31"/>
  <c r="K145" i="31" l="1"/>
  <c r="L144" i="31"/>
  <c r="J12" i="36"/>
  <c r="J13" i="36"/>
  <c r="J15" i="36" s="1"/>
  <c r="K16" i="36" s="1"/>
  <c r="J14" i="36"/>
  <c r="K15" i="36"/>
  <c r="K146" i="31" l="1"/>
  <c r="L145" i="31"/>
  <c r="K147" i="31" l="1"/>
  <c r="L146" i="31"/>
  <c r="K148" i="31" l="1"/>
  <c r="L147" i="31"/>
  <c r="K149" i="31" l="1"/>
  <c r="L148" i="31"/>
  <c r="E52" i="33"/>
  <c r="K150" i="31" l="1"/>
  <c r="L149" i="31"/>
  <c r="L136" i="31"/>
  <c r="L137" i="31"/>
  <c r="L138" i="31"/>
  <c r="L139" i="31"/>
  <c r="L140" i="31"/>
  <c r="L141" i="31"/>
  <c r="L142" i="31"/>
  <c r="D136" i="31"/>
  <c r="D137" i="31"/>
  <c r="D138" i="31"/>
  <c r="D139" i="31"/>
  <c r="D140" i="31"/>
  <c r="D141" i="31"/>
  <c r="D142" i="31"/>
  <c r="D1674" i="18"/>
  <c r="D1675" i="18"/>
  <c r="D1676" i="18"/>
  <c r="D1677" i="18"/>
  <c r="D1678" i="18"/>
  <c r="D1679" i="18"/>
  <c r="D1680" i="18"/>
  <c r="D1673" i="18"/>
  <c r="K151" i="31" l="1"/>
  <c r="L150" i="31"/>
  <c r="K152" i="31" l="1"/>
  <c r="L151" i="31"/>
  <c r="G73" i="27"/>
  <c r="K153" i="31" l="1"/>
  <c r="L152" i="31"/>
  <c r="K154" i="31" l="1"/>
  <c r="L153" i="31"/>
  <c r="D1672" i="18"/>
  <c r="K155" i="31" l="1"/>
  <c r="L154" i="31"/>
  <c r="K156" i="31" l="1"/>
  <c r="L155" i="31"/>
  <c r="K157" i="31" l="1"/>
  <c r="L156" i="31"/>
  <c r="D1615" i="18"/>
  <c r="D1616" i="18"/>
  <c r="D1617" i="18"/>
  <c r="D1618" i="18"/>
  <c r="D1619" i="18"/>
  <c r="D1620" i="18"/>
  <c r="D1621" i="18"/>
  <c r="D1622" i="18"/>
  <c r="D1623" i="18"/>
  <c r="D1624" i="18"/>
  <c r="D1625" i="18"/>
  <c r="D1626" i="18"/>
  <c r="D1627" i="18"/>
  <c r="D1628" i="18"/>
  <c r="D1629" i="18"/>
  <c r="D1630" i="18"/>
  <c r="D1631" i="18"/>
  <c r="D1632" i="18"/>
  <c r="D1633" i="18"/>
  <c r="D1634" i="18"/>
  <c r="D1635" i="18"/>
  <c r="D1636" i="18"/>
  <c r="D1637" i="18"/>
  <c r="D1638" i="18"/>
  <c r="D1639" i="18"/>
  <c r="D1640" i="18"/>
  <c r="D1641" i="18"/>
  <c r="D1642" i="18"/>
  <c r="D1643" i="18"/>
  <c r="D1644" i="18"/>
  <c r="D1645" i="18"/>
  <c r="D1646" i="18"/>
  <c r="D1647" i="18"/>
  <c r="D1648" i="18"/>
  <c r="D1649" i="18"/>
  <c r="D1650" i="18"/>
  <c r="D1651" i="18"/>
  <c r="D1652" i="18"/>
  <c r="D1653" i="18"/>
  <c r="D1654" i="18"/>
  <c r="D1655" i="18"/>
  <c r="D1656" i="18"/>
  <c r="D1657" i="18"/>
  <c r="D1658" i="18"/>
  <c r="D1659" i="18"/>
  <c r="D1660" i="18"/>
  <c r="D1661" i="18"/>
  <c r="D1662" i="18"/>
  <c r="D1663" i="18"/>
  <c r="D1664" i="18"/>
  <c r="D1665" i="18"/>
  <c r="D1666" i="18"/>
  <c r="D1667" i="18"/>
  <c r="D1668" i="18"/>
  <c r="D1669" i="18"/>
  <c r="D1670" i="18"/>
  <c r="D1671" i="18"/>
  <c r="D1614" i="18"/>
  <c r="L79" i="31"/>
  <c r="L80" i="31"/>
  <c r="L81" i="31"/>
  <c r="L82" i="31"/>
  <c r="L83" i="31"/>
  <c r="L84" i="31"/>
  <c r="L85" i="31"/>
  <c r="L86" i="31"/>
  <c r="L87" i="31"/>
  <c r="L88" i="31"/>
  <c r="L89" i="31"/>
  <c r="L90" i="31"/>
  <c r="L91" i="31"/>
  <c r="L92" i="31"/>
  <c r="L93" i="31"/>
  <c r="L94" i="31"/>
  <c r="L95" i="31"/>
  <c r="L96" i="31"/>
  <c r="L97" i="31"/>
  <c r="L98" i="31"/>
  <c r="L99" i="31"/>
  <c r="L100" i="31"/>
  <c r="L101" i="31"/>
  <c r="L102" i="31"/>
  <c r="L103" i="31"/>
  <c r="L104" i="31"/>
  <c r="L105" i="31"/>
  <c r="L106" i="31"/>
  <c r="L107" i="31"/>
  <c r="L108" i="31"/>
  <c r="L109" i="31"/>
  <c r="L110" i="31"/>
  <c r="L111" i="31"/>
  <c r="L112" i="31"/>
  <c r="L113" i="31"/>
  <c r="L114" i="31"/>
  <c r="L115" i="31"/>
  <c r="L116" i="31"/>
  <c r="L117" i="31"/>
  <c r="L118" i="31"/>
  <c r="L119" i="31"/>
  <c r="L120" i="31"/>
  <c r="L121" i="31"/>
  <c r="L122" i="31"/>
  <c r="L123" i="31"/>
  <c r="L124" i="31"/>
  <c r="L125" i="31"/>
  <c r="L126" i="31"/>
  <c r="L127" i="31"/>
  <c r="L128" i="31"/>
  <c r="L129" i="31"/>
  <c r="L130" i="31"/>
  <c r="L131" i="31"/>
  <c r="L132" i="31"/>
  <c r="L133" i="31"/>
  <c r="L134" i="31"/>
  <c r="L135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K158" i="31" l="1"/>
  <c r="L157" i="31"/>
  <c r="K159" i="31" l="1"/>
  <c r="L158" i="31"/>
  <c r="F40" i="34"/>
  <c r="E31" i="33"/>
  <c r="K160" i="31" l="1"/>
  <c r="L159" i="31"/>
  <c r="P19" i="27"/>
  <c r="K161" i="31" l="1"/>
  <c r="L160" i="31"/>
  <c r="K162" i="31" l="1"/>
  <c r="L161" i="31"/>
  <c r="E73" i="27"/>
  <c r="F73" i="27"/>
  <c r="E58" i="18"/>
  <c r="K163" i="31" l="1"/>
  <c r="L162" i="31"/>
  <c r="E11" i="28"/>
  <c r="K164" i="31" l="1"/>
  <c r="L163" i="31"/>
  <c r="I35" i="34"/>
  <c r="R16" i="23"/>
  <c r="K165" i="31" l="1"/>
  <c r="L164" i="31"/>
  <c r="F1887" i="18"/>
  <c r="F1888" i="18" s="1"/>
  <c r="K166" i="31" l="1"/>
  <c r="L165" i="31"/>
  <c r="D1613" i="18"/>
  <c r="D1612" i="18"/>
  <c r="D1611" i="18"/>
  <c r="D1610" i="18"/>
  <c r="D1609" i="18"/>
  <c r="D1608" i="18"/>
  <c r="D1607" i="18"/>
  <c r="D1606" i="18"/>
  <c r="D1605" i="18"/>
  <c r="K167" i="31" l="1"/>
  <c r="L166" i="31"/>
  <c r="E1887" i="18"/>
  <c r="E1888" i="18" s="1"/>
  <c r="D27" i="18"/>
  <c r="F27" i="18" s="1"/>
  <c r="E27" i="18"/>
  <c r="K27" i="18" s="1"/>
  <c r="K168" i="31" l="1"/>
  <c r="L167" i="31"/>
  <c r="L73" i="31"/>
  <c r="L74" i="31"/>
  <c r="L75" i="31"/>
  <c r="L76" i="31"/>
  <c r="L77" i="31"/>
  <c r="L78" i="31"/>
  <c r="D73" i="31"/>
  <c r="D74" i="31"/>
  <c r="D75" i="31"/>
  <c r="D76" i="31"/>
  <c r="D77" i="31"/>
  <c r="D78" i="31"/>
  <c r="K169" i="31" l="1"/>
  <c r="L168" i="31"/>
  <c r="K170" i="31" l="1"/>
  <c r="L169" i="31"/>
  <c r="C8" i="25"/>
  <c r="K171" i="31" l="1"/>
  <c r="L170" i="31"/>
  <c r="K172" i="31" l="1"/>
  <c r="L171" i="31"/>
  <c r="K173" i="31" l="1"/>
  <c r="L172" i="31"/>
  <c r="P18" i="27"/>
  <c r="K174" i="31" l="1"/>
  <c r="L173" i="31"/>
  <c r="P69" i="27"/>
  <c r="K175" i="31" l="1"/>
  <c r="L174" i="31"/>
  <c r="K176" i="31" l="1"/>
  <c r="L175" i="31"/>
  <c r="K177" i="31" l="1"/>
  <c r="L176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65" i="31"/>
  <c r="L66" i="31"/>
  <c r="L67" i="31"/>
  <c r="L68" i="31"/>
  <c r="L69" i="31"/>
  <c r="L70" i="31"/>
  <c r="L71" i="31"/>
  <c r="L72" i="31"/>
  <c r="D1543" i="18"/>
  <c r="D1544" i="18"/>
  <c r="D1545" i="18"/>
  <c r="D1546" i="18"/>
  <c r="D1547" i="18"/>
  <c r="D1548" i="18"/>
  <c r="D1549" i="18"/>
  <c r="D1550" i="18"/>
  <c r="D1551" i="18"/>
  <c r="D1552" i="18"/>
  <c r="D1553" i="18"/>
  <c r="D1554" i="18"/>
  <c r="D1555" i="18"/>
  <c r="D1556" i="18"/>
  <c r="D1557" i="18"/>
  <c r="D1558" i="18"/>
  <c r="D1559" i="18"/>
  <c r="D1560" i="18"/>
  <c r="D1561" i="18"/>
  <c r="D1562" i="18"/>
  <c r="D1563" i="18"/>
  <c r="D1564" i="18"/>
  <c r="D1565" i="18"/>
  <c r="D1566" i="18"/>
  <c r="D1567" i="18"/>
  <c r="D1568" i="18"/>
  <c r="D1569" i="18"/>
  <c r="D1570" i="18"/>
  <c r="D1571" i="18"/>
  <c r="D1572" i="18"/>
  <c r="D1573" i="18"/>
  <c r="D1574" i="18"/>
  <c r="D1575" i="18"/>
  <c r="D1576" i="18"/>
  <c r="D1577" i="18"/>
  <c r="D1578" i="18"/>
  <c r="D1579" i="18"/>
  <c r="D1580" i="18"/>
  <c r="D1581" i="18"/>
  <c r="D1582" i="18"/>
  <c r="D1583" i="18"/>
  <c r="D1584" i="18"/>
  <c r="D1585" i="18"/>
  <c r="D1586" i="18"/>
  <c r="D1587" i="18"/>
  <c r="D1588" i="18"/>
  <c r="D1589" i="18"/>
  <c r="D1590" i="18"/>
  <c r="D1591" i="18"/>
  <c r="D1592" i="18"/>
  <c r="D1593" i="18"/>
  <c r="D1594" i="18"/>
  <c r="D1595" i="18"/>
  <c r="D1596" i="18"/>
  <c r="D1597" i="18"/>
  <c r="D1598" i="18"/>
  <c r="D1599" i="18"/>
  <c r="D1600" i="18"/>
  <c r="D1601" i="18"/>
  <c r="D1602" i="18"/>
  <c r="D1603" i="18"/>
  <c r="D1542" i="18"/>
  <c r="K178" i="31" l="1"/>
  <c r="L177" i="31"/>
  <c r="K179" i="31" l="1"/>
  <c r="L178" i="31"/>
  <c r="P41" i="27"/>
  <c r="P43" i="27"/>
  <c r="P44" i="27"/>
  <c r="P45" i="27"/>
  <c r="P47" i="27"/>
  <c r="P48" i="27"/>
  <c r="P49" i="27"/>
  <c r="P50" i="27"/>
  <c r="P51" i="27"/>
  <c r="P53" i="27"/>
  <c r="P54" i="27"/>
  <c r="P56" i="27"/>
  <c r="P58" i="27"/>
  <c r="P60" i="27"/>
  <c r="P61" i="27"/>
  <c r="P62" i="27"/>
  <c r="P63" i="27"/>
  <c r="P64" i="27"/>
  <c r="P65" i="27"/>
  <c r="P67" i="27"/>
  <c r="P68" i="27"/>
  <c r="P70" i="27"/>
  <c r="P71" i="27"/>
  <c r="P72" i="27"/>
  <c r="P14" i="27"/>
  <c r="P15" i="27"/>
  <c r="P16" i="27"/>
  <c r="P17" i="27"/>
  <c r="P20" i="27"/>
  <c r="P21" i="27"/>
  <c r="P22" i="27"/>
  <c r="P23" i="27"/>
  <c r="P24" i="27"/>
  <c r="P25" i="27"/>
  <c r="P26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K180" i="31" l="1"/>
  <c r="L179" i="31"/>
  <c r="C73" i="27"/>
  <c r="D73" i="27"/>
  <c r="D9" i="33"/>
  <c r="E13" i="30"/>
  <c r="K181" i="31" l="1"/>
  <c r="L180" i="31"/>
  <c r="P13" i="27"/>
  <c r="K182" i="31" l="1"/>
  <c r="L181" i="31"/>
  <c r="L24" i="31"/>
  <c r="F37" i="33"/>
  <c r="K183" i="31" l="1"/>
  <c r="L182" i="31"/>
  <c r="E62" i="18"/>
  <c r="E63" i="18"/>
  <c r="E64" i="18"/>
  <c r="E65" i="18"/>
  <c r="E66" i="18"/>
  <c r="E67" i="18"/>
  <c r="E68" i="18"/>
  <c r="E69" i="18"/>
  <c r="E70" i="18"/>
  <c r="E61" i="18"/>
  <c r="E59" i="18"/>
  <c r="E57" i="18"/>
  <c r="E56" i="18"/>
  <c r="E55" i="18"/>
  <c r="E54" i="18"/>
  <c r="E53" i="18"/>
  <c r="E52" i="18"/>
  <c r="E51" i="18"/>
  <c r="E50" i="18"/>
  <c r="E49" i="18"/>
  <c r="K184" i="31" l="1"/>
  <c r="L183" i="31"/>
  <c r="E23" i="8"/>
  <c r="D8" i="8" s="1"/>
  <c r="K185" i="31" l="1"/>
  <c r="L184" i="31"/>
  <c r="D1501" i="18"/>
  <c r="D1502" i="18"/>
  <c r="D1503" i="18"/>
  <c r="D1504" i="18"/>
  <c r="D1505" i="18"/>
  <c r="D1506" i="18"/>
  <c r="D1507" i="18"/>
  <c r="D1508" i="18"/>
  <c r="D1509" i="18"/>
  <c r="D1510" i="18"/>
  <c r="D1511" i="18"/>
  <c r="D1512" i="18"/>
  <c r="D1513" i="18"/>
  <c r="D1514" i="18"/>
  <c r="D1515" i="18"/>
  <c r="D1516" i="18"/>
  <c r="D1517" i="18"/>
  <c r="D1518" i="18"/>
  <c r="D1519" i="18"/>
  <c r="D1520" i="18"/>
  <c r="D1521" i="18"/>
  <c r="D1522" i="18"/>
  <c r="D1523" i="18"/>
  <c r="D1524" i="18"/>
  <c r="D1525" i="18"/>
  <c r="D1526" i="18"/>
  <c r="D1527" i="18"/>
  <c r="D1528" i="18"/>
  <c r="D1529" i="18"/>
  <c r="D1530" i="18"/>
  <c r="D1531" i="18"/>
  <c r="D1532" i="18"/>
  <c r="D1533" i="18"/>
  <c r="D1534" i="18"/>
  <c r="D1535" i="18"/>
  <c r="D1536" i="18"/>
  <c r="D1537" i="18"/>
  <c r="D1538" i="18"/>
  <c r="D1539" i="18"/>
  <c r="D1540" i="18"/>
  <c r="D1541" i="18"/>
  <c r="D1500" i="18"/>
  <c r="D1499" i="18"/>
  <c r="K186" i="31" l="1"/>
  <c r="L185" i="31"/>
  <c r="E38" i="8"/>
  <c r="D11" i="8" s="1"/>
  <c r="K187" i="31" l="1"/>
  <c r="L186" i="31"/>
  <c r="K188" i="31" l="1"/>
  <c r="L187" i="31"/>
  <c r="E28" i="8"/>
  <c r="K189" i="31" l="1"/>
  <c r="L188" i="31"/>
  <c r="E48" i="18"/>
  <c r="K190" i="31" l="1"/>
  <c r="L189" i="31"/>
  <c r="D1391" i="18"/>
  <c r="D1392" i="18"/>
  <c r="D1393" i="18"/>
  <c r="D1394" i="18"/>
  <c r="D1395" i="18"/>
  <c r="D1396" i="18"/>
  <c r="D1397" i="18"/>
  <c r="D1398" i="18"/>
  <c r="D1399" i="18"/>
  <c r="D1400" i="18"/>
  <c r="D1401" i="18"/>
  <c r="D1402" i="18"/>
  <c r="D1403" i="18"/>
  <c r="D1404" i="18"/>
  <c r="D1405" i="18"/>
  <c r="D1406" i="18"/>
  <c r="D1407" i="18"/>
  <c r="D1408" i="18"/>
  <c r="D1409" i="18"/>
  <c r="D1410" i="18"/>
  <c r="D1411" i="18"/>
  <c r="D1412" i="18"/>
  <c r="D1413" i="18"/>
  <c r="D1414" i="18"/>
  <c r="D1415" i="18"/>
  <c r="D1416" i="18"/>
  <c r="D1417" i="18"/>
  <c r="D1418" i="18"/>
  <c r="D1419" i="18"/>
  <c r="D1420" i="18"/>
  <c r="D1421" i="18"/>
  <c r="D1422" i="18"/>
  <c r="D1423" i="18"/>
  <c r="D1424" i="18"/>
  <c r="D1425" i="18"/>
  <c r="D1426" i="18"/>
  <c r="D1427" i="18"/>
  <c r="D1428" i="18"/>
  <c r="D1429" i="18"/>
  <c r="D1430" i="18"/>
  <c r="D1431" i="18"/>
  <c r="D1432" i="18"/>
  <c r="D1433" i="18"/>
  <c r="D1434" i="18"/>
  <c r="D1435" i="18"/>
  <c r="D1436" i="18"/>
  <c r="D1437" i="18"/>
  <c r="D1438" i="18"/>
  <c r="D1439" i="18"/>
  <c r="D1440" i="18"/>
  <c r="D1441" i="18"/>
  <c r="D1442" i="18"/>
  <c r="D1443" i="18"/>
  <c r="D1444" i="18"/>
  <c r="D1445" i="18"/>
  <c r="D1446" i="18"/>
  <c r="D1447" i="18"/>
  <c r="D1448" i="18"/>
  <c r="D1449" i="18"/>
  <c r="D1450" i="18"/>
  <c r="D1451" i="18"/>
  <c r="D1452" i="18"/>
  <c r="D1453" i="18"/>
  <c r="D1454" i="18"/>
  <c r="D1455" i="18"/>
  <c r="D1456" i="18"/>
  <c r="D1457" i="18"/>
  <c r="D1458" i="18"/>
  <c r="D1459" i="18"/>
  <c r="D1460" i="18"/>
  <c r="D1461" i="18"/>
  <c r="D1462" i="18"/>
  <c r="D1463" i="18"/>
  <c r="D1464" i="18"/>
  <c r="D1465" i="18"/>
  <c r="D1466" i="18"/>
  <c r="D1467" i="18"/>
  <c r="D1468" i="18"/>
  <c r="D1469" i="18"/>
  <c r="D1470" i="18"/>
  <c r="D1471" i="18"/>
  <c r="D1472" i="18"/>
  <c r="D1473" i="18"/>
  <c r="D1474" i="18"/>
  <c r="D1475" i="18"/>
  <c r="D1476" i="18"/>
  <c r="D1477" i="18"/>
  <c r="D1478" i="18"/>
  <c r="D1479" i="18"/>
  <c r="D1480" i="18"/>
  <c r="D1481" i="18"/>
  <c r="D1482" i="18"/>
  <c r="D1483" i="18"/>
  <c r="D1484" i="18"/>
  <c r="D1485" i="18"/>
  <c r="D1486" i="18"/>
  <c r="D1487" i="18"/>
  <c r="D1488" i="18"/>
  <c r="D1489" i="18"/>
  <c r="D1490" i="18"/>
  <c r="D1491" i="18"/>
  <c r="D1492" i="18"/>
  <c r="D1493" i="18"/>
  <c r="D1494" i="18"/>
  <c r="D1495" i="18"/>
  <c r="D1496" i="18"/>
  <c r="D1497" i="18"/>
  <c r="D1498" i="18"/>
  <c r="D1604" i="18"/>
  <c r="K191" i="31" l="1"/>
  <c r="L190" i="31"/>
  <c r="L191" i="31" l="1"/>
  <c r="K192" i="31"/>
  <c r="K193" i="31" l="1"/>
  <c r="L192" i="31"/>
  <c r="F36" i="33"/>
  <c r="K194" i="31" l="1"/>
  <c r="L193" i="31"/>
  <c r="D50" i="17"/>
  <c r="C51" i="17"/>
  <c r="E51" i="17"/>
  <c r="D23" i="31"/>
  <c r="L23" i="31"/>
  <c r="K195" i="31" l="1"/>
  <c r="L194" i="31"/>
  <c r="L195" i="31" l="1"/>
  <c r="K196" i="31"/>
  <c r="B24" i="6"/>
  <c r="B25" i="6" s="1"/>
  <c r="B26" i="6" s="1"/>
  <c r="B27" i="6" s="1"/>
  <c r="B31" i="6" s="1"/>
  <c r="K197" i="31" l="1"/>
  <c r="L196" i="31"/>
  <c r="B29" i="6"/>
  <c r="B30" i="6"/>
  <c r="B28" i="6"/>
  <c r="B32" i="6" s="1"/>
  <c r="L197" i="31" l="1"/>
  <c r="K198" i="31"/>
  <c r="M73" i="27"/>
  <c r="K199" i="31" l="1"/>
  <c r="L198" i="31"/>
  <c r="H32" i="5"/>
  <c r="G32" i="5"/>
  <c r="F32" i="5"/>
  <c r="E32" i="5"/>
  <c r="D32" i="5"/>
  <c r="C32" i="5"/>
  <c r="L199" i="31" l="1"/>
  <c r="K200" i="31"/>
  <c r="L200" i="31" l="1"/>
  <c r="K201" i="31"/>
  <c r="D1367" i="18"/>
  <c r="D1302" i="18"/>
  <c r="D1254" i="18"/>
  <c r="D1189" i="18"/>
  <c r="D1190" i="18"/>
  <c r="D1144" i="18"/>
  <c r="D1145" i="18"/>
  <c r="D1090" i="18"/>
  <c r="D1091" i="18"/>
  <c r="D1092" i="18"/>
  <c r="D977" i="18"/>
  <c r="K202" i="31" l="1"/>
  <c r="L201" i="31"/>
  <c r="L73" i="27"/>
  <c r="K203" i="31" l="1"/>
  <c r="L202" i="31"/>
  <c r="C7" i="6"/>
  <c r="K204" i="31" l="1"/>
  <c r="L203" i="31"/>
  <c r="R9" i="23"/>
  <c r="Q8" i="23"/>
  <c r="Q12" i="23" s="1"/>
  <c r="Q78" i="23" s="1"/>
  <c r="R11" i="23"/>
  <c r="K205" i="31" l="1"/>
  <c r="L204" i="31"/>
  <c r="R76" i="23"/>
  <c r="R10" i="23"/>
  <c r="O8" i="23"/>
  <c r="O12" i="23" s="1"/>
  <c r="O78" i="23" s="1"/>
  <c r="O11" i="27"/>
  <c r="O73" i="27" s="1"/>
  <c r="N73" i="27"/>
  <c r="K206" i="31" l="1"/>
  <c r="L205" i="31"/>
  <c r="L206" i="31" l="1"/>
  <c r="K207" i="31"/>
  <c r="C11" i="34"/>
  <c r="K208" i="31" l="1"/>
  <c r="L207" i="31"/>
  <c r="D1369" i="18"/>
  <c r="D1370" i="18"/>
  <c r="D1371" i="18"/>
  <c r="D1372" i="18"/>
  <c r="D1373" i="18"/>
  <c r="D1374" i="18"/>
  <c r="D1375" i="18"/>
  <c r="D1376" i="18"/>
  <c r="D1377" i="18"/>
  <c r="D1378" i="18"/>
  <c r="D1379" i="18"/>
  <c r="D1380" i="18"/>
  <c r="D1381" i="18"/>
  <c r="D1382" i="18"/>
  <c r="D1383" i="18"/>
  <c r="D1384" i="18"/>
  <c r="D1385" i="18"/>
  <c r="D1386" i="18"/>
  <c r="D1387" i="18"/>
  <c r="D1388" i="18"/>
  <c r="D1389" i="18"/>
  <c r="D1390" i="18"/>
  <c r="D1368" i="18"/>
  <c r="K209" i="31" l="1"/>
  <c r="L208" i="31"/>
  <c r="E33" i="8"/>
  <c r="K210" i="31" l="1"/>
  <c r="L209" i="31"/>
  <c r="K73" i="27"/>
  <c r="K211" i="31" l="1"/>
  <c r="L210" i="31"/>
  <c r="D1304" i="18"/>
  <c r="D1305" i="18"/>
  <c r="D1306" i="18"/>
  <c r="D1307" i="18"/>
  <c r="D1308" i="18"/>
  <c r="D1309" i="18"/>
  <c r="D1310" i="18"/>
  <c r="D1311" i="18"/>
  <c r="D1312" i="18"/>
  <c r="D1313" i="18"/>
  <c r="D1314" i="18"/>
  <c r="D1315" i="18"/>
  <c r="D1316" i="18"/>
  <c r="D1317" i="18"/>
  <c r="D1318" i="18"/>
  <c r="D1319" i="18"/>
  <c r="D1320" i="18"/>
  <c r="D1321" i="18"/>
  <c r="D1322" i="18"/>
  <c r="D1323" i="18"/>
  <c r="D1324" i="18"/>
  <c r="D1325" i="18"/>
  <c r="D1326" i="18"/>
  <c r="D1327" i="18"/>
  <c r="D1328" i="18"/>
  <c r="D1329" i="18"/>
  <c r="D1330" i="18"/>
  <c r="D1331" i="18"/>
  <c r="D1332" i="18"/>
  <c r="D1333" i="18"/>
  <c r="D1334" i="18"/>
  <c r="D1335" i="18"/>
  <c r="D1336" i="18"/>
  <c r="D1337" i="18"/>
  <c r="D1338" i="18"/>
  <c r="D1339" i="18"/>
  <c r="D1340" i="18"/>
  <c r="D1341" i="18"/>
  <c r="D1342" i="18"/>
  <c r="D1343" i="18"/>
  <c r="D1344" i="18"/>
  <c r="D1345" i="18"/>
  <c r="D1346" i="18"/>
  <c r="D1347" i="18"/>
  <c r="D1348" i="18"/>
  <c r="D1349" i="18"/>
  <c r="D1350" i="18"/>
  <c r="D1351" i="18"/>
  <c r="D1352" i="18"/>
  <c r="D1353" i="18"/>
  <c r="D1354" i="18"/>
  <c r="D1355" i="18"/>
  <c r="D1356" i="18"/>
  <c r="D1357" i="18"/>
  <c r="D1358" i="18"/>
  <c r="D1359" i="18"/>
  <c r="D1360" i="18"/>
  <c r="D1361" i="18"/>
  <c r="D1362" i="18"/>
  <c r="D1363" i="18"/>
  <c r="D1364" i="18"/>
  <c r="D1365" i="18"/>
  <c r="D1366" i="18"/>
  <c r="K212" i="31" l="1"/>
  <c r="L211" i="31"/>
  <c r="D1303" i="18"/>
  <c r="D1257" i="18"/>
  <c r="D1258" i="18"/>
  <c r="D1259" i="18"/>
  <c r="D1260" i="18"/>
  <c r="D1261" i="18"/>
  <c r="D1262" i="18"/>
  <c r="D1263" i="18"/>
  <c r="D1264" i="18"/>
  <c r="D1265" i="18"/>
  <c r="D1266" i="18"/>
  <c r="D1267" i="18"/>
  <c r="D1268" i="18"/>
  <c r="D1269" i="18"/>
  <c r="D1270" i="18"/>
  <c r="D1271" i="18"/>
  <c r="D1272" i="18"/>
  <c r="D1273" i="18"/>
  <c r="D1274" i="18"/>
  <c r="D1275" i="18"/>
  <c r="D1276" i="18"/>
  <c r="D1277" i="18"/>
  <c r="D1278" i="18"/>
  <c r="D1279" i="18"/>
  <c r="D1280" i="18"/>
  <c r="D1281" i="18"/>
  <c r="D1282" i="18"/>
  <c r="D1283" i="18"/>
  <c r="D1284" i="18"/>
  <c r="D1285" i="18"/>
  <c r="D1286" i="18"/>
  <c r="D1287" i="18"/>
  <c r="D1288" i="18"/>
  <c r="D1289" i="18"/>
  <c r="D1290" i="18"/>
  <c r="D1291" i="18"/>
  <c r="D1292" i="18"/>
  <c r="D1293" i="18"/>
  <c r="D1294" i="18"/>
  <c r="D1295" i="18"/>
  <c r="D1296" i="18"/>
  <c r="D1297" i="18"/>
  <c r="D1298" i="18"/>
  <c r="D1299" i="18"/>
  <c r="D1300" i="18"/>
  <c r="D1301" i="18"/>
  <c r="D1256" i="18"/>
  <c r="K213" i="31" l="1"/>
  <c r="L212" i="31"/>
  <c r="D8" i="33"/>
  <c r="K214" i="31" l="1"/>
  <c r="L213" i="31"/>
  <c r="D1255" i="18"/>
  <c r="K215" i="31" l="1"/>
  <c r="L214" i="31"/>
  <c r="D1192" i="18"/>
  <c r="D1193" i="18"/>
  <c r="D1194" i="18"/>
  <c r="D1195" i="18"/>
  <c r="D1196" i="18"/>
  <c r="D1197" i="18"/>
  <c r="D1198" i="18"/>
  <c r="D1199" i="18"/>
  <c r="D1200" i="18"/>
  <c r="D1201" i="18"/>
  <c r="D1202" i="18"/>
  <c r="D1203" i="18"/>
  <c r="D1204" i="18"/>
  <c r="D1205" i="18"/>
  <c r="D1206" i="18"/>
  <c r="D1207" i="18"/>
  <c r="D1208" i="18"/>
  <c r="D1209" i="18"/>
  <c r="D1210" i="18"/>
  <c r="D1211" i="18"/>
  <c r="D1212" i="18"/>
  <c r="D1213" i="18"/>
  <c r="D1214" i="18"/>
  <c r="D1215" i="18"/>
  <c r="D1216" i="18"/>
  <c r="D1217" i="18"/>
  <c r="D1218" i="18"/>
  <c r="D1219" i="18"/>
  <c r="D1220" i="18"/>
  <c r="D1221" i="18"/>
  <c r="D1222" i="18"/>
  <c r="D1223" i="18"/>
  <c r="D1224" i="18"/>
  <c r="D1225" i="18"/>
  <c r="D1226" i="18"/>
  <c r="D1227" i="18"/>
  <c r="D1228" i="18"/>
  <c r="D1229" i="18"/>
  <c r="D1230" i="18"/>
  <c r="D1231" i="18"/>
  <c r="D1232" i="18"/>
  <c r="D1233" i="18"/>
  <c r="D1234" i="18"/>
  <c r="D1235" i="18"/>
  <c r="D1236" i="18"/>
  <c r="D1237" i="18"/>
  <c r="D1238" i="18"/>
  <c r="D1239" i="18"/>
  <c r="D1240" i="18"/>
  <c r="D1241" i="18"/>
  <c r="D1242" i="18"/>
  <c r="D1243" i="18"/>
  <c r="D1244" i="18"/>
  <c r="D1245" i="18"/>
  <c r="D1246" i="18"/>
  <c r="D1247" i="18"/>
  <c r="D1248" i="18"/>
  <c r="D1249" i="18"/>
  <c r="D1250" i="18"/>
  <c r="D1251" i="18"/>
  <c r="D1252" i="18"/>
  <c r="D1253" i="18"/>
  <c r="K216" i="31" l="1"/>
  <c r="L215" i="31"/>
  <c r="H37" i="10"/>
  <c r="H38" i="10"/>
  <c r="H39" i="10"/>
  <c r="H40" i="10"/>
  <c r="H41" i="10"/>
  <c r="H42" i="10"/>
  <c r="H43" i="10"/>
  <c r="H44" i="10"/>
  <c r="H45" i="10"/>
  <c r="L216" i="31" l="1"/>
  <c r="K217" i="31"/>
  <c r="H36" i="10"/>
  <c r="L217" i="31" l="1"/>
  <c r="K218" i="31"/>
  <c r="F36" i="10"/>
  <c r="C37" i="10" s="1"/>
  <c r="F37" i="10" s="1"/>
  <c r="C38" i="10" s="1"/>
  <c r="F38" i="10" s="1"/>
  <c r="C39" i="10" s="1"/>
  <c r="F39" i="10" s="1"/>
  <c r="C40" i="10" s="1"/>
  <c r="F40" i="10" s="1"/>
  <c r="C41" i="10" s="1"/>
  <c r="F41" i="10" s="1"/>
  <c r="C42" i="10" s="1"/>
  <c r="F42" i="10" s="1"/>
  <c r="C43" i="10" s="1"/>
  <c r="F43" i="10" s="1"/>
  <c r="C44" i="10" s="1"/>
  <c r="F44" i="10" s="1"/>
  <c r="C45" i="10" s="1"/>
  <c r="F45" i="10" s="1"/>
  <c r="K219" i="31" l="1"/>
  <c r="L218" i="31"/>
  <c r="P8" i="23"/>
  <c r="K220" i="31" l="1"/>
  <c r="L219" i="31"/>
  <c r="G25" i="5"/>
  <c r="H22" i="5"/>
  <c r="E25" i="5"/>
  <c r="D25" i="5"/>
  <c r="C25" i="5"/>
  <c r="K221" i="31" l="1"/>
  <c r="L220" i="31"/>
  <c r="I21" i="5"/>
  <c r="F22" i="5"/>
  <c r="I22" i="5" s="1"/>
  <c r="K222" i="31" l="1"/>
  <c r="L221" i="31"/>
  <c r="F25" i="5"/>
  <c r="D1191" i="18"/>
  <c r="K223" i="31" l="1"/>
  <c r="L222" i="31"/>
  <c r="D1159" i="18"/>
  <c r="D1160" i="18"/>
  <c r="D1161" i="18"/>
  <c r="D1162" i="18"/>
  <c r="D1163" i="18"/>
  <c r="D1164" i="18"/>
  <c r="D1165" i="18"/>
  <c r="D1166" i="18"/>
  <c r="D1167" i="18"/>
  <c r="D1168" i="18"/>
  <c r="D1169" i="18"/>
  <c r="D1170" i="18"/>
  <c r="D1171" i="18"/>
  <c r="D1172" i="18"/>
  <c r="D1173" i="18"/>
  <c r="D1174" i="18"/>
  <c r="D1175" i="18"/>
  <c r="D1176" i="18"/>
  <c r="D1177" i="18"/>
  <c r="D1178" i="18"/>
  <c r="D1179" i="18"/>
  <c r="D1180" i="18"/>
  <c r="D1181" i="18"/>
  <c r="D1182" i="18"/>
  <c r="D1183" i="18"/>
  <c r="D1184" i="18"/>
  <c r="D1185" i="18"/>
  <c r="D1186" i="18"/>
  <c r="D1187" i="18"/>
  <c r="D1188" i="18"/>
  <c r="D1158" i="18"/>
  <c r="K224" i="31" l="1"/>
  <c r="L223" i="31"/>
  <c r="K225" i="31" l="1"/>
  <c r="L224" i="31"/>
  <c r="D1157" i="18"/>
  <c r="K226" i="31" l="1"/>
  <c r="L225" i="31"/>
  <c r="D11" i="33"/>
  <c r="L226" i="31" l="1"/>
  <c r="K227" i="31"/>
  <c r="D1147" i="18"/>
  <c r="D1148" i="18"/>
  <c r="D1149" i="18"/>
  <c r="D1150" i="18"/>
  <c r="D1151" i="18"/>
  <c r="D1152" i="18"/>
  <c r="D1153" i="18"/>
  <c r="D1154" i="18"/>
  <c r="D1155" i="18"/>
  <c r="D1156" i="18"/>
  <c r="K228" i="31" l="1"/>
  <c r="L227" i="31"/>
  <c r="G2" i="30"/>
  <c r="K229" i="31" l="1"/>
  <c r="L228" i="31"/>
  <c r="E14" i="5"/>
  <c r="K230" i="31" l="1"/>
  <c r="L229" i="31"/>
  <c r="D1146" i="18"/>
  <c r="L230" i="31" l="1"/>
  <c r="K231" i="31"/>
  <c r="D1104" i="18"/>
  <c r="D1105" i="18"/>
  <c r="D1106" i="18"/>
  <c r="D1107" i="18"/>
  <c r="D1108" i="18"/>
  <c r="D1109" i="18"/>
  <c r="D1110" i="18"/>
  <c r="D1111" i="18"/>
  <c r="D1112" i="18"/>
  <c r="D1113" i="18"/>
  <c r="D1114" i="18"/>
  <c r="D1115" i="18"/>
  <c r="D1116" i="18"/>
  <c r="D1117" i="18"/>
  <c r="D1118" i="18"/>
  <c r="D1119" i="18"/>
  <c r="D1120" i="18"/>
  <c r="D1121" i="18"/>
  <c r="D1122" i="18"/>
  <c r="D1123" i="18"/>
  <c r="D1124" i="18"/>
  <c r="D1125" i="18"/>
  <c r="D1126" i="18"/>
  <c r="D1127" i="18"/>
  <c r="D1128" i="18"/>
  <c r="D1129" i="18"/>
  <c r="D1130" i="18"/>
  <c r="D1131" i="18"/>
  <c r="D1132" i="18"/>
  <c r="D1133" i="18"/>
  <c r="D1134" i="18"/>
  <c r="D1135" i="18"/>
  <c r="D1136" i="18"/>
  <c r="D1137" i="18"/>
  <c r="D1138" i="18"/>
  <c r="D1139" i="18"/>
  <c r="D1140" i="18"/>
  <c r="D1141" i="18"/>
  <c r="D1142" i="18"/>
  <c r="D1143" i="18"/>
  <c r="D1095" i="18"/>
  <c r="D1096" i="18"/>
  <c r="D1097" i="18"/>
  <c r="D1098" i="18"/>
  <c r="D1099" i="18"/>
  <c r="D1100" i="18"/>
  <c r="D1101" i="18"/>
  <c r="D1102" i="18"/>
  <c r="D1103" i="18"/>
  <c r="D1094" i="18"/>
  <c r="L231" i="31" l="1"/>
  <c r="K232" i="31"/>
  <c r="D117" i="1"/>
  <c r="E117" i="1"/>
  <c r="F117" i="1"/>
  <c r="G117" i="1"/>
  <c r="H117" i="1"/>
  <c r="I117" i="1"/>
  <c r="J117" i="1"/>
  <c r="K117" i="1"/>
  <c r="K233" i="31" l="1"/>
  <c r="L232" i="31"/>
  <c r="N117" i="1"/>
  <c r="D1093" i="18"/>
  <c r="K234" i="31" l="1"/>
  <c r="L233" i="31"/>
  <c r="B68" i="16"/>
  <c r="D71" i="16"/>
  <c r="K235" i="31" l="1"/>
  <c r="L234" i="31"/>
  <c r="D344" i="11"/>
  <c r="L235" i="31" l="1"/>
  <c r="K236" i="31"/>
  <c r="E25" i="17"/>
  <c r="K237" i="31" l="1"/>
  <c r="L236" i="31"/>
  <c r="F16" i="31"/>
  <c r="F339" i="31" s="1"/>
  <c r="D1089" i="18"/>
  <c r="D1088" i="18"/>
  <c r="D1087" i="18"/>
  <c r="D1086" i="18"/>
  <c r="D1085" i="18"/>
  <c r="D1084" i="18"/>
  <c r="D1083" i="18"/>
  <c r="D1082" i="18"/>
  <c r="D1081" i="18"/>
  <c r="D1080" i="18"/>
  <c r="D1079" i="18"/>
  <c r="D1078" i="18"/>
  <c r="D1077" i="18"/>
  <c r="D1076" i="18"/>
  <c r="D1075" i="18"/>
  <c r="D1074" i="18"/>
  <c r="D1073" i="18"/>
  <c r="D1072" i="18"/>
  <c r="D1071" i="18"/>
  <c r="D1070" i="18"/>
  <c r="D1069" i="18"/>
  <c r="D1068" i="18"/>
  <c r="D1067" i="18"/>
  <c r="D1066" i="18"/>
  <c r="D1065" i="18"/>
  <c r="D1064" i="18"/>
  <c r="D1063" i="18"/>
  <c r="D1062" i="18"/>
  <c r="D1061" i="18"/>
  <c r="D1060" i="18"/>
  <c r="D1059" i="18"/>
  <c r="D1058" i="18"/>
  <c r="D1057" i="18"/>
  <c r="D1056" i="18"/>
  <c r="D1055" i="18"/>
  <c r="D1054" i="18"/>
  <c r="D1053" i="18"/>
  <c r="D1052" i="18"/>
  <c r="D1051" i="18"/>
  <c r="D1050" i="18"/>
  <c r="D1049" i="18"/>
  <c r="D1048" i="18"/>
  <c r="D1047" i="18"/>
  <c r="D1046" i="18"/>
  <c r="D1045" i="18"/>
  <c r="D1044" i="18"/>
  <c r="D1043" i="18"/>
  <c r="D1042" i="18"/>
  <c r="D1041" i="18"/>
  <c r="D1040" i="18"/>
  <c r="D1039" i="18"/>
  <c r="D1038" i="18"/>
  <c r="D1037" i="18"/>
  <c r="D1036" i="18"/>
  <c r="D1035" i="18"/>
  <c r="D1034" i="18"/>
  <c r="D1033" i="18"/>
  <c r="D1032" i="18"/>
  <c r="D1031" i="18"/>
  <c r="D1030" i="18"/>
  <c r="D1029" i="18"/>
  <c r="D1028" i="18"/>
  <c r="D1027" i="18"/>
  <c r="D1026" i="18"/>
  <c r="D1025" i="18"/>
  <c r="K238" i="31" l="1"/>
  <c r="L237" i="31"/>
  <c r="F341" i="31"/>
  <c r="F343" i="31" s="1"/>
  <c r="D1005" i="18"/>
  <c r="K239" i="31" l="1"/>
  <c r="L238" i="31"/>
  <c r="D1024" i="18"/>
  <c r="K240" i="31" l="1"/>
  <c r="L239" i="31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995" i="18"/>
  <c r="D996" i="18"/>
  <c r="D997" i="18"/>
  <c r="D998" i="18"/>
  <c r="D999" i="18"/>
  <c r="D1000" i="18"/>
  <c r="D1001" i="18"/>
  <c r="D1002" i="18"/>
  <c r="D1003" i="18"/>
  <c r="D1004" i="18"/>
  <c r="D1006" i="18"/>
  <c r="D1007" i="18"/>
  <c r="D1008" i="18"/>
  <c r="D1009" i="18"/>
  <c r="D1010" i="18"/>
  <c r="D1011" i="18"/>
  <c r="D1012" i="18"/>
  <c r="D1013" i="18"/>
  <c r="D1014" i="18"/>
  <c r="D1015" i="18"/>
  <c r="D1016" i="18"/>
  <c r="D1017" i="18"/>
  <c r="D1018" i="18"/>
  <c r="D1019" i="18"/>
  <c r="D1020" i="18"/>
  <c r="D1021" i="18"/>
  <c r="D1022" i="18"/>
  <c r="D1023" i="18"/>
  <c r="D979" i="18"/>
  <c r="L240" i="31" l="1"/>
  <c r="K241" i="31"/>
  <c r="L15" i="31"/>
  <c r="L16" i="31" s="1"/>
  <c r="L18" i="31"/>
  <c r="L19" i="31"/>
  <c r="L20" i="31"/>
  <c r="L21" i="31"/>
  <c r="L22" i="31"/>
  <c r="K242" i="31" l="1"/>
  <c r="L241" i="31"/>
  <c r="D16" i="31"/>
  <c r="K243" i="31" l="1"/>
  <c r="L242" i="31"/>
  <c r="D22" i="31"/>
  <c r="D325" i="31" s="1"/>
  <c r="D339" i="31" s="1"/>
  <c r="L243" i="31" l="1"/>
  <c r="K244" i="31"/>
  <c r="E71" i="18"/>
  <c r="D71" i="18"/>
  <c r="E60" i="18"/>
  <c r="D60" i="18"/>
  <c r="D978" i="18"/>
  <c r="D976" i="18"/>
  <c r="L244" i="31" l="1"/>
  <c r="K245" i="31"/>
  <c r="D975" i="18"/>
  <c r="D974" i="18"/>
  <c r="D973" i="18"/>
  <c r="D972" i="18"/>
  <c r="D971" i="18"/>
  <c r="D970" i="18"/>
  <c r="D969" i="18"/>
  <c r="D968" i="18"/>
  <c r="D967" i="18"/>
  <c r="D966" i="18"/>
  <c r="D965" i="18"/>
  <c r="D964" i="18"/>
  <c r="D963" i="18"/>
  <c r="D962" i="18"/>
  <c r="D961" i="18"/>
  <c r="D960" i="18"/>
  <c r="D959" i="18"/>
  <c r="D958" i="18"/>
  <c r="D957" i="18"/>
  <c r="D956" i="18"/>
  <c r="D955" i="18"/>
  <c r="D47" i="17"/>
  <c r="K246" i="31" l="1"/>
  <c r="L245" i="31"/>
  <c r="F954" i="18"/>
  <c r="D46" i="17"/>
  <c r="D953" i="18"/>
  <c r="D952" i="18"/>
  <c r="D951" i="18"/>
  <c r="D950" i="18"/>
  <c r="D949" i="18"/>
  <c r="D948" i="18"/>
  <c r="D947" i="18"/>
  <c r="D946" i="18"/>
  <c r="D945" i="18"/>
  <c r="D944" i="18"/>
  <c r="D943" i="18"/>
  <c r="D942" i="18"/>
  <c r="D941" i="18"/>
  <c r="D940" i="18"/>
  <c r="D939" i="18"/>
  <c r="D938" i="18"/>
  <c r="D937" i="18"/>
  <c r="D936" i="18"/>
  <c r="D935" i="18"/>
  <c r="D934" i="18"/>
  <c r="D933" i="18"/>
  <c r="D932" i="18"/>
  <c r="D931" i="18"/>
  <c r="D930" i="18"/>
  <c r="D929" i="18"/>
  <c r="D928" i="18"/>
  <c r="D927" i="18"/>
  <c r="D926" i="18"/>
  <c r="D925" i="18"/>
  <c r="D924" i="18"/>
  <c r="D923" i="18"/>
  <c r="D922" i="18"/>
  <c r="D921" i="18"/>
  <c r="D920" i="18"/>
  <c r="D919" i="18"/>
  <c r="D918" i="18"/>
  <c r="D917" i="18"/>
  <c r="D916" i="18"/>
  <c r="D915" i="18"/>
  <c r="D914" i="18"/>
  <c r="D913" i="18"/>
  <c r="D912" i="18"/>
  <c r="D911" i="18"/>
  <c r="D910" i="18"/>
  <c r="D909" i="18"/>
  <c r="D908" i="18"/>
  <c r="D907" i="18"/>
  <c r="D906" i="18"/>
  <c r="D905" i="18"/>
  <c r="L246" i="31" l="1"/>
  <c r="K247" i="31"/>
  <c r="D904" i="18"/>
  <c r="K248" i="31" l="1"/>
  <c r="L247" i="31"/>
  <c r="D45" i="17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865" i="18"/>
  <c r="K249" i="31" l="1"/>
  <c r="L248" i="31"/>
  <c r="O8" i="1"/>
  <c r="O28" i="1" l="1"/>
  <c r="O95" i="1"/>
  <c r="K250" i="31"/>
  <c r="L249" i="31"/>
  <c r="O47" i="1"/>
  <c r="O112" i="1"/>
  <c r="O30" i="1"/>
  <c r="O31" i="1"/>
  <c r="O78" i="1"/>
  <c r="O79" i="1"/>
  <c r="O103" i="1"/>
  <c r="O22" i="1"/>
  <c r="O23" i="1"/>
  <c r="O24" i="1"/>
  <c r="O25" i="1"/>
  <c r="O34" i="1"/>
  <c r="O43" i="1"/>
  <c r="O51" i="1"/>
  <c r="O60" i="1"/>
  <c r="O70" i="1"/>
  <c r="O87" i="1"/>
  <c r="O94" i="1"/>
  <c r="O101" i="1"/>
  <c r="O110" i="1"/>
  <c r="O63" i="1"/>
  <c r="O100" i="1"/>
  <c r="O33" i="1"/>
  <c r="O85" i="1"/>
  <c r="O108" i="1"/>
  <c r="O42" i="1"/>
  <c r="O59" i="1"/>
  <c r="O69" i="1"/>
  <c r="O86" i="1"/>
  <c r="O109" i="1"/>
  <c r="O26" i="1"/>
  <c r="O35" i="1"/>
  <c r="O44" i="1"/>
  <c r="O52" i="1"/>
  <c r="O61" i="1"/>
  <c r="O71" i="1"/>
  <c r="O80" i="1"/>
  <c r="O88" i="1"/>
  <c r="O96" i="1"/>
  <c r="O102" i="1"/>
  <c r="O111" i="1"/>
  <c r="O27" i="1"/>
  <c r="O45" i="1"/>
  <c r="O53" i="1"/>
  <c r="O64" i="1"/>
  <c r="O72" i="1"/>
  <c r="O81" i="1"/>
  <c r="O89" i="1"/>
  <c r="O97" i="1"/>
  <c r="O104" i="1"/>
  <c r="O21" i="1"/>
  <c r="O38" i="1"/>
  <c r="O55" i="1"/>
  <c r="O73" i="1"/>
  <c r="O90" i="1"/>
  <c r="O105" i="1"/>
  <c r="O32" i="1"/>
  <c r="O56" i="1"/>
  <c r="O66" i="1"/>
  <c r="O83" i="1"/>
  <c r="O99" i="1"/>
  <c r="O49" i="1"/>
  <c r="O75" i="1"/>
  <c r="O107" i="1"/>
  <c r="O41" i="1"/>
  <c r="O68" i="1"/>
  <c r="O115" i="1"/>
  <c r="O93" i="1"/>
  <c r="O62" i="1"/>
  <c r="O37" i="1"/>
  <c r="O29" i="1"/>
  <c r="O46" i="1"/>
  <c r="O65" i="1"/>
  <c r="O82" i="1"/>
  <c r="O98" i="1"/>
  <c r="O113" i="1"/>
  <c r="O39" i="1"/>
  <c r="O48" i="1"/>
  <c r="O74" i="1"/>
  <c r="O91" i="1"/>
  <c r="O106" i="1"/>
  <c r="O40" i="1"/>
  <c r="O57" i="1"/>
  <c r="O67" i="1"/>
  <c r="O84" i="1"/>
  <c r="O114" i="1"/>
  <c r="O50" i="1"/>
  <c r="O58" i="1"/>
  <c r="O76" i="1"/>
  <c r="O92" i="1"/>
  <c r="O77" i="1"/>
  <c r="O36" i="1"/>
  <c r="O116" i="1"/>
  <c r="O54" i="1"/>
  <c r="O15" i="1"/>
  <c r="O16" i="1"/>
  <c r="O17" i="1"/>
  <c r="O18" i="1"/>
  <c r="O10" i="1"/>
  <c r="O11" i="1"/>
  <c r="O12" i="1"/>
  <c r="O13" i="1"/>
  <c r="O14" i="1"/>
  <c r="O19" i="1"/>
  <c r="O20" i="1"/>
  <c r="F56" i="6"/>
  <c r="F12" i="17" s="1"/>
  <c r="O118" i="1" l="1"/>
  <c r="K251" i="31"/>
  <c r="L250" i="31"/>
  <c r="F864" i="18"/>
  <c r="K252" i="31" l="1"/>
  <c r="L251" i="31"/>
  <c r="D9" i="16"/>
  <c r="K253" i="31" l="1"/>
  <c r="L252" i="31"/>
  <c r="F853" i="18"/>
  <c r="F854" i="18"/>
  <c r="F855" i="18"/>
  <c r="F856" i="18"/>
  <c r="F857" i="18"/>
  <c r="F858" i="18"/>
  <c r="F859" i="18"/>
  <c r="F860" i="18"/>
  <c r="F861" i="18"/>
  <c r="F862" i="18"/>
  <c r="F863" i="18"/>
  <c r="K254" i="31" l="1"/>
  <c r="L253" i="31"/>
  <c r="D44" i="17"/>
  <c r="K255" i="31" l="1"/>
  <c r="L254" i="31"/>
  <c r="D8" i="23"/>
  <c r="K256" i="31" l="1"/>
  <c r="L255" i="31"/>
  <c r="D12" i="23"/>
  <c r="D78" i="23" s="1"/>
  <c r="K257" i="31" l="1"/>
  <c r="L256" i="31"/>
  <c r="J12" i="26"/>
  <c r="K12" i="26" s="1"/>
  <c r="J13" i="26"/>
  <c r="K13" i="26" s="1"/>
  <c r="J14" i="26"/>
  <c r="K14" i="26" s="1"/>
  <c r="J15" i="26"/>
  <c r="K15" i="26" s="1"/>
  <c r="J16" i="26"/>
  <c r="K16" i="26" s="1"/>
  <c r="J17" i="26"/>
  <c r="K17" i="26" s="1"/>
  <c r="J18" i="26"/>
  <c r="K18" i="26" s="1"/>
  <c r="J19" i="26"/>
  <c r="K19" i="26" s="1"/>
  <c r="J20" i="26"/>
  <c r="K20" i="26" s="1"/>
  <c r="J21" i="26"/>
  <c r="K21" i="26" s="1"/>
  <c r="J22" i="26"/>
  <c r="K22" i="26" s="1"/>
  <c r="J23" i="26"/>
  <c r="K23" i="26" s="1"/>
  <c r="J24" i="26"/>
  <c r="K24" i="26" s="1"/>
  <c r="J25" i="26"/>
  <c r="K25" i="26" s="1"/>
  <c r="J26" i="26"/>
  <c r="K26" i="26" s="1"/>
  <c r="J27" i="26"/>
  <c r="K27" i="26" s="1"/>
  <c r="J28" i="26"/>
  <c r="K28" i="26" s="1"/>
  <c r="J29" i="26"/>
  <c r="K29" i="26" s="1"/>
  <c r="J30" i="26"/>
  <c r="K30" i="26" s="1"/>
  <c r="J31" i="26"/>
  <c r="K31" i="26" s="1"/>
  <c r="J32" i="26"/>
  <c r="K32" i="26" s="1"/>
  <c r="J33" i="26"/>
  <c r="K33" i="26" s="1"/>
  <c r="J34" i="26"/>
  <c r="K34" i="26" s="1"/>
  <c r="J35" i="26"/>
  <c r="K35" i="26" s="1"/>
  <c r="J36" i="26"/>
  <c r="K36" i="26" s="1"/>
  <c r="J37" i="26"/>
  <c r="K37" i="26" s="1"/>
  <c r="J38" i="26"/>
  <c r="K38" i="26" s="1"/>
  <c r="J39" i="26"/>
  <c r="K39" i="26" s="1"/>
  <c r="J40" i="26"/>
  <c r="K40" i="26" s="1"/>
  <c r="J41" i="26"/>
  <c r="K41" i="26" s="1"/>
  <c r="J42" i="26"/>
  <c r="K42" i="26" s="1"/>
  <c r="J43" i="26"/>
  <c r="K43" i="26" s="1"/>
  <c r="J44" i="26"/>
  <c r="K44" i="26" s="1"/>
  <c r="J45" i="26"/>
  <c r="K45" i="26" s="1"/>
  <c r="J46" i="26"/>
  <c r="K46" i="26" s="1"/>
  <c r="J47" i="26"/>
  <c r="K47" i="26" s="1"/>
  <c r="J48" i="26"/>
  <c r="K48" i="26" s="1"/>
  <c r="J49" i="26"/>
  <c r="K49" i="26" s="1"/>
  <c r="J50" i="26"/>
  <c r="K50" i="26" s="1"/>
  <c r="J51" i="26"/>
  <c r="K51" i="26" s="1"/>
  <c r="J52" i="26"/>
  <c r="K52" i="26" s="1"/>
  <c r="J53" i="26"/>
  <c r="K53" i="26" s="1"/>
  <c r="J54" i="26"/>
  <c r="K54" i="26" s="1"/>
  <c r="J55" i="26"/>
  <c r="K55" i="26" s="1"/>
  <c r="J56" i="26"/>
  <c r="K56" i="26" s="1"/>
  <c r="J57" i="26"/>
  <c r="K57" i="26" s="1"/>
  <c r="J58" i="26"/>
  <c r="K58" i="26" s="1"/>
  <c r="J59" i="26"/>
  <c r="K59" i="26" s="1"/>
  <c r="J60" i="26"/>
  <c r="K60" i="26" s="1"/>
  <c r="J61" i="26"/>
  <c r="K61" i="26" s="1"/>
  <c r="J62" i="26"/>
  <c r="K62" i="26" s="1"/>
  <c r="J63" i="26"/>
  <c r="K63" i="26" s="1"/>
  <c r="J64" i="26"/>
  <c r="K64" i="26" s="1"/>
  <c r="J65" i="26"/>
  <c r="K65" i="26" s="1"/>
  <c r="J66" i="26"/>
  <c r="K66" i="26" s="1"/>
  <c r="J67" i="26"/>
  <c r="K67" i="26" s="1"/>
  <c r="J68" i="26"/>
  <c r="K68" i="26" s="1"/>
  <c r="J69" i="26"/>
  <c r="K69" i="26" s="1"/>
  <c r="J70" i="26"/>
  <c r="K70" i="26" s="1"/>
  <c r="J71" i="26"/>
  <c r="K71" i="26" s="1"/>
  <c r="J72" i="26"/>
  <c r="K72" i="26" s="1"/>
  <c r="J73" i="26"/>
  <c r="K73" i="26" s="1"/>
  <c r="J74" i="26"/>
  <c r="K74" i="26" s="1"/>
  <c r="J75" i="26"/>
  <c r="K75" i="26" s="1"/>
  <c r="J76" i="26"/>
  <c r="K76" i="26" s="1"/>
  <c r="J77" i="26"/>
  <c r="K77" i="26" s="1"/>
  <c r="J78" i="26"/>
  <c r="K78" i="26" s="1"/>
  <c r="J79" i="26"/>
  <c r="K79" i="26" s="1"/>
  <c r="J80" i="26"/>
  <c r="K80" i="26" s="1"/>
  <c r="J81" i="26"/>
  <c r="K81" i="26" s="1"/>
  <c r="J82" i="26"/>
  <c r="K82" i="26" s="1"/>
  <c r="J83" i="26"/>
  <c r="K83" i="26" s="1"/>
  <c r="J84" i="26"/>
  <c r="K84" i="26" s="1"/>
  <c r="J85" i="26"/>
  <c r="K85" i="26" s="1"/>
  <c r="J86" i="26"/>
  <c r="K86" i="26" s="1"/>
  <c r="J87" i="26"/>
  <c r="K87" i="26" s="1"/>
  <c r="J88" i="26"/>
  <c r="K88" i="26" s="1"/>
  <c r="J89" i="26"/>
  <c r="K89" i="26" s="1"/>
  <c r="J90" i="26"/>
  <c r="K90" i="26" s="1"/>
  <c r="J11" i="26"/>
  <c r="K11" i="26" s="1"/>
  <c r="K258" i="31" l="1"/>
  <c r="L257" i="31"/>
  <c r="N9" i="1"/>
  <c r="K259" i="31" l="1"/>
  <c r="L258" i="31"/>
  <c r="O9" i="1"/>
  <c r="O117" i="1" s="1"/>
  <c r="K260" i="31" l="1"/>
  <c r="L259" i="31"/>
  <c r="J118" i="1"/>
  <c r="R89" i="39" s="1"/>
  <c r="L260" i="31" l="1"/>
  <c r="K261" i="31"/>
  <c r="O74" i="27"/>
  <c r="C43" i="17"/>
  <c r="F852" i="18"/>
  <c r="F1882" i="18" s="1"/>
  <c r="K262" i="31" l="1"/>
  <c r="L261" i="31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09" i="18"/>
  <c r="L262" i="31" l="1"/>
  <c r="K263" i="31"/>
  <c r="D10" i="8"/>
  <c r="K264" i="31" l="1"/>
  <c r="L263" i="31"/>
  <c r="I91" i="26"/>
  <c r="F6" i="19"/>
  <c r="D808" i="18"/>
  <c r="K265" i="31" l="1"/>
  <c r="L264" i="31"/>
  <c r="J91" i="26"/>
  <c r="K266" i="31" l="1"/>
  <c r="L265" i="31"/>
  <c r="K91" i="26"/>
  <c r="D119" i="1"/>
  <c r="E119" i="1"/>
  <c r="F119" i="1"/>
  <c r="G119" i="1"/>
  <c r="H119" i="1"/>
  <c r="K267" i="31" l="1"/>
  <c r="L266" i="31"/>
  <c r="E120" i="1"/>
  <c r="J119" i="1"/>
  <c r="I118" i="1"/>
  <c r="I119" i="1" s="1"/>
  <c r="K119" i="1"/>
  <c r="E123" i="1" l="1"/>
  <c r="E122" i="1"/>
  <c r="K268" i="31"/>
  <c r="L267" i="31"/>
  <c r="C42" i="17"/>
  <c r="K269" i="31" l="1"/>
  <c r="L268" i="31"/>
  <c r="D8" i="16"/>
  <c r="K270" i="31" l="1"/>
  <c r="L269" i="31"/>
  <c r="D807" i="18"/>
  <c r="K271" i="31" l="1"/>
  <c r="L270" i="31"/>
  <c r="D806" i="18"/>
  <c r="D805" i="18"/>
  <c r="D804" i="18"/>
  <c r="D803" i="18"/>
  <c r="D802" i="18"/>
  <c r="D801" i="18"/>
  <c r="D800" i="18"/>
  <c r="D799" i="18"/>
  <c r="D798" i="18"/>
  <c r="D797" i="18"/>
  <c r="D796" i="18"/>
  <c r="D795" i="18"/>
  <c r="D794" i="18"/>
  <c r="D793" i="18"/>
  <c r="D792" i="18"/>
  <c r="D791" i="18"/>
  <c r="D790" i="18"/>
  <c r="D789" i="18"/>
  <c r="D788" i="18"/>
  <c r="D787" i="18"/>
  <c r="D786" i="18"/>
  <c r="D785" i="18"/>
  <c r="D784" i="18"/>
  <c r="D783" i="18"/>
  <c r="D782" i="18"/>
  <c r="D781" i="18"/>
  <c r="D780" i="18"/>
  <c r="K272" i="31" l="1"/>
  <c r="L271" i="31"/>
  <c r="D779" i="18"/>
  <c r="K273" i="31" l="1"/>
  <c r="L272" i="31"/>
  <c r="E15" i="18"/>
  <c r="K15" i="18" s="1"/>
  <c r="D15" i="18"/>
  <c r="F15" i="18" s="1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K274" i="31" l="1"/>
  <c r="L273" i="31"/>
  <c r="C10" i="34"/>
  <c r="L274" i="31" l="1"/>
  <c r="K275" i="31"/>
  <c r="C41" i="17"/>
  <c r="L275" i="31" l="1"/>
  <c r="K276" i="31"/>
  <c r="G91" i="26"/>
  <c r="F91" i="26"/>
  <c r="K277" i="31" l="1"/>
  <c r="L276" i="31"/>
  <c r="C40" i="17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698" i="18"/>
  <c r="K278" i="31" l="1"/>
  <c r="L277" i="31"/>
  <c r="D67" i="11"/>
  <c r="K279" i="31" l="1"/>
  <c r="L278" i="31"/>
  <c r="D743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K280" i="31" l="1"/>
  <c r="L279" i="31"/>
  <c r="C39" i="17"/>
  <c r="K281" i="31" l="1"/>
  <c r="L280" i="31"/>
  <c r="E91" i="26"/>
  <c r="D91" i="26"/>
  <c r="K282" i="31" l="1"/>
  <c r="L281" i="31"/>
  <c r="C38" i="17"/>
  <c r="D329" i="18"/>
  <c r="D325" i="18"/>
  <c r="D326" i="18"/>
  <c r="D327" i="18"/>
  <c r="D328" i="18"/>
  <c r="D324" i="18"/>
  <c r="K283" i="31" l="1"/>
  <c r="L282" i="31"/>
  <c r="D41" i="18"/>
  <c r="K284" i="31" l="1"/>
  <c r="L283" i="31"/>
  <c r="F41" i="18"/>
  <c r="C7" i="18"/>
  <c r="F57" i="6"/>
  <c r="F58" i="6" s="1"/>
  <c r="K285" i="31" l="1"/>
  <c r="L284" i="31"/>
  <c r="H91" i="26"/>
  <c r="C91" i="26"/>
  <c r="K286" i="31" l="1"/>
  <c r="L285" i="31"/>
  <c r="P12" i="23"/>
  <c r="P78" i="23" s="1"/>
  <c r="K287" i="31" l="1"/>
  <c r="L286" i="31"/>
  <c r="K288" i="31" l="1"/>
  <c r="L287" i="31"/>
  <c r="I144" i="18"/>
  <c r="H144" i="18" s="1"/>
  <c r="I143" i="18"/>
  <c r="H143" i="18" s="1"/>
  <c r="I142" i="18"/>
  <c r="H142" i="18" s="1"/>
  <c r="I141" i="18"/>
  <c r="H141" i="18" s="1"/>
  <c r="I140" i="18"/>
  <c r="H140" i="18" s="1"/>
  <c r="I139" i="18"/>
  <c r="H139" i="18" s="1"/>
  <c r="I138" i="18"/>
  <c r="H138" i="18" s="1"/>
  <c r="I137" i="18"/>
  <c r="H137" i="18" s="1"/>
  <c r="I136" i="18"/>
  <c r="H136" i="18" s="1"/>
  <c r="K289" i="31" l="1"/>
  <c r="L288" i="31"/>
  <c r="S87" i="25"/>
  <c r="K290" i="31" l="1"/>
  <c r="L289" i="31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222" i="18"/>
  <c r="K291" i="31" l="1"/>
  <c r="L290" i="31"/>
  <c r="I10" i="5"/>
  <c r="K292" i="31" l="1"/>
  <c r="L291" i="31"/>
  <c r="G14" i="5"/>
  <c r="D14" i="5"/>
  <c r="C14" i="5"/>
  <c r="C16" i="5" s="1"/>
  <c r="K293" i="31" l="1"/>
  <c r="L292" i="31"/>
  <c r="F11" i="5"/>
  <c r="H11" i="5"/>
  <c r="K294" i="31" l="1"/>
  <c r="L293" i="31"/>
  <c r="I11" i="5"/>
  <c r="F14" i="5"/>
  <c r="F16" i="5" s="1"/>
  <c r="D221" i="18"/>
  <c r="K295" i="31" l="1"/>
  <c r="L294" i="31"/>
  <c r="G95" i="18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G106" i="18" s="1"/>
  <c r="G107" i="18" s="1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130" i="18" s="1"/>
  <c r="G131" i="18" s="1"/>
  <c r="G132" i="18" s="1"/>
  <c r="G133" i="18" s="1"/>
  <c r="G134" i="18" s="1"/>
  <c r="G135" i="18" s="1"/>
  <c r="G145" i="18" s="1"/>
  <c r="G146" i="18" s="1"/>
  <c r="G147" i="18" s="1"/>
  <c r="G148" i="18" s="1"/>
  <c r="G149" i="18" s="1"/>
  <c r="G150" i="18" s="1"/>
  <c r="G151" i="18" s="1"/>
  <c r="G152" i="18" s="1"/>
  <c r="G153" i="18" s="1"/>
  <c r="G154" i="18" s="1"/>
  <c r="G155" i="18" s="1"/>
  <c r="G156" i="18" s="1"/>
  <c r="G157" i="18" s="1"/>
  <c r="G158" i="18" s="1"/>
  <c r="G159" i="18" s="1"/>
  <c r="G160" i="18" s="1"/>
  <c r="G161" i="18" s="1"/>
  <c r="G162" i="18" s="1"/>
  <c r="G163" i="18" s="1"/>
  <c r="G164" i="18" s="1"/>
  <c r="G165" i="18" s="1"/>
  <c r="G166" i="18" s="1"/>
  <c r="G167" i="18" s="1"/>
  <c r="G168" i="18" s="1"/>
  <c r="G169" i="18" s="1"/>
  <c r="G170" i="18" s="1"/>
  <c r="G171" i="18" s="1"/>
  <c r="G172" i="18" s="1"/>
  <c r="G173" i="18" s="1"/>
  <c r="G174" i="18" s="1"/>
  <c r="G175" i="18" s="1"/>
  <c r="G176" i="18" s="1"/>
  <c r="G177" i="18" s="1"/>
  <c r="G178" i="18" s="1"/>
  <c r="G179" i="18" s="1"/>
  <c r="G180" i="18" s="1"/>
  <c r="G181" i="18" s="1"/>
  <c r="G182" i="18" s="1"/>
  <c r="G183" i="18" s="1"/>
  <c r="G184" i="18" s="1"/>
  <c r="G185" i="18" s="1"/>
  <c r="G186" i="18" s="1"/>
  <c r="G187" i="18" s="1"/>
  <c r="G188" i="18" s="1"/>
  <c r="G189" i="18" s="1"/>
  <c r="G190" i="18" s="1"/>
  <c r="G191" i="18" s="1"/>
  <c r="G192" i="18" s="1"/>
  <c r="G193" i="18" s="1"/>
  <c r="G194" i="18" s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213" i="18" s="1"/>
  <c r="G214" i="18" s="1"/>
  <c r="G215" i="18" s="1"/>
  <c r="G216" i="18" s="1"/>
  <c r="G217" i="18" s="1"/>
  <c r="G218" i="18" s="1"/>
  <c r="G219" i="18" s="1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K296" i="31" l="1"/>
  <c r="L295" i="31"/>
  <c r="G222" i="18"/>
  <c r="G327" i="18" s="1"/>
  <c r="G324" i="18"/>
  <c r="I150" i="18"/>
  <c r="H150" i="18" s="1"/>
  <c r="I163" i="18"/>
  <c r="H163" i="18" s="1"/>
  <c r="I157" i="18"/>
  <c r="H157" i="18" s="1"/>
  <c r="G220" i="18"/>
  <c r="G221" i="18"/>
  <c r="G326" i="18" s="1"/>
  <c r="I214" i="18"/>
  <c r="H214" i="18" s="1"/>
  <c r="I207" i="18"/>
  <c r="H207" i="18" s="1"/>
  <c r="I201" i="18"/>
  <c r="H201" i="18" s="1"/>
  <c r="I194" i="18"/>
  <c r="H194" i="18" s="1"/>
  <c r="I188" i="18"/>
  <c r="H188" i="18" s="1"/>
  <c r="I175" i="18"/>
  <c r="H175" i="18" s="1"/>
  <c r="I169" i="18"/>
  <c r="H169" i="18" s="1"/>
  <c r="I162" i="18"/>
  <c r="H162" i="18" s="1"/>
  <c r="I156" i="18"/>
  <c r="H156" i="18" s="1"/>
  <c r="I215" i="18"/>
  <c r="H215" i="18" s="1"/>
  <c r="I195" i="18"/>
  <c r="H195" i="18" s="1"/>
  <c r="I182" i="18"/>
  <c r="H182" i="18" s="1"/>
  <c r="I206" i="18"/>
  <c r="H206" i="18" s="1"/>
  <c r="I181" i="18"/>
  <c r="H181" i="18" s="1"/>
  <c r="I155" i="18"/>
  <c r="H155" i="18" s="1"/>
  <c r="I193" i="18"/>
  <c r="H193" i="18" s="1"/>
  <c r="I167" i="18"/>
  <c r="H167" i="18" s="1"/>
  <c r="I148" i="18"/>
  <c r="H148" i="18" s="1"/>
  <c r="I208" i="18"/>
  <c r="H208" i="18" s="1"/>
  <c r="I189" i="18"/>
  <c r="H189" i="18" s="1"/>
  <c r="I176" i="18"/>
  <c r="H176" i="18" s="1"/>
  <c r="I213" i="18"/>
  <c r="H213" i="18" s="1"/>
  <c r="I200" i="18"/>
  <c r="H200" i="18" s="1"/>
  <c r="I187" i="18"/>
  <c r="H187" i="18" s="1"/>
  <c r="I174" i="18"/>
  <c r="H174" i="18" s="1"/>
  <c r="I168" i="18"/>
  <c r="H168" i="18" s="1"/>
  <c r="I149" i="18"/>
  <c r="H149" i="18" s="1"/>
  <c r="I212" i="18"/>
  <c r="H212" i="18" s="1"/>
  <c r="I199" i="18"/>
  <c r="H199" i="18" s="1"/>
  <c r="I186" i="18"/>
  <c r="H186" i="18" s="1"/>
  <c r="I180" i="18"/>
  <c r="H180" i="18" s="1"/>
  <c r="I161" i="18"/>
  <c r="H161" i="18" s="1"/>
  <c r="I154" i="18"/>
  <c r="H154" i="18" s="1"/>
  <c r="I219" i="18"/>
  <c r="H219" i="18" s="1"/>
  <c r="I211" i="18"/>
  <c r="H211" i="18" s="1"/>
  <c r="I205" i="18"/>
  <c r="H205" i="18" s="1"/>
  <c r="I198" i="18"/>
  <c r="H198" i="18" s="1"/>
  <c r="I192" i="18"/>
  <c r="H192" i="18" s="1"/>
  <c r="I179" i="18"/>
  <c r="H179" i="18" s="1"/>
  <c r="I173" i="18"/>
  <c r="H173" i="18" s="1"/>
  <c r="I166" i="18"/>
  <c r="H166" i="18" s="1"/>
  <c r="I160" i="18"/>
  <c r="H160" i="18" s="1"/>
  <c r="I147" i="18"/>
  <c r="H147" i="18" s="1"/>
  <c r="I218" i="18"/>
  <c r="H218" i="18" s="1"/>
  <c r="I210" i="18"/>
  <c r="H210" i="18" s="1"/>
  <c r="I204" i="18"/>
  <c r="H204" i="18" s="1"/>
  <c r="I191" i="18"/>
  <c r="H191" i="18" s="1"/>
  <c r="I185" i="18"/>
  <c r="H185" i="18" s="1"/>
  <c r="I178" i="18"/>
  <c r="H178" i="18" s="1"/>
  <c r="I172" i="18"/>
  <c r="H172" i="18" s="1"/>
  <c r="I159" i="18"/>
  <c r="H159" i="18" s="1"/>
  <c r="I153" i="18"/>
  <c r="H153" i="18" s="1"/>
  <c r="I146" i="18"/>
  <c r="H146" i="18" s="1"/>
  <c r="I203" i="18"/>
  <c r="H203" i="18" s="1"/>
  <c r="I197" i="18"/>
  <c r="H197" i="18" s="1"/>
  <c r="I190" i="18"/>
  <c r="H190" i="18" s="1"/>
  <c r="I184" i="18"/>
  <c r="H184" i="18" s="1"/>
  <c r="I171" i="18"/>
  <c r="H171" i="18" s="1"/>
  <c r="I165" i="18"/>
  <c r="H165" i="18" s="1"/>
  <c r="I158" i="18"/>
  <c r="H158" i="18" s="1"/>
  <c r="I152" i="18"/>
  <c r="H152" i="18" s="1"/>
  <c r="I217" i="18"/>
  <c r="H217" i="18" s="1"/>
  <c r="I216" i="18"/>
  <c r="H216" i="18" s="1"/>
  <c r="I209" i="18"/>
  <c r="H209" i="18" s="1"/>
  <c r="I202" i="18"/>
  <c r="H202" i="18" s="1"/>
  <c r="I196" i="18"/>
  <c r="H196" i="18" s="1"/>
  <c r="I183" i="18"/>
  <c r="H183" i="18" s="1"/>
  <c r="I177" i="18"/>
  <c r="H177" i="18" s="1"/>
  <c r="I170" i="18"/>
  <c r="H170" i="18" s="1"/>
  <c r="I164" i="18"/>
  <c r="H164" i="18" s="1"/>
  <c r="I151" i="18"/>
  <c r="H151" i="18" s="1"/>
  <c r="I145" i="18"/>
  <c r="H145" i="18" s="1"/>
  <c r="K297" i="31" l="1"/>
  <c r="L296" i="31"/>
  <c r="G225" i="18"/>
  <c r="G330" i="18" s="1"/>
  <c r="I330" i="18" s="1"/>
  <c r="H330" i="18" s="1"/>
  <c r="I222" i="18"/>
  <c r="H222" i="18" s="1"/>
  <c r="I326" i="18"/>
  <c r="H326" i="18" s="1"/>
  <c r="G431" i="18"/>
  <c r="I324" i="18"/>
  <c r="H324" i="18" s="1"/>
  <c r="G429" i="18"/>
  <c r="I327" i="18"/>
  <c r="H327" i="18" s="1"/>
  <c r="G432" i="18"/>
  <c r="G223" i="18"/>
  <c r="G328" i="18" s="1"/>
  <c r="G325" i="18"/>
  <c r="I221" i="18"/>
  <c r="H221" i="18" s="1"/>
  <c r="G224" i="18"/>
  <c r="G329" i="18" s="1"/>
  <c r="I220" i="18"/>
  <c r="H220" i="18" s="1"/>
  <c r="K298" i="31" l="1"/>
  <c r="L297" i="31"/>
  <c r="I225" i="18"/>
  <c r="H225" i="18" s="1"/>
  <c r="G435" i="18"/>
  <c r="G540" i="18" s="1"/>
  <c r="G228" i="18"/>
  <c r="G333" i="18" s="1"/>
  <c r="I333" i="18" s="1"/>
  <c r="H333" i="18" s="1"/>
  <c r="G537" i="18"/>
  <c r="I432" i="18"/>
  <c r="H432" i="18" s="1"/>
  <c r="I329" i="18"/>
  <c r="H329" i="18" s="1"/>
  <c r="G434" i="18"/>
  <c r="I431" i="18"/>
  <c r="H431" i="18" s="1"/>
  <c r="G536" i="18"/>
  <c r="I325" i="18"/>
  <c r="H325" i="18" s="1"/>
  <c r="G430" i="18"/>
  <c r="I429" i="18"/>
  <c r="H429" i="18" s="1"/>
  <c r="G534" i="18"/>
  <c r="I328" i="18"/>
  <c r="H328" i="18" s="1"/>
  <c r="G433" i="18"/>
  <c r="G226" i="18"/>
  <c r="I226" i="18" s="1"/>
  <c r="H226" i="18" s="1"/>
  <c r="I223" i="18"/>
  <c r="H223" i="18" s="1"/>
  <c r="I224" i="18"/>
  <c r="H224" i="18" s="1"/>
  <c r="G227" i="18"/>
  <c r="G332" i="18" s="1"/>
  <c r="K299" i="31" l="1"/>
  <c r="L298" i="31"/>
  <c r="I228" i="18"/>
  <c r="H228" i="18" s="1"/>
  <c r="G231" i="18"/>
  <c r="G336" i="18" s="1"/>
  <c r="G441" i="18" s="1"/>
  <c r="G438" i="18"/>
  <c r="I438" i="18" s="1"/>
  <c r="H438" i="18" s="1"/>
  <c r="I435" i="18"/>
  <c r="H435" i="18" s="1"/>
  <c r="I430" i="18"/>
  <c r="H430" i="18" s="1"/>
  <c r="G535" i="18"/>
  <c r="G538" i="18"/>
  <c r="I433" i="18"/>
  <c r="H433" i="18" s="1"/>
  <c r="I534" i="18"/>
  <c r="H534" i="18" s="1"/>
  <c r="G639" i="18"/>
  <c r="I434" i="18"/>
  <c r="H434" i="18" s="1"/>
  <c r="G539" i="18"/>
  <c r="I536" i="18"/>
  <c r="H536" i="18" s="1"/>
  <c r="G641" i="18"/>
  <c r="I540" i="18"/>
  <c r="H540" i="18" s="1"/>
  <c r="G645" i="18"/>
  <c r="I332" i="18"/>
  <c r="H332" i="18" s="1"/>
  <c r="G437" i="18"/>
  <c r="G229" i="18"/>
  <c r="G334" i="18" s="1"/>
  <c r="G331" i="18"/>
  <c r="G642" i="18"/>
  <c r="I537" i="18"/>
  <c r="H537" i="18" s="1"/>
  <c r="I227" i="18"/>
  <c r="H227" i="18" s="1"/>
  <c r="G230" i="18"/>
  <c r="G335" i="18" s="1"/>
  <c r="K300" i="31" l="1"/>
  <c r="L299" i="31"/>
  <c r="I231" i="18"/>
  <c r="H231" i="18" s="1"/>
  <c r="I336" i="18"/>
  <c r="H336" i="18" s="1"/>
  <c r="G234" i="18"/>
  <c r="G339" i="18" s="1"/>
  <c r="I339" i="18" s="1"/>
  <c r="H339" i="18" s="1"/>
  <c r="G543" i="18"/>
  <c r="G648" i="18" s="1"/>
  <c r="I639" i="18"/>
  <c r="H639" i="18" s="1"/>
  <c r="G789" i="18"/>
  <c r="I645" i="18"/>
  <c r="H645" i="18" s="1"/>
  <c r="G795" i="18"/>
  <c r="I641" i="18"/>
  <c r="H641" i="18" s="1"/>
  <c r="G791" i="18"/>
  <c r="I642" i="18"/>
  <c r="H642" i="18" s="1"/>
  <c r="G792" i="18"/>
  <c r="G546" i="18"/>
  <c r="I441" i="18"/>
  <c r="H441" i="18" s="1"/>
  <c r="I335" i="18"/>
  <c r="H335" i="18" s="1"/>
  <c r="G440" i="18"/>
  <c r="I331" i="18"/>
  <c r="H331" i="18" s="1"/>
  <c r="G436" i="18"/>
  <c r="I539" i="18"/>
  <c r="H539" i="18" s="1"/>
  <c r="G644" i="18"/>
  <c r="I334" i="18"/>
  <c r="H334" i="18" s="1"/>
  <c r="G439" i="18"/>
  <c r="G643" i="18"/>
  <c r="I538" i="18"/>
  <c r="H538" i="18" s="1"/>
  <c r="I229" i="18"/>
  <c r="H229" i="18" s="1"/>
  <c r="I437" i="18"/>
  <c r="H437" i="18" s="1"/>
  <c r="G542" i="18"/>
  <c r="I535" i="18"/>
  <c r="H535" i="18" s="1"/>
  <c r="G640" i="18"/>
  <c r="G232" i="18"/>
  <c r="G337" i="18" s="1"/>
  <c r="G233" i="18"/>
  <c r="G338" i="18" s="1"/>
  <c r="I230" i="18"/>
  <c r="H230" i="18" s="1"/>
  <c r="D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D130" i="18"/>
  <c r="D131" i="18"/>
  <c r="D132" i="18"/>
  <c r="D133" i="18"/>
  <c r="D134" i="18"/>
  <c r="D135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K301" i="31" l="1"/>
  <c r="L300" i="31"/>
  <c r="D1882" i="18"/>
  <c r="K92" i="26"/>
  <c r="G237" i="18"/>
  <c r="G342" i="18" s="1"/>
  <c r="I342" i="18" s="1"/>
  <c r="H342" i="18" s="1"/>
  <c r="I543" i="18"/>
  <c r="H543" i="18" s="1"/>
  <c r="I795" i="18"/>
  <c r="H795" i="18" s="1"/>
  <c r="G945" i="18"/>
  <c r="I789" i="18"/>
  <c r="H789" i="18" s="1"/>
  <c r="G939" i="18"/>
  <c r="I792" i="18"/>
  <c r="H792" i="18" s="1"/>
  <c r="G942" i="18"/>
  <c r="I791" i="18"/>
  <c r="H791" i="18" s="1"/>
  <c r="G941" i="18"/>
  <c r="I232" i="18"/>
  <c r="H232" i="18" s="1"/>
  <c r="I234" i="18"/>
  <c r="H234" i="18" s="1"/>
  <c r="G444" i="18"/>
  <c r="I444" i="18" s="1"/>
  <c r="H444" i="18" s="1"/>
  <c r="I644" i="18"/>
  <c r="H644" i="18" s="1"/>
  <c r="G794" i="18"/>
  <c r="I640" i="18"/>
  <c r="H640" i="18" s="1"/>
  <c r="G790" i="18"/>
  <c r="I648" i="18"/>
  <c r="H648" i="18" s="1"/>
  <c r="G798" i="18"/>
  <c r="I643" i="18"/>
  <c r="H643" i="18" s="1"/>
  <c r="G793" i="18"/>
  <c r="G235" i="18"/>
  <c r="G340" i="18" s="1"/>
  <c r="G445" i="18" s="1"/>
  <c r="G442" i="18"/>
  <c r="I337" i="18"/>
  <c r="H337" i="18" s="1"/>
  <c r="I436" i="18"/>
  <c r="H436" i="18" s="1"/>
  <c r="G541" i="18"/>
  <c r="I338" i="18"/>
  <c r="H338" i="18" s="1"/>
  <c r="G443" i="18"/>
  <c r="I440" i="18"/>
  <c r="H440" i="18" s="1"/>
  <c r="G545" i="18"/>
  <c r="I439" i="18"/>
  <c r="H439" i="18" s="1"/>
  <c r="G544" i="18"/>
  <c r="I542" i="18"/>
  <c r="H542" i="18" s="1"/>
  <c r="G647" i="18"/>
  <c r="G651" i="18"/>
  <c r="I546" i="18"/>
  <c r="H546" i="18" s="1"/>
  <c r="G236" i="18"/>
  <c r="G341" i="18" s="1"/>
  <c r="I233" i="18"/>
  <c r="H233" i="18" s="1"/>
  <c r="H123" i="18"/>
  <c r="H134" i="18"/>
  <c r="H131" i="18"/>
  <c r="H132" i="18"/>
  <c r="H130" i="18"/>
  <c r="H115" i="18"/>
  <c r="H99" i="18"/>
  <c r="H111" i="18"/>
  <c r="H103" i="18"/>
  <c r="H95" i="18"/>
  <c r="H133" i="18"/>
  <c r="H127" i="18"/>
  <c r="H107" i="18"/>
  <c r="H119" i="18"/>
  <c r="H128" i="18"/>
  <c r="H124" i="18"/>
  <c r="H120" i="18"/>
  <c r="H116" i="18"/>
  <c r="H112" i="18"/>
  <c r="H108" i="18"/>
  <c r="H104" i="18"/>
  <c r="H100" i="18"/>
  <c r="H96" i="18"/>
  <c r="H135" i="18"/>
  <c r="H126" i="18"/>
  <c r="H122" i="18"/>
  <c r="H118" i="18"/>
  <c r="H114" i="18"/>
  <c r="H110" i="18"/>
  <c r="H106" i="18"/>
  <c r="H102" i="18"/>
  <c r="H98" i="18"/>
  <c r="H129" i="18"/>
  <c r="H125" i="18"/>
  <c r="H121" i="18"/>
  <c r="H117" i="18"/>
  <c r="H113" i="18"/>
  <c r="H109" i="18"/>
  <c r="H105" i="18"/>
  <c r="H101" i="18"/>
  <c r="H97" i="18"/>
  <c r="K302" i="31" l="1"/>
  <c r="L301" i="31"/>
  <c r="I945" i="18"/>
  <c r="H945" i="18" s="1"/>
  <c r="G1103" i="18"/>
  <c r="I939" i="18"/>
  <c r="H939" i="18" s="1"/>
  <c r="G1097" i="18"/>
  <c r="I941" i="18"/>
  <c r="H941" i="18" s="1"/>
  <c r="G1099" i="18"/>
  <c r="I942" i="18"/>
  <c r="H942" i="18" s="1"/>
  <c r="G1100" i="18"/>
  <c r="I237" i="18"/>
  <c r="H237" i="18" s="1"/>
  <c r="G447" i="18"/>
  <c r="G552" i="18" s="1"/>
  <c r="G240" i="18"/>
  <c r="G345" i="18" s="1"/>
  <c r="G450" i="18" s="1"/>
  <c r="I340" i="18"/>
  <c r="H340" i="18" s="1"/>
  <c r="I794" i="18"/>
  <c r="H794" i="18" s="1"/>
  <c r="G944" i="18"/>
  <c r="I790" i="18"/>
  <c r="H790" i="18" s="1"/>
  <c r="G940" i="18"/>
  <c r="I793" i="18"/>
  <c r="H793" i="18" s="1"/>
  <c r="G943" i="18"/>
  <c r="I798" i="18"/>
  <c r="H798" i="18" s="1"/>
  <c r="G948" i="18"/>
  <c r="I235" i="18"/>
  <c r="H235" i="18" s="1"/>
  <c r="G549" i="18"/>
  <c r="I549" i="18" s="1"/>
  <c r="H549" i="18" s="1"/>
  <c r="G238" i="18"/>
  <c r="G343" i="18" s="1"/>
  <c r="I343" i="18" s="1"/>
  <c r="H343" i="18" s="1"/>
  <c r="I651" i="18"/>
  <c r="H651" i="18" s="1"/>
  <c r="G801" i="18"/>
  <c r="I647" i="18"/>
  <c r="H647" i="18" s="1"/>
  <c r="G797" i="18"/>
  <c r="G650" i="18"/>
  <c r="I545" i="18"/>
  <c r="H545" i="18" s="1"/>
  <c r="G547" i="18"/>
  <c r="I442" i="18"/>
  <c r="H442" i="18" s="1"/>
  <c r="I544" i="18"/>
  <c r="H544" i="18" s="1"/>
  <c r="G649" i="18"/>
  <c r="I341" i="18"/>
  <c r="H341" i="18" s="1"/>
  <c r="G446" i="18"/>
  <c r="I443" i="18"/>
  <c r="H443" i="18" s="1"/>
  <c r="G548" i="18"/>
  <c r="I445" i="18"/>
  <c r="H445" i="18" s="1"/>
  <c r="G550" i="18"/>
  <c r="I541" i="18"/>
  <c r="H541" i="18" s="1"/>
  <c r="G646" i="18"/>
  <c r="I236" i="18"/>
  <c r="H236" i="18" s="1"/>
  <c r="G239" i="18"/>
  <c r="G344" i="18" s="1"/>
  <c r="K303" i="31" l="1"/>
  <c r="L302" i="31"/>
  <c r="I1100" i="18"/>
  <c r="H1100" i="18" s="1"/>
  <c r="G1259" i="18"/>
  <c r="I1103" i="18"/>
  <c r="H1103" i="18" s="1"/>
  <c r="G1262" i="18"/>
  <c r="I1099" i="18"/>
  <c r="H1099" i="18" s="1"/>
  <c r="G1258" i="18"/>
  <c r="I1097" i="18"/>
  <c r="H1097" i="18" s="1"/>
  <c r="G1256" i="18"/>
  <c r="I447" i="18"/>
  <c r="H447" i="18" s="1"/>
  <c r="I240" i="18"/>
  <c r="H240" i="18" s="1"/>
  <c r="I944" i="18"/>
  <c r="H944" i="18" s="1"/>
  <c r="G1102" i="18"/>
  <c r="I948" i="18"/>
  <c r="H948" i="18" s="1"/>
  <c r="G1106" i="18"/>
  <c r="I943" i="18"/>
  <c r="H943" i="18" s="1"/>
  <c r="G1101" i="18"/>
  <c r="I940" i="18"/>
  <c r="H940" i="18" s="1"/>
  <c r="G1098" i="18"/>
  <c r="I345" i="18"/>
  <c r="H345" i="18" s="1"/>
  <c r="G243" i="18"/>
  <c r="G348" i="18" s="1"/>
  <c r="G453" i="18" s="1"/>
  <c r="G654" i="18"/>
  <c r="G804" i="18" s="1"/>
  <c r="I238" i="18"/>
  <c r="H238" i="18" s="1"/>
  <c r="G241" i="18"/>
  <c r="G346" i="18" s="1"/>
  <c r="I346" i="18" s="1"/>
  <c r="H346" i="18" s="1"/>
  <c r="G448" i="18"/>
  <c r="G553" i="18" s="1"/>
  <c r="I797" i="18"/>
  <c r="H797" i="18" s="1"/>
  <c r="G947" i="18"/>
  <c r="I801" i="18"/>
  <c r="H801" i="18" s="1"/>
  <c r="G951" i="18"/>
  <c r="I650" i="18"/>
  <c r="H650" i="18" s="1"/>
  <c r="G800" i="18"/>
  <c r="I649" i="18"/>
  <c r="H649" i="18" s="1"/>
  <c r="G799" i="18"/>
  <c r="I646" i="18"/>
  <c r="H646" i="18" s="1"/>
  <c r="G796" i="18"/>
  <c r="I446" i="18"/>
  <c r="H446" i="18" s="1"/>
  <c r="G551" i="18"/>
  <c r="G555" i="18"/>
  <c r="I450" i="18"/>
  <c r="H450" i="18" s="1"/>
  <c r="I344" i="18"/>
  <c r="H344" i="18" s="1"/>
  <c r="G449" i="18"/>
  <c r="G652" i="18"/>
  <c r="I547" i="18"/>
  <c r="H547" i="18" s="1"/>
  <c r="I548" i="18"/>
  <c r="H548" i="18" s="1"/>
  <c r="G653" i="18"/>
  <c r="I552" i="18"/>
  <c r="H552" i="18" s="1"/>
  <c r="G657" i="18"/>
  <c r="I550" i="18"/>
  <c r="H550" i="18" s="1"/>
  <c r="G655" i="18"/>
  <c r="G242" i="18"/>
  <c r="G347" i="18" s="1"/>
  <c r="I239" i="18"/>
  <c r="H239" i="18" s="1"/>
  <c r="K304" i="31" l="1"/>
  <c r="L303" i="31"/>
  <c r="I1256" i="18"/>
  <c r="H1256" i="18" s="1"/>
  <c r="G1414" i="18"/>
  <c r="I1262" i="18"/>
  <c r="H1262" i="18" s="1"/>
  <c r="G1420" i="18"/>
  <c r="G1686" i="18" s="1"/>
  <c r="I1686" i="18" s="1"/>
  <c r="H1686" i="18" s="1"/>
  <c r="I1259" i="18"/>
  <c r="H1259" i="18" s="1"/>
  <c r="G1417" i="18"/>
  <c r="G1683" i="18" s="1"/>
  <c r="I1683" i="18" s="1"/>
  <c r="H1683" i="18" s="1"/>
  <c r="I1258" i="18"/>
  <c r="H1258" i="18" s="1"/>
  <c r="G1416" i="18"/>
  <c r="I1101" i="18"/>
  <c r="H1101" i="18" s="1"/>
  <c r="G1260" i="18"/>
  <c r="I1106" i="18"/>
  <c r="H1106" i="18" s="1"/>
  <c r="G1265" i="18"/>
  <c r="I1102" i="18"/>
  <c r="H1102" i="18" s="1"/>
  <c r="G1261" i="18"/>
  <c r="I1098" i="18"/>
  <c r="H1098" i="18" s="1"/>
  <c r="G1257" i="18"/>
  <c r="I951" i="18"/>
  <c r="H951" i="18" s="1"/>
  <c r="G1109" i="18"/>
  <c r="I947" i="18"/>
  <c r="H947" i="18" s="1"/>
  <c r="G1105" i="18"/>
  <c r="I348" i="18"/>
  <c r="H348" i="18" s="1"/>
  <c r="I243" i="18"/>
  <c r="H243" i="18" s="1"/>
  <c r="G246" i="18"/>
  <c r="G351" i="18" s="1"/>
  <c r="G456" i="18" s="1"/>
  <c r="G244" i="18"/>
  <c r="G349" i="18" s="1"/>
  <c r="I349" i="18" s="1"/>
  <c r="H349" i="18" s="1"/>
  <c r="I241" i="18"/>
  <c r="H241" i="18" s="1"/>
  <c r="I654" i="18"/>
  <c r="H654" i="18" s="1"/>
  <c r="G451" i="18"/>
  <c r="I451" i="18" s="1"/>
  <c r="H451" i="18" s="1"/>
  <c r="I448" i="18"/>
  <c r="H448" i="18" s="1"/>
  <c r="I800" i="18"/>
  <c r="H800" i="18" s="1"/>
  <c r="G950" i="18"/>
  <c r="I796" i="18"/>
  <c r="H796" i="18" s="1"/>
  <c r="G946" i="18"/>
  <c r="I799" i="18"/>
  <c r="H799" i="18" s="1"/>
  <c r="G949" i="18"/>
  <c r="I804" i="18"/>
  <c r="H804" i="18" s="1"/>
  <c r="G954" i="18"/>
  <c r="G1112" i="18" s="1"/>
  <c r="I657" i="18"/>
  <c r="H657" i="18" s="1"/>
  <c r="G807" i="18"/>
  <c r="I652" i="18"/>
  <c r="H652" i="18" s="1"/>
  <c r="G802" i="18"/>
  <c r="I653" i="18"/>
  <c r="H653" i="18" s="1"/>
  <c r="G803" i="18"/>
  <c r="I655" i="18"/>
  <c r="H655" i="18" s="1"/>
  <c r="G805" i="18"/>
  <c r="I453" i="18"/>
  <c r="H453" i="18" s="1"/>
  <c r="G558" i="18"/>
  <c r="G658" i="18"/>
  <c r="I553" i="18"/>
  <c r="H553" i="18" s="1"/>
  <c r="G660" i="18"/>
  <c r="I555" i="18"/>
  <c r="H555" i="18" s="1"/>
  <c r="G554" i="18"/>
  <c r="I449" i="18"/>
  <c r="H449" i="18" s="1"/>
  <c r="I551" i="18"/>
  <c r="H551" i="18" s="1"/>
  <c r="G656" i="18"/>
  <c r="I347" i="18"/>
  <c r="H347" i="18" s="1"/>
  <c r="G452" i="18"/>
  <c r="I242" i="18"/>
  <c r="H242" i="18" s="1"/>
  <c r="G245" i="18"/>
  <c r="G350" i="18" s="1"/>
  <c r="K305" i="31" l="1"/>
  <c r="L304" i="31"/>
  <c r="G1674" i="18"/>
  <c r="I1674" i="18" s="1"/>
  <c r="H1674" i="18" s="1"/>
  <c r="G1682" i="18"/>
  <c r="I1682" i="18" s="1"/>
  <c r="H1682" i="18" s="1"/>
  <c r="I1420" i="18"/>
  <c r="H1420" i="18" s="1"/>
  <c r="G1678" i="18"/>
  <c r="I1678" i="18" s="1"/>
  <c r="H1678" i="18" s="1"/>
  <c r="I1417" i="18"/>
  <c r="H1417" i="18" s="1"/>
  <c r="G1675" i="18"/>
  <c r="I1675" i="18" s="1"/>
  <c r="H1675" i="18" s="1"/>
  <c r="I1414" i="18"/>
  <c r="H1414" i="18" s="1"/>
  <c r="G1671" i="18"/>
  <c r="I1671" i="18" s="1"/>
  <c r="H1671" i="18" s="1"/>
  <c r="I1416" i="18"/>
  <c r="H1416" i="18" s="1"/>
  <c r="I1265" i="18"/>
  <c r="H1265" i="18" s="1"/>
  <c r="G1423" i="18"/>
  <c r="I1257" i="18"/>
  <c r="H1257" i="18" s="1"/>
  <c r="G1415" i="18"/>
  <c r="I1261" i="18"/>
  <c r="H1261" i="18" s="1"/>
  <c r="G1419" i="18"/>
  <c r="G1685" i="18" s="1"/>
  <c r="I1685" i="18" s="1"/>
  <c r="H1685" i="18" s="1"/>
  <c r="I1260" i="18"/>
  <c r="H1260" i="18" s="1"/>
  <c r="G1418" i="18"/>
  <c r="G1684" i="18" s="1"/>
  <c r="I1684" i="18" s="1"/>
  <c r="H1684" i="18" s="1"/>
  <c r="I1112" i="18"/>
  <c r="H1112" i="18" s="1"/>
  <c r="G1271" i="18"/>
  <c r="I1105" i="18"/>
  <c r="H1105" i="18" s="1"/>
  <c r="G1264" i="18"/>
  <c r="I1109" i="18"/>
  <c r="H1109" i="18" s="1"/>
  <c r="G1268" i="18"/>
  <c r="I246" i="18"/>
  <c r="H246" i="18" s="1"/>
  <c r="I950" i="18"/>
  <c r="H950" i="18" s="1"/>
  <c r="G1108" i="18"/>
  <c r="I949" i="18"/>
  <c r="H949" i="18" s="1"/>
  <c r="G1107" i="18"/>
  <c r="I946" i="18"/>
  <c r="H946" i="18" s="1"/>
  <c r="G1104" i="18"/>
  <c r="G556" i="18"/>
  <c r="G661" i="18" s="1"/>
  <c r="I244" i="18"/>
  <c r="H244" i="18" s="1"/>
  <c r="G249" i="18"/>
  <c r="G354" i="18" s="1"/>
  <c r="G459" i="18" s="1"/>
  <c r="G454" i="18"/>
  <c r="G559" i="18" s="1"/>
  <c r="G247" i="18"/>
  <c r="G352" i="18" s="1"/>
  <c r="I352" i="18" s="1"/>
  <c r="H352" i="18" s="1"/>
  <c r="I351" i="18"/>
  <c r="H351" i="18" s="1"/>
  <c r="I807" i="18"/>
  <c r="H807" i="18" s="1"/>
  <c r="G957" i="18"/>
  <c r="I805" i="18"/>
  <c r="H805" i="18" s="1"/>
  <c r="G955" i="18"/>
  <c r="I803" i="18"/>
  <c r="H803" i="18" s="1"/>
  <c r="G953" i="18"/>
  <c r="I802" i="18"/>
  <c r="H802" i="18" s="1"/>
  <c r="G952" i="18"/>
  <c r="I954" i="18"/>
  <c r="H954" i="18" s="1"/>
  <c r="I660" i="18"/>
  <c r="H660" i="18" s="1"/>
  <c r="G810" i="18"/>
  <c r="I658" i="18"/>
  <c r="H658" i="18" s="1"/>
  <c r="G808" i="18"/>
  <c r="I656" i="18"/>
  <c r="H656" i="18" s="1"/>
  <c r="G806" i="18"/>
  <c r="I350" i="18"/>
  <c r="H350" i="18" s="1"/>
  <c r="G455" i="18"/>
  <c r="I456" i="18"/>
  <c r="H456" i="18" s="1"/>
  <c r="G561" i="18"/>
  <c r="I558" i="18"/>
  <c r="H558" i="18" s="1"/>
  <c r="G663" i="18"/>
  <c r="I452" i="18"/>
  <c r="H452" i="18" s="1"/>
  <c r="G557" i="18"/>
  <c r="G659" i="18"/>
  <c r="I554" i="18"/>
  <c r="H554" i="18" s="1"/>
  <c r="I245" i="18"/>
  <c r="H245" i="18" s="1"/>
  <c r="G248" i="18"/>
  <c r="G353" i="18" s="1"/>
  <c r="K306" i="31" l="1"/>
  <c r="L305" i="31"/>
  <c r="I1423" i="18"/>
  <c r="H1423" i="18" s="1"/>
  <c r="G1689" i="18"/>
  <c r="I1689" i="18" s="1"/>
  <c r="H1689" i="18" s="1"/>
  <c r="G1673" i="18"/>
  <c r="I1673" i="18" s="1"/>
  <c r="H1673" i="18" s="1"/>
  <c r="G1681" i="18"/>
  <c r="I1681" i="18" s="1"/>
  <c r="H1681" i="18" s="1"/>
  <c r="I1418" i="18"/>
  <c r="H1418" i="18" s="1"/>
  <c r="G1676" i="18"/>
  <c r="I1676" i="18" s="1"/>
  <c r="H1676" i="18" s="1"/>
  <c r="I1419" i="18"/>
  <c r="H1419" i="18" s="1"/>
  <c r="G1677" i="18"/>
  <c r="I1677" i="18" s="1"/>
  <c r="H1677" i="18" s="1"/>
  <c r="I1415" i="18"/>
  <c r="H1415" i="18" s="1"/>
  <c r="G1672" i="18"/>
  <c r="I1672" i="18" s="1"/>
  <c r="H1672" i="18" s="1"/>
  <c r="I1268" i="18"/>
  <c r="H1268" i="18" s="1"/>
  <c r="G1426" i="18"/>
  <c r="I1264" i="18"/>
  <c r="H1264" i="18" s="1"/>
  <c r="G1422" i="18"/>
  <c r="G1688" i="18" s="1"/>
  <c r="I1688" i="18" s="1"/>
  <c r="H1688" i="18" s="1"/>
  <c r="I1271" i="18"/>
  <c r="H1271" i="18" s="1"/>
  <c r="G1429" i="18"/>
  <c r="I1108" i="18"/>
  <c r="H1108" i="18" s="1"/>
  <c r="G1267" i="18"/>
  <c r="I1104" i="18"/>
  <c r="H1104" i="18" s="1"/>
  <c r="G1263" i="18"/>
  <c r="I1107" i="18"/>
  <c r="H1107" i="18" s="1"/>
  <c r="G1266" i="18"/>
  <c r="I354" i="18"/>
  <c r="H354" i="18" s="1"/>
  <c r="G252" i="18"/>
  <c r="G357" i="18" s="1"/>
  <c r="I357" i="18" s="1"/>
  <c r="H357" i="18" s="1"/>
  <c r="I454" i="18"/>
  <c r="H454" i="18" s="1"/>
  <c r="I953" i="18"/>
  <c r="H953" i="18" s="1"/>
  <c r="G1111" i="18"/>
  <c r="I952" i="18"/>
  <c r="H952" i="18" s="1"/>
  <c r="G1110" i="18"/>
  <c r="I957" i="18"/>
  <c r="H957" i="18" s="1"/>
  <c r="G1115" i="18"/>
  <c r="I955" i="18"/>
  <c r="H955" i="18" s="1"/>
  <c r="G1113" i="18"/>
  <c r="I556" i="18"/>
  <c r="H556" i="18" s="1"/>
  <c r="I249" i="18"/>
  <c r="H249" i="18" s="1"/>
  <c r="G457" i="18"/>
  <c r="I457" i="18" s="1"/>
  <c r="H457" i="18" s="1"/>
  <c r="I247" i="18"/>
  <c r="H247" i="18" s="1"/>
  <c r="G250" i="18"/>
  <c r="G355" i="18" s="1"/>
  <c r="G460" i="18" s="1"/>
  <c r="I810" i="18"/>
  <c r="H810" i="18" s="1"/>
  <c r="G960" i="18"/>
  <c r="I806" i="18"/>
  <c r="H806" i="18" s="1"/>
  <c r="G956" i="18"/>
  <c r="I808" i="18"/>
  <c r="H808" i="18" s="1"/>
  <c r="G958" i="18"/>
  <c r="I663" i="18"/>
  <c r="H663" i="18" s="1"/>
  <c r="G813" i="18"/>
  <c r="I659" i="18"/>
  <c r="H659" i="18" s="1"/>
  <c r="G809" i="18"/>
  <c r="I661" i="18"/>
  <c r="H661" i="18" s="1"/>
  <c r="G811" i="18"/>
  <c r="I559" i="18"/>
  <c r="H559" i="18" s="1"/>
  <c r="G664" i="18"/>
  <c r="G666" i="18"/>
  <c r="I561" i="18"/>
  <c r="H561" i="18" s="1"/>
  <c r="G458" i="18"/>
  <c r="I353" i="18"/>
  <c r="H353" i="18" s="1"/>
  <c r="I459" i="18"/>
  <c r="H459" i="18" s="1"/>
  <c r="G564" i="18"/>
  <c r="I455" i="18"/>
  <c r="H455" i="18" s="1"/>
  <c r="G560" i="18"/>
  <c r="I557" i="18"/>
  <c r="H557" i="18" s="1"/>
  <c r="G662" i="18"/>
  <c r="G251" i="18"/>
  <c r="G356" i="18" s="1"/>
  <c r="I248" i="18"/>
  <c r="H248" i="18" s="1"/>
  <c r="C36" i="17"/>
  <c r="C35" i="17"/>
  <c r="K307" i="31" l="1"/>
  <c r="L306" i="31"/>
  <c r="I1426" i="18"/>
  <c r="H1426" i="18" s="1"/>
  <c r="G1692" i="18"/>
  <c r="I1692" i="18" s="1"/>
  <c r="H1692" i="18" s="1"/>
  <c r="I1429" i="18"/>
  <c r="H1429" i="18" s="1"/>
  <c r="G1695" i="18"/>
  <c r="I1695" i="18" s="1"/>
  <c r="H1695" i="18" s="1"/>
  <c r="I1422" i="18"/>
  <c r="H1422" i="18" s="1"/>
  <c r="G1680" i="18"/>
  <c r="I1680" i="18" s="1"/>
  <c r="H1680" i="18" s="1"/>
  <c r="I1267" i="18"/>
  <c r="H1267" i="18" s="1"/>
  <c r="G1425" i="18"/>
  <c r="I1266" i="18"/>
  <c r="H1266" i="18" s="1"/>
  <c r="G1424" i="18"/>
  <c r="I1263" i="18"/>
  <c r="H1263" i="18" s="1"/>
  <c r="G1421" i="18"/>
  <c r="G1687" i="18" s="1"/>
  <c r="I1687" i="18" s="1"/>
  <c r="H1687" i="18" s="1"/>
  <c r="I252" i="18"/>
  <c r="H252" i="18" s="1"/>
  <c r="G255" i="18"/>
  <c r="G360" i="18" s="1"/>
  <c r="G465" i="18" s="1"/>
  <c r="G462" i="18"/>
  <c r="I462" i="18" s="1"/>
  <c r="H462" i="18" s="1"/>
  <c r="G562" i="18"/>
  <c r="I562" i="18" s="1"/>
  <c r="H562" i="18" s="1"/>
  <c r="I1111" i="18"/>
  <c r="H1111" i="18" s="1"/>
  <c r="G1270" i="18"/>
  <c r="I1113" i="18"/>
  <c r="H1113" i="18" s="1"/>
  <c r="G1272" i="18"/>
  <c r="I1115" i="18"/>
  <c r="H1115" i="18" s="1"/>
  <c r="G1274" i="18"/>
  <c r="I1110" i="18"/>
  <c r="H1110" i="18" s="1"/>
  <c r="G1269" i="18"/>
  <c r="I960" i="18"/>
  <c r="H960" i="18" s="1"/>
  <c r="G1118" i="18"/>
  <c r="I958" i="18"/>
  <c r="H958" i="18" s="1"/>
  <c r="G1116" i="18"/>
  <c r="I355" i="18"/>
  <c r="H355" i="18" s="1"/>
  <c r="I956" i="18"/>
  <c r="H956" i="18" s="1"/>
  <c r="G1114" i="18"/>
  <c r="I250" i="18"/>
  <c r="H250" i="18" s="1"/>
  <c r="G253" i="18"/>
  <c r="G358" i="18" s="1"/>
  <c r="I358" i="18" s="1"/>
  <c r="H358" i="18" s="1"/>
  <c r="I809" i="18"/>
  <c r="H809" i="18" s="1"/>
  <c r="G959" i="18"/>
  <c r="I811" i="18"/>
  <c r="H811" i="18" s="1"/>
  <c r="G961" i="18"/>
  <c r="I813" i="18"/>
  <c r="H813" i="18" s="1"/>
  <c r="G963" i="18"/>
  <c r="I664" i="18"/>
  <c r="H664" i="18" s="1"/>
  <c r="G814" i="18"/>
  <c r="I662" i="18"/>
  <c r="H662" i="18" s="1"/>
  <c r="G812" i="18"/>
  <c r="I666" i="18"/>
  <c r="H666" i="18" s="1"/>
  <c r="G816" i="18"/>
  <c r="I560" i="18"/>
  <c r="H560" i="18" s="1"/>
  <c r="G665" i="18"/>
  <c r="G563" i="18"/>
  <c r="I458" i="18"/>
  <c r="H458" i="18" s="1"/>
  <c r="I564" i="18"/>
  <c r="H564" i="18" s="1"/>
  <c r="G669" i="18"/>
  <c r="I460" i="18"/>
  <c r="H460" i="18" s="1"/>
  <c r="G565" i="18"/>
  <c r="I356" i="18"/>
  <c r="H356" i="18" s="1"/>
  <c r="G461" i="18"/>
  <c r="G254" i="18"/>
  <c r="G359" i="18" s="1"/>
  <c r="I251" i="18"/>
  <c r="H251" i="18" s="1"/>
  <c r="K308" i="31" l="1"/>
  <c r="L307" i="31"/>
  <c r="I1425" i="18"/>
  <c r="H1425" i="18" s="1"/>
  <c r="G1691" i="18"/>
  <c r="I1691" i="18" s="1"/>
  <c r="H1691" i="18" s="1"/>
  <c r="I1424" i="18"/>
  <c r="H1424" i="18" s="1"/>
  <c r="G1690" i="18"/>
  <c r="I1690" i="18" s="1"/>
  <c r="H1690" i="18" s="1"/>
  <c r="I1421" i="18"/>
  <c r="H1421" i="18" s="1"/>
  <c r="G1679" i="18"/>
  <c r="I1679" i="18" s="1"/>
  <c r="H1679" i="18" s="1"/>
  <c r="G567" i="18"/>
  <c r="I567" i="18" s="1"/>
  <c r="H567" i="18" s="1"/>
  <c r="I1274" i="18"/>
  <c r="H1274" i="18" s="1"/>
  <c r="G1432" i="18"/>
  <c r="I1272" i="18"/>
  <c r="H1272" i="18" s="1"/>
  <c r="G1430" i="18"/>
  <c r="I360" i="18"/>
  <c r="H360" i="18" s="1"/>
  <c r="G258" i="18"/>
  <c r="G363" i="18" s="1"/>
  <c r="G468" i="18" s="1"/>
  <c r="I1269" i="18"/>
  <c r="H1269" i="18" s="1"/>
  <c r="G1427" i="18"/>
  <c r="I255" i="18"/>
  <c r="H255" i="18" s="1"/>
  <c r="I1270" i="18"/>
  <c r="H1270" i="18" s="1"/>
  <c r="G1428" i="18"/>
  <c r="G667" i="18"/>
  <c r="I667" i="18" s="1"/>
  <c r="H667" i="18" s="1"/>
  <c r="I1118" i="18"/>
  <c r="H1118" i="18" s="1"/>
  <c r="G1277" i="18"/>
  <c r="I1114" i="18"/>
  <c r="H1114" i="18" s="1"/>
  <c r="G1273" i="18"/>
  <c r="I1116" i="18"/>
  <c r="H1116" i="18" s="1"/>
  <c r="G1275" i="18"/>
  <c r="I963" i="18"/>
  <c r="H963" i="18" s="1"/>
  <c r="G1121" i="18"/>
  <c r="I961" i="18"/>
  <c r="H961" i="18" s="1"/>
  <c r="G1119" i="18"/>
  <c r="I959" i="18"/>
  <c r="H959" i="18" s="1"/>
  <c r="G1117" i="18"/>
  <c r="I253" i="18"/>
  <c r="H253" i="18" s="1"/>
  <c r="G463" i="18"/>
  <c r="I463" i="18" s="1"/>
  <c r="H463" i="18" s="1"/>
  <c r="G256" i="18"/>
  <c r="G361" i="18" s="1"/>
  <c r="G466" i="18" s="1"/>
  <c r="I812" i="18"/>
  <c r="H812" i="18" s="1"/>
  <c r="G962" i="18"/>
  <c r="I814" i="18"/>
  <c r="H814" i="18" s="1"/>
  <c r="G964" i="18"/>
  <c r="I816" i="18"/>
  <c r="H816" i="18" s="1"/>
  <c r="G966" i="18"/>
  <c r="I665" i="18"/>
  <c r="H665" i="18" s="1"/>
  <c r="G815" i="18"/>
  <c r="I669" i="18"/>
  <c r="H669" i="18" s="1"/>
  <c r="G819" i="18"/>
  <c r="G668" i="18"/>
  <c r="I563" i="18"/>
  <c r="H563" i="18" s="1"/>
  <c r="I565" i="18"/>
  <c r="H565" i="18" s="1"/>
  <c r="G670" i="18"/>
  <c r="G570" i="18"/>
  <c r="I465" i="18"/>
  <c r="H465" i="18" s="1"/>
  <c r="G464" i="18"/>
  <c r="I359" i="18"/>
  <c r="H359" i="18" s="1"/>
  <c r="I461" i="18"/>
  <c r="H461" i="18" s="1"/>
  <c r="G566" i="18"/>
  <c r="I254" i="18"/>
  <c r="H254" i="18" s="1"/>
  <c r="G257" i="18"/>
  <c r="G362" i="18" s="1"/>
  <c r="F13" i="17"/>
  <c r="F14" i="17" s="1"/>
  <c r="F15" i="17" s="1"/>
  <c r="F16" i="17" s="1"/>
  <c r="F17" i="17" s="1"/>
  <c r="F18" i="17" s="1"/>
  <c r="K309" i="31" l="1"/>
  <c r="L308" i="31"/>
  <c r="I1427" i="18"/>
  <c r="H1427" i="18" s="1"/>
  <c r="G1693" i="18"/>
  <c r="I1693" i="18" s="1"/>
  <c r="H1693" i="18" s="1"/>
  <c r="I1430" i="18"/>
  <c r="H1430" i="18" s="1"/>
  <c r="G1696" i="18"/>
  <c r="I1696" i="18" s="1"/>
  <c r="H1696" i="18" s="1"/>
  <c r="I1428" i="18"/>
  <c r="H1428" i="18" s="1"/>
  <c r="G1694" i="18"/>
  <c r="I1694" i="18" s="1"/>
  <c r="H1694" i="18" s="1"/>
  <c r="I1432" i="18"/>
  <c r="H1432" i="18" s="1"/>
  <c r="G1698" i="18"/>
  <c r="I1698" i="18" s="1"/>
  <c r="H1698" i="18" s="1"/>
  <c r="G672" i="18"/>
  <c r="I672" i="18" s="1"/>
  <c r="H672" i="18" s="1"/>
  <c r="I363" i="18"/>
  <c r="H363" i="18" s="1"/>
  <c r="G817" i="18"/>
  <c r="G967" i="18" s="1"/>
  <c r="I1277" i="18"/>
  <c r="H1277" i="18" s="1"/>
  <c r="G1435" i="18"/>
  <c r="I1275" i="18"/>
  <c r="H1275" i="18" s="1"/>
  <c r="G1433" i="18"/>
  <c r="I1273" i="18"/>
  <c r="H1273" i="18" s="1"/>
  <c r="G1431" i="18"/>
  <c r="I258" i="18"/>
  <c r="H258" i="18" s="1"/>
  <c r="G261" i="18"/>
  <c r="G366" i="18" s="1"/>
  <c r="G471" i="18" s="1"/>
  <c r="I1117" i="18"/>
  <c r="H1117" i="18" s="1"/>
  <c r="G1276" i="18"/>
  <c r="I1119" i="18"/>
  <c r="H1119" i="18" s="1"/>
  <c r="G1278" i="18"/>
  <c r="I1121" i="18"/>
  <c r="H1121" i="18" s="1"/>
  <c r="G1280" i="18"/>
  <c r="I966" i="18"/>
  <c r="H966" i="18" s="1"/>
  <c r="G1124" i="18"/>
  <c r="I964" i="18"/>
  <c r="H964" i="18" s="1"/>
  <c r="G1122" i="18"/>
  <c r="I962" i="18"/>
  <c r="H962" i="18" s="1"/>
  <c r="G1120" i="18"/>
  <c r="G259" i="18"/>
  <c r="G364" i="18" s="1"/>
  <c r="I364" i="18" s="1"/>
  <c r="H364" i="18" s="1"/>
  <c r="I256" i="18"/>
  <c r="H256" i="18" s="1"/>
  <c r="G568" i="18"/>
  <c r="I568" i="18" s="1"/>
  <c r="H568" i="18" s="1"/>
  <c r="I361" i="18"/>
  <c r="H361" i="18" s="1"/>
  <c r="F19" i="17"/>
  <c r="F20" i="17" s="1"/>
  <c r="F21" i="17" s="1"/>
  <c r="I815" i="18"/>
  <c r="H815" i="18" s="1"/>
  <c r="G965" i="18"/>
  <c r="I819" i="18"/>
  <c r="H819" i="18" s="1"/>
  <c r="G969" i="18"/>
  <c r="I670" i="18"/>
  <c r="H670" i="18" s="1"/>
  <c r="G820" i="18"/>
  <c r="I668" i="18"/>
  <c r="H668" i="18" s="1"/>
  <c r="G818" i="18"/>
  <c r="I566" i="18"/>
  <c r="H566" i="18" s="1"/>
  <c r="G671" i="18"/>
  <c r="G675" i="18"/>
  <c r="I570" i="18"/>
  <c r="H570" i="18" s="1"/>
  <c r="G571" i="18"/>
  <c r="I466" i="18"/>
  <c r="H466" i="18" s="1"/>
  <c r="I362" i="18"/>
  <c r="H362" i="18" s="1"/>
  <c r="G467" i="18"/>
  <c r="I468" i="18"/>
  <c r="H468" i="18" s="1"/>
  <c r="G573" i="18"/>
  <c r="I464" i="18"/>
  <c r="H464" i="18" s="1"/>
  <c r="G569" i="18"/>
  <c r="G260" i="18"/>
  <c r="G365" i="18" s="1"/>
  <c r="I257" i="18"/>
  <c r="H257" i="18" s="1"/>
  <c r="B3" i="17"/>
  <c r="K310" i="31" l="1"/>
  <c r="L309" i="31"/>
  <c r="I1433" i="18"/>
  <c r="H1433" i="18" s="1"/>
  <c r="G1699" i="18"/>
  <c r="I1699" i="18" s="1"/>
  <c r="H1699" i="18" s="1"/>
  <c r="I1435" i="18"/>
  <c r="H1435" i="18" s="1"/>
  <c r="G1701" i="18"/>
  <c r="I1701" i="18" s="1"/>
  <c r="H1701" i="18" s="1"/>
  <c r="I1431" i="18"/>
  <c r="H1431" i="18" s="1"/>
  <c r="G1697" i="18"/>
  <c r="I1697" i="18" s="1"/>
  <c r="H1697" i="18" s="1"/>
  <c r="I366" i="18"/>
  <c r="H366" i="18" s="1"/>
  <c r="I817" i="18"/>
  <c r="H817" i="18" s="1"/>
  <c r="G822" i="18"/>
  <c r="I822" i="18" s="1"/>
  <c r="H822" i="18" s="1"/>
  <c r="I1278" i="18"/>
  <c r="H1278" i="18" s="1"/>
  <c r="G1436" i="18"/>
  <c r="I1280" i="18"/>
  <c r="H1280" i="18" s="1"/>
  <c r="G1302" i="18"/>
  <c r="I261" i="18"/>
  <c r="H261" i="18" s="1"/>
  <c r="G264" i="18"/>
  <c r="G369" i="18" s="1"/>
  <c r="G474" i="18" s="1"/>
  <c r="I1276" i="18"/>
  <c r="H1276" i="18" s="1"/>
  <c r="G1434" i="18"/>
  <c r="I1120" i="18"/>
  <c r="H1120" i="18" s="1"/>
  <c r="G1279" i="18"/>
  <c r="I1122" i="18"/>
  <c r="H1122" i="18" s="1"/>
  <c r="G1281" i="18"/>
  <c r="I1124" i="18"/>
  <c r="H1124" i="18" s="1"/>
  <c r="G1283" i="18"/>
  <c r="G673" i="18"/>
  <c r="G823" i="18" s="1"/>
  <c r="G262" i="18"/>
  <c r="G367" i="18" s="1"/>
  <c r="I367" i="18" s="1"/>
  <c r="H367" i="18" s="1"/>
  <c r="I967" i="18"/>
  <c r="H967" i="18" s="1"/>
  <c r="G1125" i="18"/>
  <c r="I965" i="18"/>
  <c r="H965" i="18" s="1"/>
  <c r="G1123" i="18"/>
  <c r="I969" i="18"/>
  <c r="H969" i="18" s="1"/>
  <c r="G1127" i="18"/>
  <c r="G469" i="18"/>
  <c r="G574" i="18" s="1"/>
  <c r="I259" i="18"/>
  <c r="H259" i="18" s="1"/>
  <c r="F22" i="17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I818" i="18"/>
  <c r="H818" i="18" s="1"/>
  <c r="G968" i="18"/>
  <c r="I820" i="18"/>
  <c r="H820" i="18" s="1"/>
  <c r="G970" i="18"/>
  <c r="I671" i="18"/>
  <c r="H671" i="18" s="1"/>
  <c r="G821" i="18"/>
  <c r="I675" i="18"/>
  <c r="H675" i="18" s="1"/>
  <c r="G825" i="18"/>
  <c r="I467" i="18"/>
  <c r="H467" i="18" s="1"/>
  <c r="G572" i="18"/>
  <c r="G676" i="18"/>
  <c r="I571" i="18"/>
  <c r="H571" i="18" s="1"/>
  <c r="I573" i="18"/>
  <c r="H573" i="18" s="1"/>
  <c r="G678" i="18"/>
  <c r="G674" i="18"/>
  <c r="I569" i="18"/>
  <c r="H569" i="18" s="1"/>
  <c r="I471" i="18"/>
  <c r="H471" i="18" s="1"/>
  <c r="G576" i="18"/>
  <c r="I365" i="18"/>
  <c r="H365" i="18" s="1"/>
  <c r="G470" i="18"/>
  <c r="G263" i="18"/>
  <c r="G368" i="18" s="1"/>
  <c r="I260" i="18"/>
  <c r="H260" i="18" s="1"/>
  <c r="K311" i="31" l="1"/>
  <c r="L310" i="31"/>
  <c r="I1436" i="18"/>
  <c r="H1436" i="18" s="1"/>
  <c r="G1702" i="18"/>
  <c r="I1702" i="18" s="1"/>
  <c r="H1702" i="18" s="1"/>
  <c r="I1434" i="18"/>
  <c r="H1434" i="18" s="1"/>
  <c r="G1700" i="18"/>
  <c r="I1700" i="18" s="1"/>
  <c r="H1700" i="18" s="1"/>
  <c r="I1302" i="18"/>
  <c r="H1302" i="18" s="1"/>
  <c r="G1450" i="18"/>
  <c r="G972" i="18"/>
  <c r="G1130" i="18" s="1"/>
  <c r="G267" i="18"/>
  <c r="G372" i="18" s="1"/>
  <c r="I372" i="18" s="1"/>
  <c r="H372" i="18" s="1"/>
  <c r="I264" i="18"/>
  <c r="H264" i="18" s="1"/>
  <c r="I369" i="18"/>
  <c r="H369" i="18" s="1"/>
  <c r="I1283" i="18"/>
  <c r="H1283" i="18" s="1"/>
  <c r="G1190" i="18"/>
  <c r="I1190" i="18" s="1"/>
  <c r="H1190" i="18" s="1"/>
  <c r="I1281" i="18"/>
  <c r="H1281" i="18" s="1"/>
  <c r="G1254" i="18"/>
  <c r="I1254" i="18" s="1"/>
  <c r="H1254" i="18" s="1"/>
  <c r="I1279" i="18"/>
  <c r="H1279" i="18" s="1"/>
  <c r="G1367" i="18"/>
  <c r="G1624" i="18" s="1"/>
  <c r="I1624" i="18" s="1"/>
  <c r="H1624" i="18" s="1"/>
  <c r="I1123" i="18"/>
  <c r="H1123" i="18" s="1"/>
  <c r="G1282" i="18"/>
  <c r="I1125" i="18"/>
  <c r="H1125" i="18" s="1"/>
  <c r="G1284" i="18"/>
  <c r="I1127" i="18"/>
  <c r="H1127" i="18" s="1"/>
  <c r="G1286" i="18"/>
  <c r="I673" i="18"/>
  <c r="H673" i="18" s="1"/>
  <c r="G472" i="18"/>
  <c r="G577" i="18" s="1"/>
  <c r="I262" i="18"/>
  <c r="H262" i="18" s="1"/>
  <c r="G265" i="18"/>
  <c r="G370" i="18" s="1"/>
  <c r="I370" i="18" s="1"/>
  <c r="H370" i="18" s="1"/>
  <c r="I970" i="18"/>
  <c r="H970" i="18" s="1"/>
  <c r="G1128" i="18"/>
  <c r="I968" i="18"/>
  <c r="H968" i="18" s="1"/>
  <c r="G1126" i="18"/>
  <c r="I469" i="18"/>
  <c r="H469" i="18" s="1"/>
  <c r="G978" i="18"/>
  <c r="G979" i="18"/>
  <c r="F33" i="17"/>
  <c r="F35" i="17"/>
  <c r="I821" i="18"/>
  <c r="H821" i="18" s="1"/>
  <c r="G971" i="18"/>
  <c r="I825" i="18"/>
  <c r="H825" i="18" s="1"/>
  <c r="G975" i="18"/>
  <c r="I823" i="18"/>
  <c r="H823" i="18" s="1"/>
  <c r="G973" i="18"/>
  <c r="I674" i="18"/>
  <c r="H674" i="18" s="1"/>
  <c r="G824" i="18"/>
  <c r="G976" i="18" s="1"/>
  <c r="I678" i="18"/>
  <c r="H678" i="18" s="1"/>
  <c r="G828" i="18"/>
  <c r="I676" i="18"/>
  <c r="H676" i="18" s="1"/>
  <c r="G826" i="18"/>
  <c r="G980" i="18" s="1"/>
  <c r="G473" i="18"/>
  <c r="I368" i="18"/>
  <c r="H368" i="18" s="1"/>
  <c r="I470" i="18"/>
  <c r="H470" i="18" s="1"/>
  <c r="G575" i="18"/>
  <c r="I574" i="18"/>
  <c r="H574" i="18" s="1"/>
  <c r="G679" i="18"/>
  <c r="I572" i="18"/>
  <c r="H572" i="18" s="1"/>
  <c r="G677" i="18"/>
  <c r="I576" i="18"/>
  <c r="H576" i="18" s="1"/>
  <c r="G681" i="18"/>
  <c r="G579" i="18"/>
  <c r="I474" i="18"/>
  <c r="H474" i="18" s="1"/>
  <c r="I263" i="18"/>
  <c r="H263" i="18" s="1"/>
  <c r="G266" i="18"/>
  <c r="G371" i="18" s="1"/>
  <c r="B3" i="15"/>
  <c r="B3" i="16"/>
  <c r="B3" i="31"/>
  <c r="K312" i="31" l="1"/>
  <c r="L311" i="31"/>
  <c r="I1450" i="18"/>
  <c r="H1450" i="18" s="1"/>
  <c r="G1716" i="18"/>
  <c r="I1716" i="18" s="1"/>
  <c r="H1716" i="18" s="1"/>
  <c r="I1367" i="18"/>
  <c r="H1367" i="18" s="1"/>
  <c r="G1559" i="18"/>
  <c r="I972" i="18"/>
  <c r="H972" i="18" s="1"/>
  <c r="I267" i="18"/>
  <c r="H267" i="18" s="1"/>
  <c r="G268" i="18"/>
  <c r="G373" i="18" s="1"/>
  <c r="I373" i="18" s="1"/>
  <c r="H373" i="18" s="1"/>
  <c r="G270" i="18"/>
  <c r="G375" i="18" s="1"/>
  <c r="I375" i="18" s="1"/>
  <c r="H375" i="18" s="1"/>
  <c r="I472" i="18"/>
  <c r="H472" i="18" s="1"/>
  <c r="G477" i="18"/>
  <c r="I477" i="18" s="1"/>
  <c r="H477" i="18" s="1"/>
  <c r="I1286" i="18"/>
  <c r="H1286" i="18" s="1"/>
  <c r="G1090" i="18"/>
  <c r="I1090" i="18" s="1"/>
  <c r="H1090" i="18" s="1"/>
  <c r="I1284" i="18"/>
  <c r="H1284" i="18" s="1"/>
  <c r="G1144" i="18"/>
  <c r="I1144" i="18" s="1"/>
  <c r="H1144" i="18" s="1"/>
  <c r="I1282" i="18"/>
  <c r="H1282" i="18" s="1"/>
  <c r="G1189" i="18"/>
  <c r="I1189" i="18" s="1"/>
  <c r="H1189" i="18" s="1"/>
  <c r="G475" i="18"/>
  <c r="I475" i="18" s="1"/>
  <c r="H475" i="18" s="1"/>
  <c r="I1128" i="18"/>
  <c r="H1128" i="18" s="1"/>
  <c r="G1287" i="18"/>
  <c r="I1126" i="18"/>
  <c r="H1126" i="18" s="1"/>
  <c r="G1285" i="18"/>
  <c r="I1130" i="18"/>
  <c r="H1130" i="18" s="1"/>
  <c r="G1289" i="18"/>
  <c r="G1437" i="18" s="1"/>
  <c r="I265" i="18"/>
  <c r="H265" i="18" s="1"/>
  <c r="I976" i="18"/>
  <c r="H976" i="18" s="1"/>
  <c r="G1134" i="18"/>
  <c r="G1133" i="18"/>
  <c r="I971" i="18"/>
  <c r="H971" i="18" s="1"/>
  <c r="G1129" i="18"/>
  <c r="I980" i="18"/>
  <c r="H980" i="18" s="1"/>
  <c r="G1137" i="18"/>
  <c r="I973" i="18"/>
  <c r="H973" i="18" s="1"/>
  <c r="G1131" i="18"/>
  <c r="I979" i="18"/>
  <c r="H979" i="18" s="1"/>
  <c r="G1136" i="18"/>
  <c r="I978" i="18"/>
  <c r="H978" i="18" s="1"/>
  <c r="G1135" i="18"/>
  <c r="I828" i="18"/>
  <c r="H828" i="18" s="1"/>
  <c r="G982" i="18"/>
  <c r="F49" i="17"/>
  <c r="H35" i="17"/>
  <c r="G35" i="17" s="1"/>
  <c r="F47" i="17"/>
  <c r="H47" i="17" s="1"/>
  <c r="G47" i="17" s="1"/>
  <c r="F36" i="17"/>
  <c r="F34" i="17"/>
  <c r="I826" i="18"/>
  <c r="H826" i="18" s="1"/>
  <c r="I975" i="18"/>
  <c r="H975" i="18" s="1"/>
  <c r="I824" i="18"/>
  <c r="H824" i="18" s="1"/>
  <c r="G974" i="18"/>
  <c r="I681" i="18"/>
  <c r="H681" i="18" s="1"/>
  <c r="G831" i="18"/>
  <c r="I679" i="18"/>
  <c r="H679" i="18" s="1"/>
  <c r="G829" i="18"/>
  <c r="I677" i="18"/>
  <c r="H677" i="18" s="1"/>
  <c r="G827" i="18"/>
  <c r="I575" i="18"/>
  <c r="H575" i="18" s="1"/>
  <c r="G680" i="18"/>
  <c r="I371" i="18"/>
  <c r="H371" i="18" s="1"/>
  <c r="G476" i="18"/>
  <c r="G682" i="18"/>
  <c r="I577" i="18"/>
  <c r="H577" i="18" s="1"/>
  <c r="G684" i="18"/>
  <c r="I579" i="18"/>
  <c r="H579" i="18" s="1"/>
  <c r="G578" i="18"/>
  <c r="I473" i="18"/>
  <c r="H473" i="18" s="1"/>
  <c r="G269" i="18"/>
  <c r="G374" i="18" s="1"/>
  <c r="I266" i="18"/>
  <c r="H266" i="18" s="1"/>
  <c r="C8" i="36"/>
  <c r="C9" i="35"/>
  <c r="C10" i="35" s="1"/>
  <c r="C8" i="34"/>
  <c r="B3" i="8"/>
  <c r="B3" i="40" s="1"/>
  <c r="B3" i="33"/>
  <c r="D12" i="33"/>
  <c r="D10" i="33"/>
  <c r="B3" i="11"/>
  <c r="C11" i="6"/>
  <c r="D77" i="6"/>
  <c r="K313" i="31" l="1"/>
  <c r="L312" i="31"/>
  <c r="I1559" i="18"/>
  <c r="H1559" i="18" s="1"/>
  <c r="G1827" i="18"/>
  <c r="I1827" i="18" s="1"/>
  <c r="H1827" i="18" s="1"/>
  <c r="I1437" i="18"/>
  <c r="H1437" i="18" s="1"/>
  <c r="G1703" i="18"/>
  <c r="I1703" i="18" s="1"/>
  <c r="H1703" i="18" s="1"/>
  <c r="I270" i="18"/>
  <c r="H270" i="18" s="1"/>
  <c r="I268" i="18"/>
  <c r="H268" i="18" s="1"/>
  <c r="G478" i="18"/>
  <c r="G583" i="18" s="1"/>
  <c r="G271" i="18"/>
  <c r="G376" i="18" s="1"/>
  <c r="I376" i="18" s="1"/>
  <c r="H376" i="18" s="1"/>
  <c r="H36" i="17"/>
  <c r="G36" i="17" s="1"/>
  <c r="F50" i="17"/>
  <c r="H50" i="17" s="1"/>
  <c r="G50" i="17" s="1"/>
  <c r="G273" i="18"/>
  <c r="G378" i="18" s="1"/>
  <c r="G483" i="18" s="1"/>
  <c r="G480" i="18"/>
  <c r="I480" i="18" s="1"/>
  <c r="H480" i="18" s="1"/>
  <c r="G582" i="18"/>
  <c r="I582" i="18" s="1"/>
  <c r="H582" i="18" s="1"/>
  <c r="G580" i="18"/>
  <c r="I580" i="18" s="1"/>
  <c r="H580" i="18" s="1"/>
  <c r="I1289" i="18"/>
  <c r="H1289" i="18" s="1"/>
  <c r="G977" i="18"/>
  <c r="I977" i="18" s="1"/>
  <c r="H977" i="18" s="1"/>
  <c r="I1285" i="18"/>
  <c r="H1285" i="18" s="1"/>
  <c r="G1145" i="18"/>
  <c r="I1145" i="18" s="1"/>
  <c r="H1145" i="18" s="1"/>
  <c r="I1287" i="18"/>
  <c r="H1287" i="18" s="1"/>
  <c r="G1091" i="18"/>
  <c r="I1091" i="18" s="1"/>
  <c r="H1091" i="18" s="1"/>
  <c r="I1129" i="18"/>
  <c r="H1129" i="18" s="1"/>
  <c r="G1288" i="18"/>
  <c r="I1136" i="18"/>
  <c r="H1136" i="18" s="1"/>
  <c r="G1295" i="18"/>
  <c r="I1133" i="18"/>
  <c r="H1133" i="18" s="1"/>
  <c r="G1292" i="18"/>
  <c r="I1134" i="18"/>
  <c r="H1134" i="18" s="1"/>
  <c r="G1293" i="18"/>
  <c r="I1131" i="18"/>
  <c r="H1131" i="18" s="1"/>
  <c r="G1290" i="18"/>
  <c r="G1438" i="18" s="1"/>
  <c r="I1137" i="18"/>
  <c r="H1137" i="18" s="1"/>
  <c r="G1296" i="18"/>
  <c r="I1135" i="18"/>
  <c r="H1135" i="18" s="1"/>
  <c r="G1294" i="18"/>
  <c r="D13" i="33"/>
  <c r="I982" i="18"/>
  <c r="H982" i="18" s="1"/>
  <c r="G1139" i="18"/>
  <c r="I974" i="18"/>
  <c r="H974" i="18" s="1"/>
  <c r="G1132" i="18"/>
  <c r="I829" i="18"/>
  <c r="H829" i="18" s="1"/>
  <c r="G983" i="18"/>
  <c r="I827" i="18"/>
  <c r="H827" i="18" s="1"/>
  <c r="G981" i="18"/>
  <c r="I831" i="18"/>
  <c r="H831" i="18" s="1"/>
  <c r="G985" i="18"/>
  <c r="F48" i="17"/>
  <c r="H48" i="17" s="1"/>
  <c r="G48" i="17" s="1"/>
  <c r="F46" i="17"/>
  <c r="H46" i="17" s="1"/>
  <c r="G46" i="17" s="1"/>
  <c r="F38" i="17"/>
  <c r="H38" i="17" s="1"/>
  <c r="G38" i="17" s="1"/>
  <c r="F43" i="17"/>
  <c r="H43" i="17" s="1"/>
  <c r="G43" i="17" s="1"/>
  <c r="F41" i="17"/>
  <c r="H41" i="17" s="1"/>
  <c r="G41" i="17" s="1"/>
  <c r="F45" i="17"/>
  <c r="H45" i="17" s="1"/>
  <c r="G45" i="17" s="1"/>
  <c r="F44" i="17"/>
  <c r="H44" i="17" s="1"/>
  <c r="G44" i="17" s="1"/>
  <c r="F42" i="17"/>
  <c r="H42" i="17" s="1"/>
  <c r="G42" i="17" s="1"/>
  <c r="F39" i="17"/>
  <c r="H39" i="17" s="1"/>
  <c r="G39" i="17" s="1"/>
  <c r="F40" i="17"/>
  <c r="H40" i="17" s="1"/>
  <c r="G40" i="17" s="1"/>
  <c r="F37" i="17"/>
  <c r="H49" i="17"/>
  <c r="G49" i="17" s="1"/>
  <c r="I680" i="18"/>
  <c r="H680" i="18" s="1"/>
  <c r="G830" i="18"/>
  <c r="I684" i="18"/>
  <c r="H684" i="18" s="1"/>
  <c r="G834" i="18"/>
  <c r="I682" i="18"/>
  <c r="H682" i="18" s="1"/>
  <c r="G832" i="18"/>
  <c r="I476" i="18"/>
  <c r="H476" i="18" s="1"/>
  <c r="G581" i="18"/>
  <c r="I374" i="18"/>
  <c r="H374" i="18" s="1"/>
  <c r="G479" i="18"/>
  <c r="G683" i="18"/>
  <c r="I578" i="18"/>
  <c r="H578" i="18" s="1"/>
  <c r="I269" i="18"/>
  <c r="H269" i="18" s="1"/>
  <c r="G272" i="18"/>
  <c r="G377" i="18" s="1"/>
  <c r="C9" i="36"/>
  <c r="K314" i="31" l="1"/>
  <c r="L313" i="31"/>
  <c r="I1438" i="18"/>
  <c r="H1438" i="18" s="1"/>
  <c r="G1704" i="18"/>
  <c r="I1704" i="18" s="1"/>
  <c r="H1704" i="18" s="1"/>
  <c r="I478" i="18"/>
  <c r="H478" i="18" s="1"/>
  <c r="G274" i="18"/>
  <c r="G379" i="18" s="1"/>
  <c r="I379" i="18" s="1"/>
  <c r="H379" i="18" s="1"/>
  <c r="G276" i="18"/>
  <c r="G381" i="18" s="1"/>
  <c r="G486" i="18" s="1"/>
  <c r="I273" i="18"/>
  <c r="H273" i="18" s="1"/>
  <c r="I378" i="18"/>
  <c r="H378" i="18" s="1"/>
  <c r="G481" i="18"/>
  <c r="G586" i="18" s="1"/>
  <c r="G585" i="18"/>
  <c r="I585" i="18" s="1"/>
  <c r="H585" i="18" s="1"/>
  <c r="I271" i="18"/>
  <c r="H271" i="18" s="1"/>
  <c r="I1292" i="18"/>
  <c r="H1292" i="18" s="1"/>
  <c r="G1440" i="18"/>
  <c r="I1294" i="18"/>
  <c r="H1294" i="18" s="1"/>
  <c r="G1442" i="18"/>
  <c r="I1295" i="18"/>
  <c r="H1295" i="18" s="1"/>
  <c r="G1443" i="18"/>
  <c r="I1296" i="18"/>
  <c r="H1296" i="18" s="1"/>
  <c r="G1444" i="18"/>
  <c r="G685" i="18"/>
  <c r="G835" i="18" s="1"/>
  <c r="I1293" i="18"/>
  <c r="H1293" i="18" s="1"/>
  <c r="G1441" i="18"/>
  <c r="G687" i="18"/>
  <c r="I687" i="18" s="1"/>
  <c r="H687" i="18" s="1"/>
  <c r="I1290" i="18"/>
  <c r="H1290" i="18" s="1"/>
  <c r="I1288" i="18"/>
  <c r="H1288" i="18" s="1"/>
  <c r="G1092" i="18"/>
  <c r="I1092" i="18" s="1"/>
  <c r="H1092" i="18" s="1"/>
  <c r="I1139" i="18"/>
  <c r="H1139" i="18" s="1"/>
  <c r="G1298" i="18"/>
  <c r="I1132" i="18"/>
  <c r="H1132" i="18" s="1"/>
  <c r="G1291" i="18"/>
  <c r="I983" i="18"/>
  <c r="H983" i="18" s="1"/>
  <c r="G1140" i="18"/>
  <c r="I985" i="18"/>
  <c r="H985" i="18" s="1"/>
  <c r="G1142" i="18"/>
  <c r="I981" i="18"/>
  <c r="H981" i="18" s="1"/>
  <c r="G1138" i="18"/>
  <c r="I830" i="18"/>
  <c r="H830" i="18" s="1"/>
  <c r="G984" i="18"/>
  <c r="I832" i="18"/>
  <c r="H832" i="18" s="1"/>
  <c r="G986" i="18"/>
  <c r="I834" i="18"/>
  <c r="H834" i="18" s="1"/>
  <c r="G988" i="18"/>
  <c r="I683" i="18"/>
  <c r="H683" i="18" s="1"/>
  <c r="G833" i="18"/>
  <c r="I581" i="18"/>
  <c r="H581" i="18" s="1"/>
  <c r="G686" i="18"/>
  <c r="I583" i="18"/>
  <c r="H583" i="18" s="1"/>
  <c r="G688" i="18"/>
  <c r="I479" i="18"/>
  <c r="H479" i="18" s="1"/>
  <c r="G584" i="18"/>
  <c r="I483" i="18"/>
  <c r="H483" i="18" s="1"/>
  <c r="G588" i="18"/>
  <c r="G482" i="18"/>
  <c r="I377" i="18"/>
  <c r="H377" i="18" s="1"/>
  <c r="G275" i="18"/>
  <c r="G380" i="18" s="1"/>
  <c r="I272" i="18"/>
  <c r="H272" i="18" s="1"/>
  <c r="H34" i="17"/>
  <c r="C34" i="17"/>
  <c r="K315" i="31" l="1"/>
  <c r="L314" i="31"/>
  <c r="I1440" i="18"/>
  <c r="H1440" i="18" s="1"/>
  <c r="G1706" i="18"/>
  <c r="I1706" i="18" s="1"/>
  <c r="H1706" i="18" s="1"/>
  <c r="I1442" i="18"/>
  <c r="H1442" i="18" s="1"/>
  <c r="G1708" i="18"/>
  <c r="I1708" i="18" s="1"/>
  <c r="H1708" i="18" s="1"/>
  <c r="I1441" i="18"/>
  <c r="H1441" i="18" s="1"/>
  <c r="G1707" i="18"/>
  <c r="I1707" i="18" s="1"/>
  <c r="H1707" i="18" s="1"/>
  <c r="I1444" i="18"/>
  <c r="H1444" i="18" s="1"/>
  <c r="G1710" i="18"/>
  <c r="I1710" i="18" s="1"/>
  <c r="H1710" i="18" s="1"/>
  <c r="I1443" i="18"/>
  <c r="H1443" i="18" s="1"/>
  <c r="G1709" i="18"/>
  <c r="I1709" i="18" s="1"/>
  <c r="H1709" i="18" s="1"/>
  <c r="I381" i="18"/>
  <c r="H381" i="18" s="1"/>
  <c r="I274" i="18"/>
  <c r="H274" i="18" s="1"/>
  <c r="G279" i="18"/>
  <c r="G384" i="18" s="1"/>
  <c r="I384" i="18" s="1"/>
  <c r="H384" i="18" s="1"/>
  <c r="G484" i="18"/>
  <c r="I484" i="18" s="1"/>
  <c r="H484" i="18" s="1"/>
  <c r="I276" i="18"/>
  <c r="H276" i="18" s="1"/>
  <c r="G690" i="18"/>
  <c r="I690" i="18" s="1"/>
  <c r="H690" i="18" s="1"/>
  <c r="G277" i="18"/>
  <c r="G382" i="18" s="1"/>
  <c r="I382" i="18" s="1"/>
  <c r="H382" i="18" s="1"/>
  <c r="I481" i="18"/>
  <c r="H481" i="18" s="1"/>
  <c r="I685" i="18"/>
  <c r="H685" i="18" s="1"/>
  <c r="I1298" i="18"/>
  <c r="H1298" i="18" s="1"/>
  <c r="G1446" i="18"/>
  <c r="I1291" i="18"/>
  <c r="H1291" i="18" s="1"/>
  <c r="G1439" i="18"/>
  <c r="G837" i="18"/>
  <c r="I837" i="18" s="1"/>
  <c r="H837" i="18" s="1"/>
  <c r="I1138" i="18"/>
  <c r="H1138" i="18" s="1"/>
  <c r="G1297" i="18"/>
  <c r="I1140" i="18"/>
  <c r="H1140" i="18" s="1"/>
  <c r="G1299" i="18"/>
  <c r="I1142" i="18"/>
  <c r="H1142" i="18" s="1"/>
  <c r="G1301" i="18"/>
  <c r="G1449" i="18" s="1"/>
  <c r="I988" i="18"/>
  <c r="H988" i="18" s="1"/>
  <c r="G1147" i="18"/>
  <c r="I986" i="18"/>
  <c r="H986" i="18" s="1"/>
  <c r="G1143" i="18"/>
  <c r="G1303" i="18" s="1"/>
  <c r="I984" i="18"/>
  <c r="H984" i="18" s="1"/>
  <c r="G1141" i="18"/>
  <c r="I833" i="18"/>
  <c r="H833" i="18" s="1"/>
  <c r="G987" i="18"/>
  <c r="I835" i="18"/>
  <c r="H835" i="18" s="1"/>
  <c r="G989" i="18"/>
  <c r="I686" i="18"/>
  <c r="H686" i="18" s="1"/>
  <c r="G836" i="18"/>
  <c r="I688" i="18"/>
  <c r="H688" i="18" s="1"/>
  <c r="G838" i="18"/>
  <c r="I486" i="18"/>
  <c r="H486" i="18" s="1"/>
  <c r="G591" i="18"/>
  <c r="G587" i="18"/>
  <c r="I482" i="18"/>
  <c r="H482" i="18" s="1"/>
  <c r="I584" i="18"/>
  <c r="H584" i="18" s="1"/>
  <c r="G689" i="18"/>
  <c r="G691" i="18"/>
  <c r="I586" i="18"/>
  <c r="H586" i="18" s="1"/>
  <c r="I588" i="18"/>
  <c r="H588" i="18" s="1"/>
  <c r="G693" i="18"/>
  <c r="I380" i="18"/>
  <c r="H380" i="18" s="1"/>
  <c r="G485" i="18"/>
  <c r="G278" i="18"/>
  <c r="G383" i="18" s="1"/>
  <c r="I275" i="18"/>
  <c r="H275" i="18" s="1"/>
  <c r="G34" i="17"/>
  <c r="G282" i="18" l="1"/>
  <c r="G387" i="18" s="1"/>
  <c r="G489" i="18"/>
  <c r="K316" i="31"/>
  <c r="L315" i="31"/>
  <c r="I279" i="18"/>
  <c r="H279" i="18" s="1"/>
  <c r="I1439" i="18"/>
  <c r="H1439" i="18" s="1"/>
  <c r="G1705" i="18"/>
  <c r="I1705" i="18" s="1"/>
  <c r="H1705" i="18" s="1"/>
  <c r="I1446" i="18"/>
  <c r="H1446" i="18" s="1"/>
  <c r="G1712" i="18"/>
  <c r="I1712" i="18" s="1"/>
  <c r="H1712" i="18" s="1"/>
  <c r="I1449" i="18"/>
  <c r="H1449" i="18" s="1"/>
  <c r="G1715" i="18"/>
  <c r="I1715" i="18" s="1"/>
  <c r="H1715" i="18" s="1"/>
  <c r="G840" i="18"/>
  <c r="I840" i="18" s="1"/>
  <c r="H840" i="18" s="1"/>
  <c r="G589" i="18"/>
  <c r="I589" i="18" s="1"/>
  <c r="H589" i="18" s="1"/>
  <c r="G280" i="18"/>
  <c r="G385" i="18" s="1"/>
  <c r="I385" i="18" s="1"/>
  <c r="H385" i="18" s="1"/>
  <c r="G487" i="18"/>
  <c r="I487" i="18" s="1"/>
  <c r="H487" i="18" s="1"/>
  <c r="I277" i="18"/>
  <c r="H277" i="18" s="1"/>
  <c r="G991" i="18"/>
  <c r="G1150" i="18" s="1"/>
  <c r="I1303" i="18"/>
  <c r="H1303" i="18" s="1"/>
  <c r="G1451" i="18"/>
  <c r="I1299" i="18"/>
  <c r="H1299" i="18" s="1"/>
  <c r="G1447" i="18"/>
  <c r="I1297" i="18"/>
  <c r="H1297" i="18" s="1"/>
  <c r="G1445" i="18"/>
  <c r="G1711" i="18" s="1"/>
  <c r="I1711" i="18" s="1"/>
  <c r="H1711" i="18" s="1"/>
  <c r="I1147" i="18"/>
  <c r="H1147" i="18" s="1"/>
  <c r="G1305" i="18"/>
  <c r="I1141" i="18"/>
  <c r="H1141" i="18" s="1"/>
  <c r="G1300" i="18"/>
  <c r="I1143" i="18"/>
  <c r="H1143" i="18" s="1"/>
  <c r="I1301" i="18"/>
  <c r="H1301" i="18" s="1"/>
  <c r="I989" i="18"/>
  <c r="H989" i="18" s="1"/>
  <c r="G1148" i="18"/>
  <c r="I987" i="18"/>
  <c r="H987" i="18" s="1"/>
  <c r="G1146" i="18"/>
  <c r="G1304" i="18" s="1"/>
  <c r="I836" i="18"/>
  <c r="H836" i="18" s="1"/>
  <c r="G990" i="18"/>
  <c r="I838" i="18"/>
  <c r="H838" i="18" s="1"/>
  <c r="G992" i="18"/>
  <c r="I691" i="18"/>
  <c r="H691" i="18" s="1"/>
  <c r="G841" i="18"/>
  <c r="I693" i="18"/>
  <c r="H693" i="18" s="1"/>
  <c r="G843" i="18"/>
  <c r="I689" i="18"/>
  <c r="H689" i="18" s="1"/>
  <c r="G839" i="18"/>
  <c r="G692" i="18"/>
  <c r="I587" i="18"/>
  <c r="H587" i="18" s="1"/>
  <c r="G594" i="18"/>
  <c r="I489" i="18"/>
  <c r="H489" i="18" s="1"/>
  <c r="I485" i="18"/>
  <c r="H485" i="18" s="1"/>
  <c r="G590" i="18"/>
  <c r="I591" i="18"/>
  <c r="H591" i="18" s="1"/>
  <c r="G696" i="18"/>
  <c r="I383" i="18"/>
  <c r="H383" i="18" s="1"/>
  <c r="G488" i="18"/>
  <c r="I387" i="18"/>
  <c r="H387" i="18" s="1"/>
  <c r="G492" i="18"/>
  <c r="G285" i="18"/>
  <c r="G390" i="18" s="1"/>
  <c r="I282" i="18"/>
  <c r="H282" i="18" s="1"/>
  <c r="G281" i="18"/>
  <c r="G386" i="18" s="1"/>
  <c r="I278" i="18"/>
  <c r="H278" i="18" s="1"/>
  <c r="K317" i="31" l="1"/>
  <c r="L316" i="31"/>
  <c r="G694" i="18"/>
  <c r="G844" i="18" s="1"/>
  <c r="I1447" i="18"/>
  <c r="H1447" i="18" s="1"/>
  <c r="G1713" i="18"/>
  <c r="I1713" i="18" s="1"/>
  <c r="H1713" i="18" s="1"/>
  <c r="I1451" i="18"/>
  <c r="H1451" i="18" s="1"/>
  <c r="G1717" i="18"/>
  <c r="I1717" i="18" s="1"/>
  <c r="H1717" i="18" s="1"/>
  <c r="I280" i="18"/>
  <c r="H280" i="18" s="1"/>
  <c r="G490" i="18"/>
  <c r="G595" i="18" s="1"/>
  <c r="G745" i="18" s="1"/>
  <c r="G994" i="18"/>
  <c r="I994" i="18" s="1"/>
  <c r="H994" i="18" s="1"/>
  <c r="G592" i="18"/>
  <c r="G698" i="18" s="1"/>
  <c r="G848" i="18" s="1"/>
  <c r="I991" i="18"/>
  <c r="H991" i="18" s="1"/>
  <c r="G283" i="18"/>
  <c r="G388" i="18" s="1"/>
  <c r="I388" i="18" s="1"/>
  <c r="H388" i="18" s="1"/>
  <c r="I1304" i="18"/>
  <c r="H1304" i="18" s="1"/>
  <c r="G1452" i="18"/>
  <c r="I1305" i="18"/>
  <c r="H1305" i="18" s="1"/>
  <c r="G1453" i="18"/>
  <c r="I1300" i="18"/>
  <c r="H1300" i="18" s="1"/>
  <c r="G1448" i="18"/>
  <c r="I1148" i="18"/>
  <c r="H1148" i="18" s="1"/>
  <c r="G1306" i="18"/>
  <c r="I1150" i="18"/>
  <c r="H1150" i="18" s="1"/>
  <c r="G1308" i="18"/>
  <c r="G1499" i="18" s="1"/>
  <c r="I992" i="18"/>
  <c r="H992" i="18" s="1"/>
  <c r="G1151" i="18"/>
  <c r="I990" i="18"/>
  <c r="H990" i="18" s="1"/>
  <c r="G1149" i="18"/>
  <c r="I1146" i="18"/>
  <c r="H1146" i="18" s="1"/>
  <c r="I843" i="18"/>
  <c r="H843" i="18" s="1"/>
  <c r="G997" i="18"/>
  <c r="I839" i="18"/>
  <c r="H839" i="18" s="1"/>
  <c r="G993" i="18"/>
  <c r="I841" i="18"/>
  <c r="H841" i="18" s="1"/>
  <c r="G995" i="18"/>
  <c r="I694" i="18"/>
  <c r="H694" i="18" s="1"/>
  <c r="I696" i="18"/>
  <c r="H696" i="18" s="1"/>
  <c r="G846" i="18"/>
  <c r="I692" i="18"/>
  <c r="H692" i="18" s="1"/>
  <c r="G842" i="18"/>
  <c r="G744" i="18"/>
  <c r="I594" i="18"/>
  <c r="H594" i="18" s="1"/>
  <c r="G700" i="18"/>
  <c r="I590" i="18"/>
  <c r="H590" i="18" s="1"/>
  <c r="G695" i="18"/>
  <c r="I390" i="18"/>
  <c r="H390" i="18" s="1"/>
  <c r="G495" i="18"/>
  <c r="I488" i="18"/>
  <c r="H488" i="18" s="1"/>
  <c r="G593" i="18"/>
  <c r="G699" i="18" s="1"/>
  <c r="I492" i="18"/>
  <c r="H492" i="18" s="1"/>
  <c r="G597" i="18"/>
  <c r="G747" i="18" s="1"/>
  <c r="I386" i="18"/>
  <c r="H386" i="18" s="1"/>
  <c r="G491" i="18"/>
  <c r="G284" i="18"/>
  <c r="G389" i="18" s="1"/>
  <c r="I281" i="18"/>
  <c r="H281" i="18" s="1"/>
  <c r="G288" i="18"/>
  <c r="G393" i="18" s="1"/>
  <c r="I285" i="18"/>
  <c r="H285" i="18" s="1"/>
  <c r="K318" i="31" l="1"/>
  <c r="L317" i="31"/>
  <c r="I1499" i="18"/>
  <c r="H1499" i="18" s="1"/>
  <c r="G1765" i="18"/>
  <c r="I1765" i="18" s="1"/>
  <c r="H1765" i="18" s="1"/>
  <c r="I490" i="18"/>
  <c r="H490" i="18" s="1"/>
  <c r="I1452" i="18"/>
  <c r="H1452" i="18" s="1"/>
  <c r="G1718" i="18"/>
  <c r="I1718" i="18" s="1"/>
  <c r="H1718" i="18" s="1"/>
  <c r="I1453" i="18"/>
  <c r="H1453" i="18" s="1"/>
  <c r="G1719" i="18"/>
  <c r="I1719" i="18" s="1"/>
  <c r="H1719" i="18" s="1"/>
  <c r="G1153" i="18"/>
  <c r="I1153" i="18" s="1"/>
  <c r="H1153" i="18" s="1"/>
  <c r="I1448" i="18"/>
  <c r="H1448" i="18" s="1"/>
  <c r="G1714" i="18"/>
  <c r="I1714" i="18" s="1"/>
  <c r="H1714" i="18" s="1"/>
  <c r="I698" i="18"/>
  <c r="H698" i="18" s="1"/>
  <c r="G697" i="18"/>
  <c r="I697" i="18" s="1"/>
  <c r="H697" i="18" s="1"/>
  <c r="I592" i="18"/>
  <c r="H592" i="18" s="1"/>
  <c r="I283" i="18"/>
  <c r="H283" i="18" s="1"/>
  <c r="G286" i="18"/>
  <c r="G391" i="18" s="1"/>
  <c r="G496" i="18" s="1"/>
  <c r="G493" i="18"/>
  <c r="I493" i="18" s="1"/>
  <c r="H493" i="18" s="1"/>
  <c r="I1306" i="18"/>
  <c r="H1306" i="18" s="1"/>
  <c r="G1454" i="18"/>
  <c r="I1308" i="18"/>
  <c r="H1308" i="18" s="1"/>
  <c r="G1456" i="18"/>
  <c r="I1149" i="18"/>
  <c r="H1149" i="18" s="1"/>
  <c r="G1307" i="18"/>
  <c r="I1151" i="18"/>
  <c r="H1151" i="18" s="1"/>
  <c r="G1309" i="18"/>
  <c r="G1500" i="18" s="1"/>
  <c r="I997" i="18"/>
  <c r="H997" i="18" s="1"/>
  <c r="G1156" i="18"/>
  <c r="I995" i="18"/>
  <c r="H995" i="18" s="1"/>
  <c r="G1154" i="18"/>
  <c r="I993" i="18"/>
  <c r="H993" i="18" s="1"/>
  <c r="G1152" i="18"/>
  <c r="I848" i="18"/>
  <c r="H848" i="18" s="1"/>
  <c r="G1002" i="18"/>
  <c r="I846" i="18"/>
  <c r="H846" i="18" s="1"/>
  <c r="G1000" i="18"/>
  <c r="I844" i="18"/>
  <c r="H844" i="18" s="1"/>
  <c r="G998" i="18"/>
  <c r="I842" i="18"/>
  <c r="H842" i="18" s="1"/>
  <c r="G996" i="18"/>
  <c r="I747" i="18"/>
  <c r="H747" i="18" s="1"/>
  <c r="G897" i="18"/>
  <c r="I745" i="18"/>
  <c r="H745" i="18" s="1"/>
  <c r="G895" i="18"/>
  <c r="I744" i="18"/>
  <c r="H744" i="18" s="1"/>
  <c r="G894" i="18"/>
  <c r="I695" i="18"/>
  <c r="H695" i="18" s="1"/>
  <c r="G845" i="18"/>
  <c r="I700" i="18"/>
  <c r="H700" i="18" s="1"/>
  <c r="G850" i="18"/>
  <c r="G1005" i="18" s="1"/>
  <c r="I699" i="18"/>
  <c r="H699" i="18" s="1"/>
  <c r="G849" i="18"/>
  <c r="I597" i="18"/>
  <c r="H597" i="18" s="1"/>
  <c r="G703" i="18"/>
  <c r="I595" i="18"/>
  <c r="H595" i="18" s="1"/>
  <c r="G701" i="18"/>
  <c r="I593" i="18"/>
  <c r="H593" i="18" s="1"/>
  <c r="G743" i="18"/>
  <c r="I495" i="18"/>
  <c r="H495" i="18" s="1"/>
  <c r="G600" i="18"/>
  <c r="G750" i="18" s="1"/>
  <c r="G498" i="18"/>
  <c r="I393" i="18"/>
  <c r="H393" i="18" s="1"/>
  <c r="I491" i="18"/>
  <c r="H491" i="18" s="1"/>
  <c r="G596" i="18"/>
  <c r="G746" i="18" s="1"/>
  <c r="I389" i="18"/>
  <c r="H389" i="18" s="1"/>
  <c r="G494" i="18"/>
  <c r="G291" i="18"/>
  <c r="G396" i="18" s="1"/>
  <c r="I288" i="18"/>
  <c r="H288" i="18" s="1"/>
  <c r="G287" i="18"/>
  <c r="G392" i="18" s="1"/>
  <c r="I284" i="18"/>
  <c r="H284" i="18" s="1"/>
  <c r="K319" i="31" l="1"/>
  <c r="L319" i="31" s="1"/>
  <c r="L325" i="31" s="1"/>
  <c r="L339" i="31" s="1"/>
  <c r="L318" i="31"/>
  <c r="G847" i="18"/>
  <c r="I847" i="18" s="1"/>
  <c r="H847" i="18" s="1"/>
  <c r="I1500" i="18"/>
  <c r="H1500" i="18" s="1"/>
  <c r="G1766" i="18"/>
  <c r="I1766" i="18" s="1"/>
  <c r="H1766" i="18" s="1"/>
  <c r="I1454" i="18"/>
  <c r="H1454" i="18" s="1"/>
  <c r="G1720" i="18"/>
  <c r="I1720" i="18" s="1"/>
  <c r="H1720" i="18" s="1"/>
  <c r="G1311" i="18"/>
  <c r="G1502" i="18" s="1"/>
  <c r="I1456" i="18"/>
  <c r="H1456" i="18" s="1"/>
  <c r="G1722" i="18"/>
  <c r="I1722" i="18" s="1"/>
  <c r="H1722" i="18" s="1"/>
  <c r="G289" i="18"/>
  <c r="G394" i="18" s="1"/>
  <c r="I394" i="18" s="1"/>
  <c r="H394" i="18" s="1"/>
  <c r="I391" i="18"/>
  <c r="H391" i="18" s="1"/>
  <c r="G598" i="18"/>
  <c r="G748" i="18" s="1"/>
  <c r="G898" i="18" s="1"/>
  <c r="I286" i="18"/>
  <c r="H286" i="18" s="1"/>
  <c r="I1307" i="18"/>
  <c r="H1307" i="18" s="1"/>
  <c r="G1455" i="18"/>
  <c r="I1309" i="18"/>
  <c r="H1309" i="18" s="1"/>
  <c r="G1457" i="18"/>
  <c r="I1152" i="18"/>
  <c r="H1152" i="18" s="1"/>
  <c r="G1310" i="18"/>
  <c r="G1501" i="18" s="1"/>
  <c r="I1154" i="18"/>
  <c r="H1154" i="18" s="1"/>
  <c r="G1312" i="18"/>
  <c r="G1503" i="18" s="1"/>
  <c r="I1156" i="18"/>
  <c r="H1156" i="18" s="1"/>
  <c r="G1314" i="18"/>
  <c r="G1505" i="18" s="1"/>
  <c r="I1005" i="18"/>
  <c r="H1005" i="18" s="1"/>
  <c r="G1164" i="18"/>
  <c r="I1000" i="18"/>
  <c r="H1000" i="18" s="1"/>
  <c r="G1159" i="18"/>
  <c r="I1002" i="18"/>
  <c r="H1002" i="18" s="1"/>
  <c r="G1161" i="18"/>
  <c r="I996" i="18"/>
  <c r="H996" i="18" s="1"/>
  <c r="G1155" i="18"/>
  <c r="I998" i="18"/>
  <c r="H998" i="18" s="1"/>
  <c r="G1157" i="18"/>
  <c r="I897" i="18"/>
  <c r="H897" i="18" s="1"/>
  <c r="G1052" i="18"/>
  <c r="I895" i="18"/>
  <c r="H895" i="18" s="1"/>
  <c r="G1050" i="18"/>
  <c r="I894" i="18"/>
  <c r="H894" i="18" s="1"/>
  <c r="G1049" i="18"/>
  <c r="I845" i="18"/>
  <c r="H845" i="18" s="1"/>
  <c r="G999" i="18"/>
  <c r="I849" i="18"/>
  <c r="H849" i="18" s="1"/>
  <c r="G1003" i="18"/>
  <c r="I850" i="18"/>
  <c r="H850" i="18" s="1"/>
  <c r="G1004" i="18"/>
  <c r="I750" i="18"/>
  <c r="H750" i="18" s="1"/>
  <c r="G900" i="18"/>
  <c r="I746" i="18"/>
  <c r="H746" i="18" s="1"/>
  <c r="G896" i="18"/>
  <c r="I743" i="18"/>
  <c r="H743" i="18" s="1"/>
  <c r="G893" i="18"/>
  <c r="I703" i="18"/>
  <c r="H703" i="18" s="1"/>
  <c r="G853" i="18"/>
  <c r="I701" i="18"/>
  <c r="H701" i="18" s="1"/>
  <c r="G851" i="18"/>
  <c r="I596" i="18"/>
  <c r="H596" i="18" s="1"/>
  <c r="G702" i="18"/>
  <c r="I600" i="18"/>
  <c r="H600" i="18" s="1"/>
  <c r="G706" i="18"/>
  <c r="I494" i="18"/>
  <c r="H494" i="18" s="1"/>
  <c r="G599" i="18"/>
  <c r="G749" i="18" s="1"/>
  <c r="G603" i="18"/>
  <c r="G753" i="18" s="1"/>
  <c r="I498" i="18"/>
  <c r="H498" i="18" s="1"/>
  <c r="I396" i="18"/>
  <c r="H396" i="18" s="1"/>
  <c r="G501" i="18"/>
  <c r="I496" i="18"/>
  <c r="H496" i="18" s="1"/>
  <c r="G601" i="18"/>
  <c r="G751" i="18" s="1"/>
  <c r="I392" i="18"/>
  <c r="H392" i="18" s="1"/>
  <c r="G497" i="18"/>
  <c r="I287" i="18"/>
  <c r="H287" i="18" s="1"/>
  <c r="G290" i="18"/>
  <c r="G395" i="18" s="1"/>
  <c r="G294" i="18"/>
  <c r="G399" i="18" s="1"/>
  <c r="I291" i="18"/>
  <c r="H291" i="18" s="1"/>
  <c r="G1001" i="18" l="1"/>
  <c r="I1001" i="18" s="1"/>
  <c r="H1001" i="18" s="1"/>
  <c r="G1459" i="18"/>
  <c r="G1725" i="18" s="1"/>
  <c r="I1725" i="18" s="1"/>
  <c r="H1725" i="18" s="1"/>
  <c r="I1311" i="18"/>
  <c r="H1311" i="18" s="1"/>
  <c r="I1503" i="18"/>
  <c r="H1503" i="18" s="1"/>
  <c r="G1769" i="18"/>
  <c r="I1769" i="18" s="1"/>
  <c r="H1769" i="18" s="1"/>
  <c r="I1502" i="18"/>
  <c r="H1502" i="18" s="1"/>
  <c r="G1768" i="18"/>
  <c r="I1768" i="18" s="1"/>
  <c r="H1768" i="18" s="1"/>
  <c r="I1505" i="18"/>
  <c r="H1505" i="18" s="1"/>
  <c r="G1771" i="18"/>
  <c r="I1771" i="18" s="1"/>
  <c r="H1771" i="18" s="1"/>
  <c r="I1501" i="18"/>
  <c r="H1501" i="18" s="1"/>
  <c r="G1767" i="18"/>
  <c r="I1767" i="18" s="1"/>
  <c r="H1767" i="18" s="1"/>
  <c r="I1457" i="18"/>
  <c r="H1457" i="18" s="1"/>
  <c r="G1723" i="18"/>
  <c r="I1723" i="18" s="1"/>
  <c r="H1723" i="18" s="1"/>
  <c r="I1455" i="18"/>
  <c r="H1455" i="18" s="1"/>
  <c r="G1721" i="18"/>
  <c r="I1721" i="18" s="1"/>
  <c r="H1721" i="18" s="1"/>
  <c r="I748" i="18"/>
  <c r="H748" i="18" s="1"/>
  <c r="I598" i="18"/>
  <c r="H598" i="18" s="1"/>
  <c r="I1459" i="18"/>
  <c r="H1459" i="18" s="1"/>
  <c r="G292" i="18"/>
  <c r="G397" i="18" s="1"/>
  <c r="I397" i="18" s="1"/>
  <c r="H397" i="18" s="1"/>
  <c r="G499" i="18"/>
  <c r="I499" i="18" s="1"/>
  <c r="H499" i="18" s="1"/>
  <c r="I289" i="18"/>
  <c r="H289" i="18" s="1"/>
  <c r="G704" i="18"/>
  <c r="G854" i="18" s="1"/>
  <c r="I1314" i="18"/>
  <c r="H1314" i="18" s="1"/>
  <c r="G1462" i="18"/>
  <c r="I1310" i="18"/>
  <c r="H1310" i="18" s="1"/>
  <c r="G1458" i="18"/>
  <c r="I1312" i="18"/>
  <c r="H1312" i="18" s="1"/>
  <c r="G1460" i="18"/>
  <c r="I1159" i="18"/>
  <c r="H1159" i="18" s="1"/>
  <c r="G1317" i="18"/>
  <c r="G1508" i="18" s="1"/>
  <c r="G1775" i="18" s="1"/>
  <c r="I1775" i="18" s="1"/>
  <c r="H1775" i="18" s="1"/>
  <c r="I1157" i="18"/>
  <c r="H1157" i="18" s="1"/>
  <c r="G1315" i="18"/>
  <c r="G1506" i="18" s="1"/>
  <c r="I1164" i="18"/>
  <c r="H1164" i="18" s="1"/>
  <c r="G1322" i="18"/>
  <c r="G1513" i="18" s="1"/>
  <c r="I1161" i="18"/>
  <c r="H1161" i="18" s="1"/>
  <c r="G1319" i="18"/>
  <c r="G1510" i="18" s="1"/>
  <c r="I1155" i="18"/>
  <c r="H1155" i="18" s="1"/>
  <c r="G1313" i="18"/>
  <c r="G1504" i="18" s="1"/>
  <c r="I1052" i="18"/>
  <c r="H1052" i="18" s="1"/>
  <c r="G1213" i="18"/>
  <c r="I1049" i="18"/>
  <c r="H1049" i="18" s="1"/>
  <c r="G1210" i="18"/>
  <c r="G1368" i="18" s="1"/>
  <c r="G1625" i="18" s="1"/>
  <c r="I1625" i="18" s="1"/>
  <c r="H1625" i="18" s="1"/>
  <c r="I1050" i="18"/>
  <c r="H1050" i="18" s="1"/>
  <c r="G1211" i="18"/>
  <c r="G1369" i="18" s="1"/>
  <c r="G1626" i="18" s="1"/>
  <c r="I1626" i="18" s="1"/>
  <c r="H1626" i="18" s="1"/>
  <c r="I1003" i="18"/>
  <c r="H1003" i="18" s="1"/>
  <c r="G1162" i="18"/>
  <c r="I1004" i="18"/>
  <c r="H1004" i="18" s="1"/>
  <c r="G1163" i="18"/>
  <c r="I999" i="18"/>
  <c r="H999" i="18" s="1"/>
  <c r="G1158" i="18"/>
  <c r="I896" i="18"/>
  <c r="H896" i="18" s="1"/>
  <c r="G1051" i="18"/>
  <c r="I900" i="18"/>
  <c r="H900" i="18" s="1"/>
  <c r="G1055" i="18"/>
  <c r="I898" i="18"/>
  <c r="H898" i="18" s="1"/>
  <c r="G1053" i="18"/>
  <c r="I893" i="18"/>
  <c r="H893" i="18" s="1"/>
  <c r="G1048" i="18"/>
  <c r="I851" i="18"/>
  <c r="H851" i="18" s="1"/>
  <c r="G1006" i="18"/>
  <c r="I853" i="18"/>
  <c r="H853" i="18" s="1"/>
  <c r="G1008" i="18"/>
  <c r="I751" i="18"/>
  <c r="H751" i="18" s="1"/>
  <c r="G901" i="18"/>
  <c r="I749" i="18"/>
  <c r="H749" i="18" s="1"/>
  <c r="G899" i="18"/>
  <c r="I753" i="18"/>
  <c r="H753" i="18" s="1"/>
  <c r="G903" i="18"/>
  <c r="I706" i="18"/>
  <c r="H706" i="18" s="1"/>
  <c r="G856" i="18"/>
  <c r="I702" i="18"/>
  <c r="H702" i="18" s="1"/>
  <c r="G852" i="18"/>
  <c r="I601" i="18"/>
  <c r="H601" i="18" s="1"/>
  <c r="G707" i="18"/>
  <c r="I599" i="18"/>
  <c r="H599" i="18" s="1"/>
  <c r="G705" i="18"/>
  <c r="I603" i="18"/>
  <c r="H603" i="18" s="1"/>
  <c r="G709" i="18"/>
  <c r="I501" i="18"/>
  <c r="H501" i="18" s="1"/>
  <c r="G606" i="18"/>
  <c r="G756" i="18" s="1"/>
  <c r="I399" i="18"/>
  <c r="H399" i="18" s="1"/>
  <c r="G504" i="18"/>
  <c r="I395" i="18"/>
  <c r="H395" i="18" s="1"/>
  <c r="G500" i="18"/>
  <c r="G602" i="18"/>
  <c r="G752" i="18" s="1"/>
  <c r="I497" i="18"/>
  <c r="H497" i="18" s="1"/>
  <c r="G293" i="18"/>
  <c r="G398" i="18" s="1"/>
  <c r="I290" i="18"/>
  <c r="H290" i="18" s="1"/>
  <c r="G297" i="18"/>
  <c r="G402" i="18" s="1"/>
  <c r="I294" i="18"/>
  <c r="H294" i="18" s="1"/>
  <c r="G1160" i="18" l="1"/>
  <c r="I1510" i="18"/>
  <c r="H1510" i="18" s="1"/>
  <c r="G1777" i="18"/>
  <c r="I1777" i="18" s="1"/>
  <c r="H1777" i="18" s="1"/>
  <c r="I1513" i="18"/>
  <c r="H1513" i="18" s="1"/>
  <c r="G1780" i="18"/>
  <c r="I1780" i="18" s="1"/>
  <c r="H1780" i="18" s="1"/>
  <c r="I1504" i="18"/>
  <c r="H1504" i="18" s="1"/>
  <c r="G1770" i="18"/>
  <c r="I1770" i="18" s="1"/>
  <c r="H1770" i="18" s="1"/>
  <c r="I1508" i="18"/>
  <c r="H1508" i="18" s="1"/>
  <c r="I1506" i="18"/>
  <c r="H1506" i="18" s="1"/>
  <c r="G1772" i="18"/>
  <c r="I1772" i="18" s="1"/>
  <c r="H1772" i="18" s="1"/>
  <c r="I1458" i="18"/>
  <c r="H1458" i="18" s="1"/>
  <c r="G1724" i="18"/>
  <c r="I1724" i="18" s="1"/>
  <c r="H1724" i="18" s="1"/>
  <c r="I1460" i="18"/>
  <c r="H1460" i="18" s="1"/>
  <c r="G1726" i="18"/>
  <c r="I1726" i="18" s="1"/>
  <c r="H1726" i="18" s="1"/>
  <c r="I1462" i="18"/>
  <c r="H1462" i="18" s="1"/>
  <c r="G1728" i="18"/>
  <c r="I1728" i="18" s="1"/>
  <c r="H1728" i="18" s="1"/>
  <c r="G295" i="18"/>
  <c r="G400" i="18" s="1"/>
  <c r="I400" i="18" s="1"/>
  <c r="H400" i="18" s="1"/>
  <c r="I292" i="18"/>
  <c r="H292" i="18" s="1"/>
  <c r="G604" i="18"/>
  <c r="G754" i="18" s="1"/>
  <c r="G904" i="18" s="1"/>
  <c r="G502" i="18"/>
  <c r="I502" i="18" s="1"/>
  <c r="H502" i="18" s="1"/>
  <c r="I704" i="18"/>
  <c r="H704" i="18" s="1"/>
  <c r="I1368" i="18"/>
  <c r="H1368" i="18" s="1"/>
  <c r="G1560" i="18"/>
  <c r="I1369" i="18"/>
  <c r="H1369" i="18" s="1"/>
  <c r="G1561" i="18"/>
  <c r="G1831" i="18" s="1"/>
  <c r="I1831" i="18" s="1"/>
  <c r="H1831" i="18" s="1"/>
  <c r="I1319" i="18"/>
  <c r="H1319" i="18" s="1"/>
  <c r="G1467" i="18"/>
  <c r="I1317" i="18"/>
  <c r="H1317" i="18" s="1"/>
  <c r="G1465" i="18"/>
  <c r="I1322" i="18"/>
  <c r="H1322" i="18" s="1"/>
  <c r="G1470" i="18"/>
  <c r="I1313" i="18"/>
  <c r="H1313" i="18" s="1"/>
  <c r="G1461" i="18"/>
  <c r="I1315" i="18"/>
  <c r="H1315" i="18" s="1"/>
  <c r="G1463" i="18"/>
  <c r="I1213" i="18"/>
  <c r="H1213" i="18" s="1"/>
  <c r="G1371" i="18"/>
  <c r="G1628" i="18" s="1"/>
  <c r="I1628" i="18" s="1"/>
  <c r="H1628" i="18" s="1"/>
  <c r="I1162" i="18"/>
  <c r="H1162" i="18" s="1"/>
  <c r="G1320" i="18"/>
  <c r="G1511" i="18" s="1"/>
  <c r="I1160" i="18"/>
  <c r="H1160" i="18" s="1"/>
  <c r="G1318" i="18"/>
  <c r="G1509" i="18" s="1"/>
  <c r="I1158" i="18"/>
  <c r="H1158" i="18" s="1"/>
  <c r="G1316" i="18"/>
  <c r="G1507" i="18" s="1"/>
  <c r="G1774" i="18" s="1"/>
  <c r="I1774" i="18" s="1"/>
  <c r="H1774" i="18" s="1"/>
  <c r="I1211" i="18"/>
  <c r="H1211" i="18" s="1"/>
  <c r="I1163" i="18"/>
  <c r="H1163" i="18" s="1"/>
  <c r="G1321" i="18"/>
  <c r="G1512" i="18" s="1"/>
  <c r="I1210" i="18"/>
  <c r="H1210" i="18" s="1"/>
  <c r="G1366" i="18"/>
  <c r="G1623" i="18" s="1"/>
  <c r="I1623" i="18" s="1"/>
  <c r="H1623" i="18" s="1"/>
  <c r="I1053" i="18"/>
  <c r="H1053" i="18" s="1"/>
  <c r="G1214" i="18"/>
  <c r="I1055" i="18"/>
  <c r="H1055" i="18" s="1"/>
  <c r="G1216" i="18"/>
  <c r="I1051" i="18"/>
  <c r="H1051" i="18" s="1"/>
  <c r="G1212" i="18"/>
  <c r="I1048" i="18"/>
  <c r="H1048" i="18" s="1"/>
  <c r="G1209" i="18"/>
  <c r="I1008" i="18"/>
  <c r="H1008" i="18" s="1"/>
  <c r="G1167" i="18"/>
  <c r="I1006" i="18"/>
  <c r="H1006" i="18" s="1"/>
  <c r="G1165" i="18"/>
  <c r="I899" i="18"/>
  <c r="H899" i="18" s="1"/>
  <c r="G1054" i="18"/>
  <c r="I901" i="18"/>
  <c r="H901" i="18" s="1"/>
  <c r="G1056" i="18"/>
  <c r="I903" i="18"/>
  <c r="H903" i="18" s="1"/>
  <c r="G1058" i="18"/>
  <c r="I854" i="18"/>
  <c r="H854" i="18" s="1"/>
  <c r="G1009" i="18"/>
  <c r="I852" i="18"/>
  <c r="H852" i="18" s="1"/>
  <c r="G1007" i="18"/>
  <c r="I856" i="18"/>
  <c r="H856" i="18" s="1"/>
  <c r="G1011" i="18"/>
  <c r="I756" i="18"/>
  <c r="H756" i="18" s="1"/>
  <c r="G906" i="18"/>
  <c r="I752" i="18"/>
  <c r="H752" i="18" s="1"/>
  <c r="G902" i="18"/>
  <c r="I709" i="18"/>
  <c r="H709" i="18" s="1"/>
  <c r="G859" i="18"/>
  <c r="I705" i="18"/>
  <c r="H705" i="18" s="1"/>
  <c r="G855" i="18"/>
  <c r="I707" i="18"/>
  <c r="H707" i="18" s="1"/>
  <c r="G857" i="18"/>
  <c r="I606" i="18"/>
  <c r="H606" i="18" s="1"/>
  <c r="G712" i="18"/>
  <c r="I602" i="18"/>
  <c r="H602" i="18" s="1"/>
  <c r="G708" i="18"/>
  <c r="I504" i="18"/>
  <c r="H504" i="18" s="1"/>
  <c r="G609" i="18"/>
  <c r="G759" i="18" s="1"/>
  <c r="I500" i="18"/>
  <c r="H500" i="18" s="1"/>
  <c r="G605" i="18"/>
  <c r="G755" i="18" s="1"/>
  <c r="I398" i="18"/>
  <c r="H398" i="18" s="1"/>
  <c r="G503" i="18"/>
  <c r="I402" i="18"/>
  <c r="H402" i="18" s="1"/>
  <c r="G507" i="18"/>
  <c r="G300" i="18"/>
  <c r="G405" i="18" s="1"/>
  <c r="I297" i="18"/>
  <c r="H297" i="18" s="1"/>
  <c r="G296" i="18"/>
  <c r="G401" i="18" s="1"/>
  <c r="I293" i="18"/>
  <c r="H293" i="18" s="1"/>
  <c r="G1829" i="18" l="1"/>
  <c r="I1829" i="18" s="1"/>
  <c r="H1829" i="18" s="1"/>
  <c r="G1830" i="18"/>
  <c r="I1830" i="18" s="1"/>
  <c r="H1830" i="18" s="1"/>
  <c r="I754" i="18"/>
  <c r="H754" i="18" s="1"/>
  <c r="I1560" i="18"/>
  <c r="H1560" i="18" s="1"/>
  <c r="G1828" i="18"/>
  <c r="I1828" i="18" s="1"/>
  <c r="H1828" i="18" s="1"/>
  <c r="I1561" i="18"/>
  <c r="H1561" i="18" s="1"/>
  <c r="I1509" i="18"/>
  <c r="H1509" i="18" s="1"/>
  <c r="G1776" i="18"/>
  <c r="I1776" i="18" s="1"/>
  <c r="H1776" i="18" s="1"/>
  <c r="I1511" i="18"/>
  <c r="H1511" i="18" s="1"/>
  <c r="G1778" i="18"/>
  <c r="I1778" i="18" s="1"/>
  <c r="H1778" i="18" s="1"/>
  <c r="I1512" i="18"/>
  <c r="H1512" i="18" s="1"/>
  <c r="G1779" i="18"/>
  <c r="I1779" i="18" s="1"/>
  <c r="H1779" i="18" s="1"/>
  <c r="G607" i="18"/>
  <c r="G757" i="18" s="1"/>
  <c r="I757" i="18" s="1"/>
  <c r="H757" i="18" s="1"/>
  <c r="I1507" i="18"/>
  <c r="H1507" i="18" s="1"/>
  <c r="G1773" i="18"/>
  <c r="I1773" i="18" s="1"/>
  <c r="H1773" i="18" s="1"/>
  <c r="I1470" i="18"/>
  <c r="H1470" i="18" s="1"/>
  <c r="G1736" i="18"/>
  <c r="I1736" i="18" s="1"/>
  <c r="H1736" i="18" s="1"/>
  <c r="G710" i="18"/>
  <c r="I710" i="18" s="1"/>
  <c r="H710" i="18" s="1"/>
  <c r="I604" i="18"/>
  <c r="H604" i="18" s="1"/>
  <c r="I1461" i="18"/>
  <c r="H1461" i="18" s="1"/>
  <c r="G1727" i="18"/>
  <c r="I1727" i="18" s="1"/>
  <c r="H1727" i="18" s="1"/>
  <c r="I1465" i="18"/>
  <c r="H1465" i="18" s="1"/>
  <c r="G1731" i="18"/>
  <c r="I1731" i="18" s="1"/>
  <c r="H1731" i="18" s="1"/>
  <c r="I1463" i="18"/>
  <c r="H1463" i="18" s="1"/>
  <c r="G1729" i="18"/>
  <c r="I1729" i="18" s="1"/>
  <c r="H1729" i="18" s="1"/>
  <c r="I1467" i="18"/>
  <c r="H1467" i="18" s="1"/>
  <c r="G1733" i="18"/>
  <c r="G505" i="18"/>
  <c r="G610" i="18" s="1"/>
  <c r="G760" i="18" s="1"/>
  <c r="I295" i="18"/>
  <c r="H295" i="18" s="1"/>
  <c r="G298" i="18"/>
  <c r="G403" i="18" s="1"/>
  <c r="I403" i="18" s="1"/>
  <c r="H403" i="18" s="1"/>
  <c r="I1371" i="18"/>
  <c r="H1371" i="18" s="1"/>
  <c r="G1563" i="18"/>
  <c r="I1366" i="18"/>
  <c r="H1366" i="18" s="1"/>
  <c r="G1558" i="18"/>
  <c r="I1320" i="18"/>
  <c r="H1320" i="18" s="1"/>
  <c r="G1468" i="18"/>
  <c r="I1321" i="18"/>
  <c r="H1321" i="18" s="1"/>
  <c r="G1469" i="18"/>
  <c r="I1318" i="18"/>
  <c r="H1318" i="18" s="1"/>
  <c r="G1466" i="18"/>
  <c r="I1316" i="18"/>
  <c r="H1316" i="18" s="1"/>
  <c r="G1464" i="18"/>
  <c r="I1212" i="18"/>
  <c r="H1212" i="18" s="1"/>
  <c r="G1370" i="18"/>
  <c r="G1627" i="18" s="1"/>
  <c r="I1627" i="18" s="1"/>
  <c r="H1627" i="18" s="1"/>
  <c r="I1214" i="18"/>
  <c r="H1214" i="18" s="1"/>
  <c r="G1372" i="18"/>
  <c r="G1629" i="18" s="1"/>
  <c r="I1629" i="18" s="1"/>
  <c r="H1629" i="18" s="1"/>
  <c r="I1216" i="18"/>
  <c r="H1216" i="18" s="1"/>
  <c r="G1374" i="18"/>
  <c r="G1631" i="18" s="1"/>
  <c r="I1631" i="18" s="1"/>
  <c r="H1631" i="18" s="1"/>
  <c r="I1209" i="18"/>
  <c r="H1209" i="18" s="1"/>
  <c r="G1365" i="18"/>
  <c r="G1622" i="18" s="1"/>
  <c r="I1622" i="18" s="1"/>
  <c r="H1622" i="18" s="1"/>
  <c r="I1165" i="18"/>
  <c r="H1165" i="18" s="1"/>
  <c r="G1323" i="18"/>
  <c r="G1514" i="18" s="1"/>
  <c r="I1167" i="18"/>
  <c r="H1167" i="18" s="1"/>
  <c r="G1325" i="18"/>
  <c r="G1516" i="18" s="1"/>
  <c r="I1058" i="18"/>
  <c r="H1058" i="18" s="1"/>
  <c r="G1219" i="18"/>
  <c r="I1056" i="18"/>
  <c r="H1056" i="18" s="1"/>
  <c r="G1217" i="18"/>
  <c r="I1054" i="18"/>
  <c r="H1054" i="18" s="1"/>
  <c r="G1215" i="18"/>
  <c r="I1011" i="18"/>
  <c r="H1011" i="18" s="1"/>
  <c r="G1170" i="18"/>
  <c r="I1007" i="18"/>
  <c r="H1007" i="18" s="1"/>
  <c r="G1166" i="18"/>
  <c r="I1009" i="18"/>
  <c r="H1009" i="18" s="1"/>
  <c r="G1168" i="18"/>
  <c r="I902" i="18"/>
  <c r="H902" i="18" s="1"/>
  <c r="G1057" i="18"/>
  <c r="I904" i="18"/>
  <c r="H904" i="18" s="1"/>
  <c r="G1059" i="18"/>
  <c r="I906" i="18"/>
  <c r="H906" i="18" s="1"/>
  <c r="G1061" i="18"/>
  <c r="I855" i="18"/>
  <c r="H855" i="18" s="1"/>
  <c r="G1010" i="18"/>
  <c r="I857" i="18"/>
  <c r="H857" i="18" s="1"/>
  <c r="G1012" i="18"/>
  <c r="I859" i="18"/>
  <c r="H859" i="18" s="1"/>
  <c r="G1014" i="18"/>
  <c r="I759" i="18"/>
  <c r="H759" i="18" s="1"/>
  <c r="G909" i="18"/>
  <c r="I755" i="18"/>
  <c r="H755" i="18" s="1"/>
  <c r="G905" i="18"/>
  <c r="I712" i="18"/>
  <c r="H712" i="18" s="1"/>
  <c r="G862" i="18"/>
  <c r="I708" i="18"/>
  <c r="H708" i="18" s="1"/>
  <c r="G858" i="18"/>
  <c r="I605" i="18"/>
  <c r="H605" i="18" s="1"/>
  <c r="G711" i="18"/>
  <c r="I609" i="18"/>
  <c r="H609" i="18" s="1"/>
  <c r="G715" i="18"/>
  <c r="I507" i="18"/>
  <c r="H507" i="18" s="1"/>
  <c r="G612" i="18"/>
  <c r="G762" i="18" s="1"/>
  <c r="I503" i="18"/>
  <c r="H503" i="18" s="1"/>
  <c r="G608" i="18"/>
  <c r="G758" i="18" s="1"/>
  <c r="G506" i="18"/>
  <c r="I401" i="18"/>
  <c r="H401" i="18" s="1"/>
  <c r="I405" i="18"/>
  <c r="H405" i="18" s="1"/>
  <c r="G510" i="18"/>
  <c r="G299" i="18"/>
  <c r="G404" i="18" s="1"/>
  <c r="I296" i="18"/>
  <c r="H296" i="18" s="1"/>
  <c r="I300" i="18"/>
  <c r="H300" i="18" s="1"/>
  <c r="G303" i="18"/>
  <c r="G408" i="18" s="1"/>
  <c r="I1563" i="18" l="1"/>
  <c r="H1563" i="18" s="1"/>
  <c r="G1833" i="18"/>
  <c r="I1833" i="18" s="1"/>
  <c r="H1833" i="18" s="1"/>
  <c r="I1558" i="18"/>
  <c r="H1558" i="18" s="1"/>
  <c r="G1826" i="18"/>
  <c r="I1826" i="18" s="1"/>
  <c r="H1826" i="18" s="1"/>
  <c r="I1514" i="18"/>
  <c r="H1514" i="18" s="1"/>
  <c r="G1781" i="18"/>
  <c r="I1781" i="18" s="1"/>
  <c r="H1781" i="18" s="1"/>
  <c r="G713" i="18"/>
  <c r="G863" i="18" s="1"/>
  <c r="G907" i="18"/>
  <c r="I907" i="18" s="1"/>
  <c r="H907" i="18" s="1"/>
  <c r="I607" i="18"/>
  <c r="H607" i="18" s="1"/>
  <c r="I1516" i="18"/>
  <c r="H1516" i="18" s="1"/>
  <c r="G1783" i="18"/>
  <c r="I1783" i="18" s="1"/>
  <c r="H1783" i="18" s="1"/>
  <c r="G508" i="18"/>
  <c r="G613" i="18" s="1"/>
  <c r="G763" i="18" s="1"/>
  <c r="I298" i="18"/>
  <c r="H298" i="18" s="1"/>
  <c r="G301" i="18"/>
  <c r="G406" i="18" s="1"/>
  <c r="I406" i="18" s="1"/>
  <c r="H406" i="18" s="1"/>
  <c r="G860" i="18"/>
  <c r="I860" i="18" s="1"/>
  <c r="H860" i="18" s="1"/>
  <c r="I1469" i="18"/>
  <c r="H1469" i="18" s="1"/>
  <c r="G1735" i="18"/>
  <c r="I1735" i="18" s="1"/>
  <c r="H1735" i="18" s="1"/>
  <c r="I1468" i="18"/>
  <c r="H1468" i="18" s="1"/>
  <c r="G1734" i="18"/>
  <c r="I1734" i="18" s="1"/>
  <c r="H1734" i="18" s="1"/>
  <c r="I1733" i="18"/>
  <c r="H1733" i="18" s="1"/>
  <c r="I1464" i="18"/>
  <c r="H1464" i="18" s="1"/>
  <c r="G1730" i="18"/>
  <c r="I1730" i="18" s="1"/>
  <c r="H1730" i="18" s="1"/>
  <c r="I1466" i="18"/>
  <c r="H1466" i="18" s="1"/>
  <c r="G1732" i="18"/>
  <c r="I1732" i="18" s="1"/>
  <c r="H1732" i="18" s="1"/>
  <c r="I505" i="18"/>
  <c r="H505" i="18" s="1"/>
  <c r="I1374" i="18"/>
  <c r="H1374" i="18" s="1"/>
  <c r="G1566" i="18"/>
  <c r="I1372" i="18"/>
  <c r="H1372" i="18" s="1"/>
  <c r="G1564" i="18"/>
  <c r="I1370" i="18"/>
  <c r="H1370" i="18" s="1"/>
  <c r="G1562" i="18"/>
  <c r="I1365" i="18"/>
  <c r="H1365" i="18" s="1"/>
  <c r="G1557" i="18"/>
  <c r="I1325" i="18"/>
  <c r="H1325" i="18" s="1"/>
  <c r="G1473" i="18"/>
  <c r="I1323" i="18"/>
  <c r="H1323" i="18" s="1"/>
  <c r="G1471" i="18"/>
  <c r="I1215" i="18"/>
  <c r="H1215" i="18" s="1"/>
  <c r="G1373" i="18"/>
  <c r="G1630" i="18" s="1"/>
  <c r="I1630" i="18" s="1"/>
  <c r="H1630" i="18" s="1"/>
  <c r="I1217" i="18"/>
  <c r="H1217" i="18" s="1"/>
  <c r="G1375" i="18"/>
  <c r="G1632" i="18" s="1"/>
  <c r="I1632" i="18" s="1"/>
  <c r="H1632" i="18" s="1"/>
  <c r="I1219" i="18"/>
  <c r="H1219" i="18" s="1"/>
  <c r="G1377" i="18"/>
  <c r="G1634" i="18" s="1"/>
  <c r="I1634" i="18" s="1"/>
  <c r="H1634" i="18" s="1"/>
  <c r="I1168" i="18"/>
  <c r="H1168" i="18" s="1"/>
  <c r="G1326" i="18"/>
  <c r="G1517" i="18" s="1"/>
  <c r="I1166" i="18"/>
  <c r="H1166" i="18" s="1"/>
  <c r="G1324" i="18"/>
  <c r="G1515" i="18" s="1"/>
  <c r="I1170" i="18"/>
  <c r="H1170" i="18" s="1"/>
  <c r="G1328" i="18"/>
  <c r="G1519" i="18" s="1"/>
  <c r="G19" i="31"/>
  <c r="G20" i="31" s="1"/>
  <c r="G21" i="31" s="1"/>
  <c r="G22" i="31" s="1"/>
  <c r="G23" i="31" s="1"/>
  <c r="I18" i="31"/>
  <c r="I1059" i="18"/>
  <c r="H1059" i="18" s="1"/>
  <c r="G1220" i="18"/>
  <c r="I1061" i="18"/>
  <c r="H1061" i="18" s="1"/>
  <c r="G1222" i="18"/>
  <c r="I1057" i="18"/>
  <c r="H1057" i="18" s="1"/>
  <c r="G1218" i="18"/>
  <c r="I1012" i="18"/>
  <c r="H1012" i="18" s="1"/>
  <c r="G1171" i="18"/>
  <c r="I1010" i="18"/>
  <c r="H1010" i="18" s="1"/>
  <c r="G1169" i="18"/>
  <c r="I1014" i="18"/>
  <c r="H1014" i="18" s="1"/>
  <c r="G1173" i="18"/>
  <c r="I905" i="18"/>
  <c r="H905" i="18" s="1"/>
  <c r="G1060" i="18"/>
  <c r="I909" i="18"/>
  <c r="H909" i="18" s="1"/>
  <c r="G1064" i="18"/>
  <c r="I858" i="18"/>
  <c r="H858" i="18" s="1"/>
  <c r="G1013" i="18"/>
  <c r="I862" i="18"/>
  <c r="H862" i="18" s="1"/>
  <c r="G1017" i="18"/>
  <c r="G1015" i="18"/>
  <c r="I760" i="18"/>
  <c r="H760" i="18" s="1"/>
  <c r="G910" i="18"/>
  <c r="I758" i="18"/>
  <c r="H758" i="18" s="1"/>
  <c r="G908" i="18"/>
  <c r="I762" i="18"/>
  <c r="H762" i="18" s="1"/>
  <c r="G912" i="18"/>
  <c r="I715" i="18"/>
  <c r="H715" i="18" s="1"/>
  <c r="G865" i="18"/>
  <c r="I711" i="18"/>
  <c r="H711" i="18" s="1"/>
  <c r="G861" i="18"/>
  <c r="I608" i="18"/>
  <c r="H608" i="18" s="1"/>
  <c r="G714" i="18"/>
  <c r="I610" i="18"/>
  <c r="H610" i="18" s="1"/>
  <c r="G716" i="18"/>
  <c r="I612" i="18"/>
  <c r="H612" i="18" s="1"/>
  <c r="G718" i="18"/>
  <c r="I404" i="18"/>
  <c r="H404" i="18" s="1"/>
  <c r="G509" i="18"/>
  <c r="I408" i="18"/>
  <c r="H408" i="18" s="1"/>
  <c r="G513" i="18"/>
  <c r="I510" i="18"/>
  <c r="H510" i="18" s="1"/>
  <c r="G615" i="18"/>
  <c r="G765" i="18" s="1"/>
  <c r="G611" i="18"/>
  <c r="G761" i="18" s="1"/>
  <c r="I506" i="18"/>
  <c r="H506" i="18" s="1"/>
  <c r="I303" i="18"/>
  <c r="H303" i="18" s="1"/>
  <c r="G306" i="18"/>
  <c r="G411" i="18" s="1"/>
  <c r="G302" i="18"/>
  <c r="G407" i="18" s="1"/>
  <c r="I299" i="18"/>
  <c r="H299" i="18" s="1"/>
  <c r="G24" i="31" l="1"/>
  <c r="G25" i="31" s="1"/>
  <c r="G26" i="31" s="1"/>
  <c r="G27" i="31" s="1"/>
  <c r="G28" i="31" s="1"/>
  <c r="G29" i="31" s="1"/>
  <c r="G30" i="31" s="1"/>
  <c r="I1566" i="18"/>
  <c r="H1566" i="18" s="1"/>
  <c r="G1836" i="18"/>
  <c r="I1836" i="18" s="1"/>
  <c r="H1836" i="18" s="1"/>
  <c r="I1562" i="18"/>
  <c r="H1562" i="18" s="1"/>
  <c r="G1832" i="18"/>
  <c r="I1832" i="18" s="1"/>
  <c r="H1832" i="18" s="1"/>
  <c r="I1564" i="18"/>
  <c r="H1564" i="18" s="1"/>
  <c r="G1834" i="18"/>
  <c r="I1834" i="18" s="1"/>
  <c r="H1834" i="18" s="1"/>
  <c r="G1062" i="18"/>
  <c r="I1062" i="18" s="1"/>
  <c r="H1062" i="18" s="1"/>
  <c r="G511" i="18"/>
  <c r="I511" i="18" s="1"/>
  <c r="H511" i="18" s="1"/>
  <c r="I713" i="18"/>
  <c r="H713" i="18" s="1"/>
  <c r="I301" i="18"/>
  <c r="H301" i="18" s="1"/>
  <c r="G304" i="18"/>
  <c r="G409" i="18" s="1"/>
  <c r="G514" i="18" s="1"/>
  <c r="I1557" i="18"/>
  <c r="H1557" i="18" s="1"/>
  <c r="G1825" i="18"/>
  <c r="I1825" i="18" s="1"/>
  <c r="H1825" i="18" s="1"/>
  <c r="I508" i="18"/>
  <c r="H508" i="18" s="1"/>
  <c r="I1519" i="18"/>
  <c r="H1519" i="18" s="1"/>
  <c r="G1786" i="18"/>
  <c r="I1786" i="18" s="1"/>
  <c r="H1786" i="18" s="1"/>
  <c r="I1515" i="18"/>
  <c r="H1515" i="18" s="1"/>
  <c r="G1782" i="18"/>
  <c r="I1782" i="18" s="1"/>
  <c r="H1782" i="18" s="1"/>
  <c r="I1517" i="18"/>
  <c r="H1517" i="18" s="1"/>
  <c r="G1784" i="18"/>
  <c r="I1784" i="18" s="1"/>
  <c r="H1784" i="18" s="1"/>
  <c r="I1473" i="18"/>
  <c r="H1473" i="18" s="1"/>
  <c r="G1739" i="18"/>
  <c r="I1739" i="18" s="1"/>
  <c r="H1739" i="18" s="1"/>
  <c r="I1471" i="18"/>
  <c r="H1471" i="18" s="1"/>
  <c r="G1737" i="18"/>
  <c r="I1737" i="18" s="1"/>
  <c r="H1737" i="18" s="1"/>
  <c r="I1375" i="18"/>
  <c r="H1375" i="18" s="1"/>
  <c r="G1567" i="18"/>
  <c r="I1373" i="18"/>
  <c r="H1373" i="18" s="1"/>
  <c r="G1565" i="18"/>
  <c r="I1377" i="18"/>
  <c r="H1377" i="18" s="1"/>
  <c r="G1569" i="18"/>
  <c r="I1328" i="18"/>
  <c r="H1328" i="18" s="1"/>
  <c r="G1476" i="18"/>
  <c r="I1324" i="18"/>
  <c r="H1324" i="18" s="1"/>
  <c r="G1472" i="18"/>
  <c r="I1326" i="18"/>
  <c r="H1326" i="18" s="1"/>
  <c r="G1474" i="18"/>
  <c r="I23" i="31"/>
  <c r="J23" i="31" s="1"/>
  <c r="I1218" i="18"/>
  <c r="H1218" i="18" s="1"/>
  <c r="G1376" i="18"/>
  <c r="G1633" i="18" s="1"/>
  <c r="I1633" i="18" s="1"/>
  <c r="H1633" i="18" s="1"/>
  <c r="I1222" i="18"/>
  <c r="H1222" i="18" s="1"/>
  <c r="G1380" i="18"/>
  <c r="G1637" i="18" s="1"/>
  <c r="I1637" i="18" s="1"/>
  <c r="H1637" i="18" s="1"/>
  <c r="I1220" i="18"/>
  <c r="H1220" i="18" s="1"/>
  <c r="G1378" i="18"/>
  <c r="G1635" i="18" s="1"/>
  <c r="I1635" i="18" s="1"/>
  <c r="H1635" i="18" s="1"/>
  <c r="I1173" i="18"/>
  <c r="H1173" i="18" s="1"/>
  <c r="G1331" i="18"/>
  <c r="G1522" i="18" s="1"/>
  <c r="I1169" i="18"/>
  <c r="H1169" i="18" s="1"/>
  <c r="G1327" i="18"/>
  <c r="G1518" i="18" s="1"/>
  <c r="I1171" i="18"/>
  <c r="H1171" i="18" s="1"/>
  <c r="G1329" i="18"/>
  <c r="G1520" i="18" s="1"/>
  <c r="J18" i="31"/>
  <c r="M18" i="31"/>
  <c r="H18" i="31"/>
  <c r="I19" i="31"/>
  <c r="I1064" i="18"/>
  <c r="H1064" i="18" s="1"/>
  <c r="G1225" i="18"/>
  <c r="G1223" i="18"/>
  <c r="I1060" i="18"/>
  <c r="H1060" i="18" s="1"/>
  <c r="G1221" i="18"/>
  <c r="I1017" i="18"/>
  <c r="H1017" i="18" s="1"/>
  <c r="G1176" i="18"/>
  <c r="I1013" i="18"/>
  <c r="H1013" i="18" s="1"/>
  <c r="G1172" i="18"/>
  <c r="I1015" i="18"/>
  <c r="H1015" i="18" s="1"/>
  <c r="G1174" i="18"/>
  <c r="I908" i="18"/>
  <c r="H908" i="18" s="1"/>
  <c r="G1063" i="18"/>
  <c r="I912" i="18"/>
  <c r="H912" i="18" s="1"/>
  <c r="G1067" i="18"/>
  <c r="I910" i="18"/>
  <c r="H910" i="18" s="1"/>
  <c r="G1065" i="18"/>
  <c r="I861" i="18"/>
  <c r="H861" i="18" s="1"/>
  <c r="G1016" i="18"/>
  <c r="I863" i="18"/>
  <c r="H863" i="18" s="1"/>
  <c r="G1018" i="18"/>
  <c r="I865" i="18"/>
  <c r="H865" i="18" s="1"/>
  <c r="G1020" i="18"/>
  <c r="I761" i="18"/>
  <c r="H761" i="18" s="1"/>
  <c r="G911" i="18"/>
  <c r="I765" i="18"/>
  <c r="H765" i="18" s="1"/>
  <c r="G915" i="18"/>
  <c r="I763" i="18"/>
  <c r="H763" i="18" s="1"/>
  <c r="G913" i="18"/>
  <c r="I716" i="18"/>
  <c r="H716" i="18" s="1"/>
  <c r="G866" i="18"/>
  <c r="I718" i="18"/>
  <c r="H718" i="18" s="1"/>
  <c r="G868" i="18"/>
  <c r="I714" i="18"/>
  <c r="H714" i="18" s="1"/>
  <c r="G864" i="18"/>
  <c r="I613" i="18"/>
  <c r="H613" i="18" s="1"/>
  <c r="G719" i="18"/>
  <c r="I615" i="18"/>
  <c r="H615" i="18" s="1"/>
  <c r="G721" i="18"/>
  <c r="I611" i="18"/>
  <c r="H611" i="18" s="1"/>
  <c r="G717" i="18"/>
  <c r="G618" i="18"/>
  <c r="G768" i="18" s="1"/>
  <c r="I513" i="18"/>
  <c r="H513" i="18" s="1"/>
  <c r="I407" i="18"/>
  <c r="H407" i="18" s="1"/>
  <c r="G512" i="18"/>
  <c r="I411" i="18"/>
  <c r="H411" i="18" s="1"/>
  <c r="G516" i="18"/>
  <c r="I509" i="18"/>
  <c r="H509" i="18" s="1"/>
  <c r="G614" i="18"/>
  <c r="G764" i="18" s="1"/>
  <c r="I302" i="18"/>
  <c r="H302" i="18" s="1"/>
  <c r="G305" i="18"/>
  <c r="G410" i="18" s="1"/>
  <c r="G309" i="18"/>
  <c r="G414" i="18" s="1"/>
  <c r="I306" i="18"/>
  <c r="H306" i="18" s="1"/>
  <c r="G31" i="31" l="1"/>
  <c r="G32" i="31" s="1"/>
  <c r="G33" i="31" s="1"/>
  <c r="I1569" i="18"/>
  <c r="H1569" i="18" s="1"/>
  <c r="G1839" i="18"/>
  <c r="I1839" i="18" s="1"/>
  <c r="H1839" i="18" s="1"/>
  <c r="I1567" i="18"/>
  <c r="H1567" i="18" s="1"/>
  <c r="G1837" i="18"/>
  <c r="I1837" i="18" s="1"/>
  <c r="H1837" i="18" s="1"/>
  <c r="G307" i="18"/>
  <c r="G412" i="18" s="1"/>
  <c r="I412" i="18" s="1"/>
  <c r="H412" i="18" s="1"/>
  <c r="I1565" i="18"/>
  <c r="H1565" i="18" s="1"/>
  <c r="G1835" i="18"/>
  <c r="I1835" i="18" s="1"/>
  <c r="H1835" i="18" s="1"/>
  <c r="G616" i="18"/>
  <c r="G766" i="18" s="1"/>
  <c r="I766" i="18" s="1"/>
  <c r="H766" i="18" s="1"/>
  <c r="I409" i="18"/>
  <c r="H409" i="18" s="1"/>
  <c r="I304" i="18"/>
  <c r="H304" i="18" s="1"/>
  <c r="I1520" i="18"/>
  <c r="H1520" i="18" s="1"/>
  <c r="G1787" i="18"/>
  <c r="I1787" i="18" s="1"/>
  <c r="H1787" i="18" s="1"/>
  <c r="I1518" i="18"/>
  <c r="H1518" i="18" s="1"/>
  <c r="G1785" i="18"/>
  <c r="I1785" i="18" s="1"/>
  <c r="H1785" i="18" s="1"/>
  <c r="I1522" i="18"/>
  <c r="H1522" i="18" s="1"/>
  <c r="G1789" i="18"/>
  <c r="I1789" i="18" s="1"/>
  <c r="H1789" i="18" s="1"/>
  <c r="I1476" i="18"/>
  <c r="H1476" i="18" s="1"/>
  <c r="G1742" i="18"/>
  <c r="I1742" i="18" s="1"/>
  <c r="H1742" i="18" s="1"/>
  <c r="I1474" i="18"/>
  <c r="H1474" i="18" s="1"/>
  <c r="G1740" i="18"/>
  <c r="I1740" i="18" s="1"/>
  <c r="H1740" i="18" s="1"/>
  <c r="I1472" i="18"/>
  <c r="H1472" i="18" s="1"/>
  <c r="G1738" i="18"/>
  <c r="I1738" i="18" s="1"/>
  <c r="H1738" i="18" s="1"/>
  <c r="I1376" i="18"/>
  <c r="H1376" i="18" s="1"/>
  <c r="G1568" i="18"/>
  <c r="I1378" i="18"/>
  <c r="H1378" i="18" s="1"/>
  <c r="G1570" i="18"/>
  <c r="I1380" i="18"/>
  <c r="H1380" i="18" s="1"/>
  <c r="G1572" i="18"/>
  <c r="I1331" i="18"/>
  <c r="H1331" i="18" s="1"/>
  <c r="G1479" i="18"/>
  <c r="I1329" i="18"/>
  <c r="H1329" i="18" s="1"/>
  <c r="G1477" i="18"/>
  <c r="I1327" i="18"/>
  <c r="H1327" i="18" s="1"/>
  <c r="G1475" i="18"/>
  <c r="M23" i="31"/>
  <c r="H23" i="31"/>
  <c r="I1221" i="18"/>
  <c r="H1221" i="18" s="1"/>
  <c r="G1379" i="18"/>
  <c r="G1636" i="18" s="1"/>
  <c r="I1636" i="18" s="1"/>
  <c r="H1636" i="18" s="1"/>
  <c r="I1225" i="18"/>
  <c r="H1225" i="18" s="1"/>
  <c r="G1383" i="18"/>
  <c r="G1640" i="18" s="1"/>
  <c r="I1640" i="18" s="1"/>
  <c r="H1640" i="18" s="1"/>
  <c r="I1223" i="18"/>
  <c r="H1223" i="18" s="1"/>
  <c r="G1381" i="18"/>
  <c r="G1638" i="18" s="1"/>
  <c r="I1638" i="18" s="1"/>
  <c r="H1638" i="18" s="1"/>
  <c r="I1174" i="18"/>
  <c r="H1174" i="18" s="1"/>
  <c r="G1332" i="18"/>
  <c r="G1523" i="18" s="1"/>
  <c r="I1176" i="18"/>
  <c r="H1176" i="18" s="1"/>
  <c r="G1334" i="18"/>
  <c r="G1525" i="18" s="1"/>
  <c r="I1172" i="18"/>
  <c r="H1172" i="18" s="1"/>
  <c r="G1330" i="18"/>
  <c r="G1521" i="18" s="1"/>
  <c r="J19" i="31"/>
  <c r="M19" i="31"/>
  <c r="H19" i="31"/>
  <c r="I1067" i="18"/>
  <c r="H1067" i="18" s="1"/>
  <c r="G1228" i="18"/>
  <c r="I1065" i="18"/>
  <c r="H1065" i="18" s="1"/>
  <c r="G1226" i="18"/>
  <c r="I1063" i="18"/>
  <c r="H1063" i="18" s="1"/>
  <c r="G1224" i="18"/>
  <c r="I1018" i="18"/>
  <c r="H1018" i="18" s="1"/>
  <c r="G1177" i="18"/>
  <c r="I1016" i="18"/>
  <c r="H1016" i="18" s="1"/>
  <c r="G1175" i="18"/>
  <c r="I1020" i="18"/>
  <c r="H1020" i="18" s="1"/>
  <c r="G1179" i="18"/>
  <c r="I913" i="18"/>
  <c r="H913" i="18" s="1"/>
  <c r="G1068" i="18"/>
  <c r="I911" i="18"/>
  <c r="H911" i="18" s="1"/>
  <c r="G1066" i="18"/>
  <c r="I915" i="18"/>
  <c r="H915" i="18" s="1"/>
  <c r="G1070" i="18"/>
  <c r="I864" i="18"/>
  <c r="H864" i="18" s="1"/>
  <c r="G1019" i="18"/>
  <c r="I868" i="18"/>
  <c r="H868" i="18" s="1"/>
  <c r="G1023" i="18"/>
  <c r="I866" i="18"/>
  <c r="H866" i="18" s="1"/>
  <c r="G1021" i="18"/>
  <c r="I768" i="18"/>
  <c r="H768" i="18" s="1"/>
  <c r="G918" i="18"/>
  <c r="I764" i="18"/>
  <c r="H764" i="18" s="1"/>
  <c r="G914" i="18"/>
  <c r="I719" i="18"/>
  <c r="H719" i="18" s="1"/>
  <c r="G869" i="18"/>
  <c r="I721" i="18"/>
  <c r="H721" i="18" s="1"/>
  <c r="G871" i="18"/>
  <c r="I717" i="18"/>
  <c r="H717" i="18" s="1"/>
  <c r="G867" i="18"/>
  <c r="I618" i="18"/>
  <c r="H618" i="18" s="1"/>
  <c r="G724" i="18"/>
  <c r="I614" i="18"/>
  <c r="H614" i="18" s="1"/>
  <c r="G720" i="18"/>
  <c r="I410" i="18"/>
  <c r="H410" i="18" s="1"/>
  <c r="G515" i="18"/>
  <c r="I512" i="18"/>
  <c r="H512" i="18" s="1"/>
  <c r="G617" i="18"/>
  <c r="G767" i="18" s="1"/>
  <c r="I516" i="18"/>
  <c r="H516" i="18" s="1"/>
  <c r="G621" i="18"/>
  <c r="G771" i="18" s="1"/>
  <c r="I414" i="18"/>
  <c r="H414" i="18" s="1"/>
  <c r="G519" i="18"/>
  <c r="G619" i="18"/>
  <c r="G769" i="18" s="1"/>
  <c r="I514" i="18"/>
  <c r="H514" i="18" s="1"/>
  <c r="I309" i="18"/>
  <c r="H309" i="18" s="1"/>
  <c r="G312" i="18"/>
  <c r="G417" i="18" s="1"/>
  <c r="I305" i="18"/>
  <c r="H305" i="18" s="1"/>
  <c r="G308" i="18"/>
  <c r="G413" i="18" s="1"/>
  <c r="G34" i="31" l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517" i="18"/>
  <c r="I517" i="18" s="1"/>
  <c r="H517" i="18" s="1"/>
  <c r="I1572" i="18"/>
  <c r="H1572" i="18" s="1"/>
  <c r="G1842" i="18"/>
  <c r="I1842" i="18" s="1"/>
  <c r="H1842" i="18" s="1"/>
  <c r="I1570" i="18"/>
  <c r="H1570" i="18" s="1"/>
  <c r="G1840" i="18"/>
  <c r="I1840" i="18" s="1"/>
  <c r="H1840" i="18" s="1"/>
  <c r="I1568" i="18"/>
  <c r="H1568" i="18" s="1"/>
  <c r="G1838" i="18"/>
  <c r="I1838" i="18" s="1"/>
  <c r="H1838" i="18" s="1"/>
  <c r="I307" i="18"/>
  <c r="H307" i="18" s="1"/>
  <c r="G310" i="18"/>
  <c r="G415" i="18" s="1"/>
  <c r="I415" i="18" s="1"/>
  <c r="H415" i="18" s="1"/>
  <c r="G722" i="18"/>
  <c r="I722" i="18" s="1"/>
  <c r="H722" i="18" s="1"/>
  <c r="G916" i="18"/>
  <c r="I916" i="18" s="1"/>
  <c r="H916" i="18" s="1"/>
  <c r="I616" i="18"/>
  <c r="H616" i="18" s="1"/>
  <c r="I1523" i="18"/>
  <c r="H1523" i="18" s="1"/>
  <c r="G1790" i="18"/>
  <c r="I1790" i="18" s="1"/>
  <c r="H1790" i="18" s="1"/>
  <c r="I1521" i="18"/>
  <c r="H1521" i="18" s="1"/>
  <c r="G1788" i="18"/>
  <c r="I1788" i="18" s="1"/>
  <c r="H1788" i="18" s="1"/>
  <c r="I1525" i="18"/>
  <c r="H1525" i="18" s="1"/>
  <c r="G1792" i="18"/>
  <c r="I1792" i="18" s="1"/>
  <c r="H1792" i="18" s="1"/>
  <c r="I1475" i="18"/>
  <c r="H1475" i="18" s="1"/>
  <c r="G1741" i="18"/>
  <c r="I1741" i="18" s="1"/>
  <c r="H1741" i="18" s="1"/>
  <c r="I1477" i="18"/>
  <c r="H1477" i="18" s="1"/>
  <c r="G1743" i="18"/>
  <c r="I1743" i="18" s="1"/>
  <c r="H1743" i="18" s="1"/>
  <c r="I1479" i="18"/>
  <c r="H1479" i="18" s="1"/>
  <c r="G1745" i="18"/>
  <c r="I1745" i="18" s="1"/>
  <c r="H1745" i="18" s="1"/>
  <c r="I24" i="31"/>
  <c r="J24" i="31" s="1"/>
  <c r="I1381" i="18"/>
  <c r="H1381" i="18" s="1"/>
  <c r="G1573" i="18"/>
  <c r="I1383" i="18"/>
  <c r="H1383" i="18" s="1"/>
  <c r="G1575" i="18"/>
  <c r="I1379" i="18"/>
  <c r="H1379" i="18" s="1"/>
  <c r="G1571" i="18"/>
  <c r="I1332" i="18"/>
  <c r="H1332" i="18" s="1"/>
  <c r="G1480" i="18"/>
  <c r="I1330" i="18"/>
  <c r="H1330" i="18" s="1"/>
  <c r="G1478" i="18"/>
  <c r="I1334" i="18"/>
  <c r="H1334" i="18" s="1"/>
  <c r="G1482" i="18"/>
  <c r="I1224" i="18"/>
  <c r="H1224" i="18" s="1"/>
  <c r="G1382" i="18"/>
  <c r="G1639" i="18" s="1"/>
  <c r="I1639" i="18" s="1"/>
  <c r="H1639" i="18" s="1"/>
  <c r="I1226" i="18"/>
  <c r="H1226" i="18" s="1"/>
  <c r="G1384" i="18"/>
  <c r="G1641" i="18" s="1"/>
  <c r="I1641" i="18" s="1"/>
  <c r="H1641" i="18" s="1"/>
  <c r="I1228" i="18"/>
  <c r="H1228" i="18" s="1"/>
  <c r="G1386" i="18"/>
  <c r="G1643" i="18" s="1"/>
  <c r="I1643" i="18" s="1"/>
  <c r="H1643" i="18" s="1"/>
  <c r="I1179" i="18"/>
  <c r="H1179" i="18" s="1"/>
  <c r="G1337" i="18"/>
  <c r="G1528" i="18" s="1"/>
  <c r="I1175" i="18"/>
  <c r="H1175" i="18" s="1"/>
  <c r="G1333" i="18"/>
  <c r="G1524" i="18" s="1"/>
  <c r="I1177" i="18"/>
  <c r="H1177" i="18" s="1"/>
  <c r="G1335" i="18"/>
  <c r="G1526" i="18" s="1"/>
  <c r="I1070" i="18"/>
  <c r="H1070" i="18" s="1"/>
  <c r="G1231" i="18"/>
  <c r="I1066" i="18"/>
  <c r="H1066" i="18" s="1"/>
  <c r="G1227" i="18"/>
  <c r="I1068" i="18"/>
  <c r="H1068" i="18" s="1"/>
  <c r="G1229" i="18"/>
  <c r="I1019" i="18"/>
  <c r="H1019" i="18" s="1"/>
  <c r="G1178" i="18"/>
  <c r="I1023" i="18"/>
  <c r="H1023" i="18" s="1"/>
  <c r="G1182" i="18"/>
  <c r="I1021" i="18"/>
  <c r="H1021" i="18" s="1"/>
  <c r="G1180" i="18"/>
  <c r="I914" i="18"/>
  <c r="H914" i="18" s="1"/>
  <c r="G1069" i="18"/>
  <c r="I871" i="18"/>
  <c r="H871" i="18" s="1"/>
  <c r="G1026" i="18"/>
  <c r="I918" i="18"/>
  <c r="H918" i="18" s="1"/>
  <c r="G1073" i="18"/>
  <c r="I869" i="18"/>
  <c r="H869" i="18" s="1"/>
  <c r="G1024" i="18"/>
  <c r="I867" i="18"/>
  <c r="H867" i="18" s="1"/>
  <c r="G1022" i="18"/>
  <c r="I767" i="18"/>
  <c r="H767" i="18" s="1"/>
  <c r="G917" i="18"/>
  <c r="I769" i="18"/>
  <c r="H769" i="18" s="1"/>
  <c r="G919" i="18"/>
  <c r="I771" i="18"/>
  <c r="H771" i="18" s="1"/>
  <c r="G921" i="18"/>
  <c r="I724" i="18"/>
  <c r="H724" i="18" s="1"/>
  <c r="G874" i="18"/>
  <c r="I720" i="18"/>
  <c r="H720" i="18" s="1"/>
  <c r="G870" i="18"/>
  <c r="I621" i="18"/>
  <c r="H621" i="18" s="1"/>
  <c r="G727" i="18"/>
  <c r="I617" i="18"/>
  <c r="H617" i="18" s="1"/>
  <c r="G723" i="18"/>
  <c r="I619" i="18"/>
  <c r="H619" i="18" s="1"/>
  <c r="G725" i="18"/>
  <c r="I413" i="18"/>
  <c r="H413" i="18" s="1"/>
  <c r="G518" i="18"/>
  <c r="G522" i="18"/>
  <c r="I417" i="18"/>
  <c r="H417" i="18" s="1"/>
  <c r="I519" i="18"/>
  <c r="H519" i="18" s="1"/>
  <c r="G624" i="18"/>
  <c r="G774" i="18" s="1"/>
  <c r="I515" i="18"/>
  <c r="H515" i="18" s="1"/>
  <c r="G620" i="18"/>
  <c r="G770" i="18" s="1"/>
  <c r="I308" i="18"/>
  <c r="H308" i="18" s="1"/>
  <c r="G311" i="18"/>
  <c r="G416" i="18" s="1"/>
  <c r="G315" i="18"/>
  <c r="G420" i="18" s="1"/>
  <c r="I312" i="18"/>
  <c r="H312" i="18" s="1"/>
  <c r="G622" i="18" l="1"/>
  <c r="G772" i="18" s="1"/>
  <c r="G1071" i="18"/>
  <c r="G70" i="31"/>
  <c r="G71" i="31" s="1"/>
  <c r="G72" i="31" s="1"/>
  <c r="G73" i="31" s="1"/>
  <c r="G313" i="18"/>
  <c r="G418" i="18" s="1"/>
  <c r="I418" i="18" s="1"/>
  <c r="H418" i="18" s="1"/>
  <c r="I310" i="18"/>
  <c r="H310" i="18" s="1"/>
  <c r="I1575" i="18"/>
  <c r="H1575" i="18" s="1"/>
  <c r="G1845" i="18"/>
  <c r="I1845" i="18" s="1"/>
  <c r="H1845" i="18" s="1"/>
  <c r="I1573" i="18"/>
  <c r="H1573" i="18" s="1"/>
  <c r="G1843" i="18"/>
  <c r="I1843" i="18" s="1"/>
  <c r="H1843" i="18" s="1"/>
  <c r="G872" i="18"/>
  <c r="I872" i="18" s="1"/>
  <c r="H872" i="18" s="1"/>
  <c r="G520" i="18"/>
  <c r="G625" i="18" s="1"/>
  <c r="G775" i="18" s="1"/>
  <c r="I1571" i="18"/>
  <c r="H1571" i="18" s="1"/>
  <c r="G1841" i="18"/>
  <c r="I1841" i="18" s="1"/>
  <c r="H1841" i="18" s="1"/>
  <c r="I1526" i="18"/>
  <c r="H1526" i="18" s="1"/>
  <c r="G1793" i="18"/>
  <c r="I1793" i="18" s="1"/>
  <c r="H1793" i="18" s="1"/>
  <c r="I1524" i="18"/>
  <c r="H1524" i="18" s="1"/>
  <c r="G1791" i="18"/>
  <c r="I1791" i="18" s="1"/>
  <c r="H1791" i="18" s="1"/>
  <c r="I1528" i="18"/>
  <c r="H1528" i="18" s="1"/>
  <c r="G1795" i="18"/>
  <c r="I1795" i="18" s="1"/>
  <c r="H1795" i="18" s="1"/>
  <c r="I1480" i="18"/>
  <c r="H1480" i="18" s="1"/>
  <c r="G1746" i="18"/>
  <c r="I1746" i="18" s="1"/>
  <c r="H1746" i="18" s="1"/>
  <c r="I1482" i="18"/>
  <c r="H1482" i="18" s="1"/>
  <c r="G1748" i="18"/>
  <c r="I1748" i="18" s="1"/>
  <c r="H1748" i="18" s="1"/>
  <c r="I1478" i="18"/>
  <c r="H1478" i="18" s="1"/>
  <c r="G1744" i="18"/>
  <c r="I1744" i="18" s="1"/>
  <c r="H1744" i="18" s="1"/>
  <c r="M24" i="31"/>
  <c r="H24" i="31"/>
  <c r="I1386" i="18"/>
  <c r="H1386" i="18" s="1"/>
  <c r="G1578" i="18"/>
  <c r="I1384" i="18"/>
  <c r="H1384" i="18" s="1"/>
  <c r="G1576" i="18"/>
  <c r="I1382" i="18"/>
  <c r="H1382" i="18" s="1"/>
  <c r="G1574" i="18"/>
  <c r="I1335" i="18"/>
  <c r="H1335" i="18" s="1"/>
  <c r="G1483" i="18"/>
  <c r="I1337" i="18"/>
  <c r="H1337" i="18" s="1"/>
  <c r="G1485" i="18"/>
  <c r="I1333" i="18"/>
  <c r="H1333" i="18" s="1"/>
  <c r="G1481" i="18"/>
  <c r="I1229" i="18"/>
  <c r="H1229" i="18" s="1"/>
  <c r="G1387" i="18"/>
  <c r="G1644" i="18" s="1"/>
  <c r="I1644" i="18" s="1"/>
  <c r="H1644" i="18" s="1"/>
  <c r="I1227" i="18"/>
  <c r="H1227" i="18" s="1"/>
  <c r="G1385" i="18"/>
  <c r="G1642" i="18" s="1"/>
  <c r="I1642" i="18" s="1"/>
  <c r="H1642" i="18" s="1"/>
  <c r="I1231" i="18"/>
  <c r="H1231" i="18" s="1"/>
  <c r="G1389" i="18"/>
  <c r="G1646" i="18" s="1"/>
  <c r="I1646" i="18" s="1"/>
  <c r="H1646" i="18" s="1"/>
  <c r="I1180" i="18"/>
  <c r="H1180" i="18" s="1"/>
  <c r="G1338" i="18"/>
  <c r="G1529" i="18" s="1"/>
  <c r="I1178" i="18"/>
  <c r="H1178" i="18" s="1"/>
  <c r="G1336" i="18"/>
  <c r="G1527" i="18" s="1"/>
  <c r="I1182" i="18"/>
  <c r="H1182" i="18" s="1"/>
  <c r="G1340" i="18"/>
  <c r="G1531" i="18" s="1"/>
  <c r="I1073" i="18"/>
  <c r="H1073" i="18" s="1"/>
  <c r="G1234" i="18"/>
  <c r="I1069" i="18"/>
  <c r="H1069" i="18" s="1"/>
  <c r="G1230" i="18"/>
  <c r="I1071" i="18"/>
  <c r="H1071" i="18" s="1"/>
  <c r="G1232" i="18"/>
  <c r="I1026" i="18"/>
  <c r="H1026" i="18" s="1"/>
  <c r="G1185" i="18"/>
  <c r="I1024" i="18"/>
  <c r="H1024" i="18" s="1"/>
  <c r="G1183" i="18"/>
  <c r="I1022" i="18"/>
  <c r="H1022" i="18" s="1"/>
  <c r="G1181" i="18"/>
  <c r="I921" i="18"/>
  <c r="H921" i="18" s="1"/>
  <c r="G1076" i="18"/>
  <c r="I870" i="18"/>
  <c r="H870" i="18" s="1"/>
  <c r="G1025" i="18"/>
  <c r="I919" i="18"/>
  <c r="H919" i="18" s="1"/>
  <c r="G1074" i="18"/>
  <c r="I917" i="18"/>
  <c r="H917" i="18" s="1"/>
  <c r="G1072" i="18"/>
  <c r="I874" i="18"/>
  <c r="H874" i="18" s="1"/>
  <c r="G1029" i="18"/>
  <c r="I772" i="18"/>
  <c r="H772" i="18" s="1"/>
  <c r="G922" i="18"/>
  <c r="I770" i="18"/>
  <c r="H770" i="18" s="1"/>
  <c r="G920" i="18"/>
  <c r="I774" i="18"/>
  <c r="H774" i="18" s="1"/>
  <c r="G924" i="18"/>
  <c r="I727" i="18"/>
  <c r="H727" i="18" s="1"/>
  <c r="G877" i="18"/>
  <c r="I725" i="18"/>
  <c r="H725" i="18" s="1"/>
  <c r="G875" i="18"/>
  <c r="I723" i="18"/>
  <c r="H723" i="18" s="1"/>
  <c r="G873" i="18"/>
  <c r="I620" i="18"/>
  <c r="H620" i="18" s="1"/>
  <c r="G726" i="18"/>
  <c r="I624" i="18"/>
  <c r="H624" i="18" s="1"/>
  <c r="G730" i="18"/>
  <c r="I622" i="18"/>
  <c r="H622" i="18" s="1"/>
  <c r="G728" i="18"/>
  <c r="I416" i="18"/>
  <c r="H416" i="18" s="1"/>
  <c r="G521" i="18"/>
  <c r="I518" i="18"/>
  <c r="H518" i="18" s="1"/>
  <c r="G623" i="18"/>
  <c r="G773" i="18" s="1"/>
  <c r="I520" i="18"/>
  <c r="H520" i="18" s="1"/>
  <c r="G627" i="18"/>
  <c r="G777" i="18" s="1"/>
  <c r="I522" i="18"/>
  <c r="H522" i="18" s="1"/>
  <c r="G523" i="18"/>
  <c r="I420" i="18"/>
  <c r="H420" i="18" s="1"/>
  <c r="G525" i="18"/>
  <c r="G316" i="18"/>
  <c r="G421" i="18" s="1"/>
  <c r="I313" i="18"/>
  <c r="H313" i="18" s="1"/>
  <c r="G318" i="18"/>
  <c r="G423" i="18" s="1"/>
  <c r="I315" i="18"/>
  <c r="H315" i="18" s="1"/>
  <c r="I311" i="18"/>
  <c r="H311" i="18" s="1"/>
  <c r="G314" i="18"/>
  <c r="G419" i="18" s="1"/>
  <c r="C37" i="17"/>
  <c r="H33" i="17"/>
  <c r="C33" i="17"/>
  <c r="G74" i="31" l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I73" i="31"/>
  <c r="I1574" i="18"/>
  <c r="H1574" i="18" s="1"/>
  <c r="G1844" i="18"/>
  <c r="I1844" i="18" s="1"/>
  <c r="H1844" i="18" s="1"/>
  <c r="I1576" i="18"/>
  <c r="H1576" i="18" s="1"/>
  <c r="G1846" i="18"/>
  <c r="I1846" i="18" s="1"/>
  <c r="H1846" i="18" s="1"/>
  <c r="I1578" i="18"/>
  <c r="H1578" i="18" s="1"/>
  <c r="G1848" i="18"/>
  <c r="I1848" i="18" s="1"/>
  <c r="H1848" i="18" s="1"/>
  <c r="G1027" i="18"/>
  <c r="G1186" i="18" s="1"/>
  <c r="I1527" i="18"/>
  <c r="H1527" i="18" s="1"/>
  <c r="G1794" i="18"/>
  <c r="I1794" i="18" s="1"/>
  <c r="H1794" i="18" s="1"/>
  <c r="I1529" i="18"/>
  <c r="H1529" i="18" s="1"/>
  <c r="G1796" i="18"/>
  <c r="I1796" i="18" s="1"/>
  <c r="H1796" i="18" s="1"/>
  <c r="I1531" i="18"/>
  <c r="H1531" i="18" s="1"/>
  <c r="G1798" i="18"/>
  <c r="I1798" i="18" s="1"/>
  <c r="H1798" i="18" s="1"/>
  <c r="I1483" i="18"/>
  <c r="H1483" i="18" s="1"/>
  <c r="G1749" i="18"/>
  <c r="I1749" i="18" s="1"/>
  <c r="H1749" i="18" s="1"/>
  <c r="I1485" i="18"/>
  <c r="H1485" i="18" s="1"/>
  <c r="G1751" i="18"/>
  <c r="I1751" i="18" s="1"/>
  <c r="H1751" i="18" s="1"/>
  <c r="I1481" i="18"/>
  <c r="H1481" i="18" s="1"/>
  <c r="G1747" i="18"/>
  <c r="I1747" i="18" s="1"/>
  <c r="H1747" i="18" s="1"/>
  <c r="M73" i="31"/>
  <c r="H73" i="31"/>
  <c r="I74" i="31"/>
  <c r="I1385" i="18"/>
  <c r="H1385" i="18" s="1"/>
  <c r="G1577" i="18"/>
  <c r="I1389" i="18"/>
  <c r="H1389" i="18" s="1"/>
  <c r="G1581" i="18"/>
  <c r="I1387" i="18"/>
  <c r="H1387" i="18" s="1"/>
  <c r="G1579" i="18"/>
  <c r="I1336" i="18"/>
  <c r="H1336" i="18" s="1"/>
  <c r="G1484" i="18"/>
  <c r="I1340" i="18"/>
  <c r="H1340" i="18" s="1"/>
  <c r="G1488" i="18"/>
  <c r="I1338" i="18"/>
  <c r="H1338" i="18" s="1"/>
  <c r="G1486" i="18"/>
  <c r="I1234" i="18"/>
  <c r="H1234" i="18" s="1"/>
  <c r="G1393" i="18"/>
  <c r="G1650" i="18" s="1"/>
  <c r="I1650" i="18" s="1"/>
  <c r="H1650" i="18" s="1"/>
  <c r="I1232" i="18"/>
  <c r="H1232" i="18" s="1"/>
  <c r="G1391" i="18"/>
  <c r="G1648" i="18" s="1"/>
  <c r="I1648" i="18" s="1"/>
  <c r="H1648" i="18" s="1"/>
  <c r="G1390" i="18"/>
  <c r="G1647" i="18" s="1"/>
  <c r="I1647" i="18" s="1"/>
  <c r="H1647" i="18" s="1"/>
  <c r="I1230" i="18"/>
  <c r="H1230" i="18" s="1"/>
  <c r="G1388" i="18"/>
  <c r="G1645" i="18" s="1"/>
  <c r="I1645" i="18" s="1"/>
  <c r="H1645" i="18" s="1"/>
  <c r="I1185" i="18"/>
  <c r="H1185" i="18" s="1"/>
  <c r="G1343" i="18"/>
  <c r="G1534" i="18" s="1"/>
  <c r="I1181" i="18"/>
  <c r="H1181" i="18" s="1"/>
  <c r="G1339" i="18"/>
  <c r="G1530" i="18" s="1"/>
  <c r="I1183" i="18"/>
  <c r="H1183" i="18" s="1"/>
  <c r="G1341" i="18"/>
  <c r="G1532" i="18" s="1"/>
  <c r="I1076" i="18"/>
  <c r="H1076" i="18" s="1"/>
  <c r="G1237" i="18"/>
  <c r="I1074" i="18"/>
  <c r="H1074" i="18" s="1"/>
  <c r="G1235" i="18"/>
  <c r="I1072" i="18"/>
  <c r="H1072" i="18" s="1"/>
  <c r="G1233" i="18"/>
  <c r="G1392" i="18" s="1"/>
  <c r="G1649" i="18" s="1"/>
  <c r="I1649" i="18" s="1"/>
  <c r="H1649" i="18" s="1"/>
  <c r="I1025" i="18"/>
  <c r="H1025" i="18" s="1"/>
  <c r="G1184" i="18"/>
  <c r="I1029" i="18"/>
  <c r="H1029" i="18" s="1"/>
  <c r="G1188" i="18"/>
  <c r="I1027" i="18"/>
  <c r="H1027" i="18" s="1"/>
  <c r="I924" i="18"/>
  <c r="H924" i="18" s="1"/>
  <c r="G1079" i="18"/>
  <c r="I920" i="18"/>
  <c r="H920" i="18" s="1"/>
  <c r="G1075" i="18"/>
  <c r="I873" i="18"/>
  <c r="H873" i="18" s="1"/>
  <c r="G1028" i="18"/>
  <c r="I875" i="18"/>
  <c r="H875" i="18" s="1"/>
  <c r="G1030" i="18"/>
  <c r="I922" i="18"/>
  <c r="H922" i="18" s="1"/>
  <c r="G1077" i="18"/>
  <c r="I877" i="18"/>
  <c r="H877" i="18" s="1"/>
  <c r="G1032" i="18"/>
  <c r="I773" i="18"/>
  <c r="H773" i="18" s="1"/>
  <c r="G923" i="18"/>
  <c r="I775" i="18"/>
  <c r="H775" i="18" s="1"/>
  <c r="G925" i="18"/>
  <c r="I777" i="18"/>
  <c r="H777" i="18" s="1"/>
  <c r="G927" i="18"/>
  <c r="I726" i="18"/>
  <c r="H726" i="18" s="1"/>
  <c r="G876" i="18"/>
  <c r="I730" i="18"/>
  <c r="H730" i="18" s="1"/>
  <c r="G880" i="18"/>
  <c r="I728" i="18"/>
  <c r="H728" i="18" s="1"/>
  <c r="G878" i="18"/>
  <c r="I625" i="18"/>
  <c r="H625" i="18" s="1"/>
  <c r="G731" i="18"/>
  <c r="I623" i="18"/>
  <c r="H623" i="18" s="1"/>
  <c r="G729" i="18"/>
  <c r="I627" i="18"/>
  <c r="H627" i="18" s="1"/>
  <c r="G733" i="18"/>
  <c r="I421" i="18"/>
  <c r="H421" i="18" s="1"/>
  <c r="G526" i="18"/>
  <c r="I523" i="18"/>
  <c r="H523" i="18" s="1"/>
  <c r="G628" i="18"/>
  <c r="G778" i="18" s="1"/>
  <c r="G626" i="18"/>
  <c r="G776" i="18" s="1"/>
  <c r="I521" i="18"/>
  <c r="H521" i="18" s="1"/>
  <c r="I419" i="18"/>
  <c r="H419" i="18" s="1"/>
  <c r="G524" i="18"/>
  <c r="I525" i="18"/>
  <c r="H525" i="18" s="1"/>
  <c r="G630" i="18"/>
  <c r="G780" i="18" s="1"/>
  <c r="G528" i="18"/>
  <c r="I423" i="18"/>
  <c r="H423" i="18" s="1"/>
  <c r="G317" i="18"/>
  <c r="G422" i="18" s="1"/>
  <c r="I314" i="18"/>
  <c r="H314" i="18" s="1"/>
  <c r="G321" i="18"/>
  <c r="I318" i="18"/>
  <c r="H318" i="18" s="1"/>
  <c r="G319" i="18"/>
  <c r="G424" i="18" s="1"/>
  <c r="I316" i="18"/>
  <c r="H316" i="18" s="1"/>
  <c r="G33" i="17"/>
  <c r="G144" i="31" l="1"/>
  <c r="I143" i="31"/>
  <c r="I1581" i="18"/>
  <c r="H1581" i="18" s="1"/>
  <c r="G1851" i="18"/>
  <c r="I1851" i="18" s="1"/>
  <c r="H1851" i="18" s="1"/>
  <c r="I1579" i="18"/>
  <c r="H1579" i="18" s="1"/>
  <c r="G1849" i="18"/>
  <c r="I1849" i="18" s="1"/>
  <c r="H1849" i="18" s="1"/>
  <c r="I1577" i="18"/>
  <c r="H1577" i="18" s="1"/>
  <c r="G1847" i="18"/>
  <c r="I1847" i="18" s="1"/>
  <c r="H1847" i="18" s="1"/>
  <c r="I1530" i="18"/>
  <c r="H1530" i="18" s="1"/>
  <c r="G1797" i="18"/>
  <c r="I1797" i="18" s="1"/>
  <c r="H1797" i="18" s="1"/>
  <c r="I1534" i="18"/>
  <c r="H1534" i="18" s="1"/>
  <c r="G1801" i="18"/>
  <c r="I1801" i="18" s="1"/>
  <c r="H1801" i="18" s="1"/>
  <c r="I1532" i="18"/>
  <c r="H1532" i="18" s="1"/>
  <c r="G1799" i="18"/>
  <c r="I1799" i="18" s="1"/>
  <c r="H1799" i="18" s="1"/>
  <c r="I1486" i="18"/>
  <c r="H1486" i="18" s="1"/>
  <c r="G1752" i="18"/>
  <c r="I1752" i="18" s="1"/>
  <c r="H1752" i="18" s="1"/>
  <c r="I1488" i="18"/>
  <c r="H1488" i="18" s="1"/>
  <c r="G1754" i="18"/>
  <c r="I1754" i="18" s="1"/>
  <c r="H1754" i="18" s="1"/>
  <c r="I1484" i="18"/>
  <c r="H1484" i="18" s="1"/>
  <c r="G1750" i="18"/>
  <c r="I1750" i="18" s="1"/>
  <c r="H1750" i="18" s="1"/>
  <c r="H74" i="31"/>
  <c r="M74" i="31"/>
  <c r="I75" i="31"/>
  <c r="I1392" i="18"/>
  <c r="H1392" i="18" s="1"/>
  <c r="G1584" i="18"/>
  <c r="I1393" i="18"/>
  <c r="H1393" i="18" s="1"/>
  <c r="G1585" i="18"/>
  <c r="I1391" i="18"/>
  <c r="H1391" i="18" s="1"/>
  <c r="G1583" i="18"/>
  <c r="I1388" i="18"/>
  <c r="H1388" i="18" s="1"/>
  <c r="G1580" i="18"/>
  <c r="I1390" i="18"/>
  <c r="H1390" i="18" s="1"/>
  <c r="G1582" i="18"/>
  <c r="I1339" i="18"/>
  <c r="H1339" i="18" s="1"/>
  <c r="G1487" i="18"/>
  <c r="I1341" i="18"/>
  <c r="H1341" i="18" s="1"/>
  <c r="G1489" i="18"/>
  <c r="I1343" i="18"/>
  <c r="H1343" i="18" s="1"/>
  <c r="G1491" i="18"/>
  <c r="I1235" i="18"/>
  <c r="H1235" i="18" s="1"/>
  <c r="G1394" i="18"/>
  <c r="G1651" i="18" s="1"/>
  <c r="I1651" i="18" s="1"/>
  <c r="H1651" i="18" s="1"/>
  <c r="I1237" i="18"/>
  <c r="H1237" i="18" s="1"/>
  <c r="G1396" i="18"/>
  <c r="G1653" i="18" s="1"/>
  <c r="I1653" i="18" s="1"/>
  <c r="H1653" i="18" s="1"/>
  <c r="I1233" i="18"/>
  <c r="H1233" i="18" s="1"/>
  <c r="I1186" i="18"/>
  <c r="H1186" i="18" s="1"/>
  <c r="G1344" i="18"/>
  <c r="G1535" i="18" s="1"/>
  <c r="I1188" i="18"/>
  <c r="H1188" i="18" s="1"/>
  <c r="G1346" i="18"/>
  <c r="G1537" i="18" s="1"/>
  <c r="I1184" i="18"/>
  <c r="H1184" i="18" s="1"/>
  <c r="G1342" i="18"/>
  <c r="G1533" i="18" s="1"/>
  <c r="I1032" i="18"/>
  <c r="H1032" i="18" s="1"/>
  <c r="G1193" i="18"/>
  <c r="I1075" i="18"/>
  <c r="H1075" i="18" s="1"/>
  <c r="G1236" i="18"/>
  <c r="I1077" i="18"/>
  <c r="H1077" i="18" s="1"/>
  <c r="G1238" i="18"/>
  <c r="I1079" i="18"/>
  <c r="H1079" i="18" s="1"/>
  <c r="G1240" i="18"/>
  <c r="I1028" i="18"/>
  <c r="H1028" i="18" s="1"/>
  <c r="G1187" i="18"/>
  <c r="I1030" i="18"/>
  <c r="H1030" i="18" s="1"/>
  <c r="G1191" i="18"/>
  <c r="I878" i="18"/>
  <c r="H878" i="18" s="1"/>
  <c r="G1033" i="18"/>
  <c r="I880" i="18"/>
  <c r="H880" i="18" s="1"/>
  <c r="G1035" i="18"/>
  <c r="I927" i="18"/>
  <c r="H927" i="18" s="1"/>
  <c r="G1082" i="18"/>
  <c r="I925" i="18"/>
  <c r="H925" i="18" s="1"/>
  <c r="G1080" i="18"/>
  <c r="I923" i="18"/>
  <c r="H923" i="18" s="1"/>
  <c r="G1078" i="18"/>
  <c r="I876" i="18"/>
  <c r="H876" i="18" s="1"/>
  <c r="G1031" i="18"/>
  <c r="I20" i="31"/>
  <c r="I776" i="18"/>
  <c r="H776" i="18" s="1"/>
  <c r="G926" i="18"/>
  <c r="I778" i="18"/>
  <c r="H778" i="18" s="1"/>
  <c r="G928" i="18"/>
  <c r="I780" i="18"/>
  <c r="H780" i="18" s="1"/>
  <c r="G930" i="18"/>
  <c r="I731" i="18"/>
  <c r="H731" i="18" s="1"/>
  <c r="G881" i="18"/>
  <c r="I733" i="18"/>
  <c r="H733" i="18" s="1"/>
  <c r="G883" i="18"/>
  <c r="I729" i="18"/>
  <c r="H729" i="18" s="1"/>
  <c r="G879" i="18"/>
  <c r="I628" i="18"/>
  <c r="H628" i="18" s="1"/>
  <c r="G734" i="18"/>
  <c r="I630" i="18"/>
  <c r="H630" i="18" s="1"/>
  <c r="G736" i="18"/>
  <c r="I626" i="18"/>
  <c r="H626" i="18" s="1"/>
  <c r="G732" i="18"/>
  <c r="I524" i="18"/>
  <c r="H524" i="18" s="1"/>
  <c r="G629" i="18"/>
  <c r="G779" i="18" s="1"/>
  <c r="I422" i="18"/>
  <c r="H422" i="18" s="1"/>
  <c r="G527" i="18"/>
  <c r="I424" i="18"/>
  <c r="H424" i="18" s="1"/>
  <c r="G529" i="18"/>
  <c r="I526" i="18"/>
  <c r="H526" i="18" s="1"/>
  <c r="G631" i="18"/>
  <c r="G781" i="18" s="1"/>
  <c r="I528" i="18"/>
  <c r="H528" i="18" s="1"/>
  <c r="G633" i="18"/>
  <c r="G783" i="18" s="1"/>
  <c r="I321" i="18"/>
  <c r="H321" i="18" s="1"/>
  <c r="G426" i="18"/>
  <c r="I319" i="18"/>
  <c r="H319" i="18" s="1"/>
  <c r="G322" i="18"/>
  <c r="I317" i="18"/>
  <c r="H317" i="18" s="1"/>
  <c r="G320" i="18"/>
  <c r="G425" i="18" s="1"/>
  <c r="H143" i="31" l="1"/>
  <c r="M143" i="31"/>
  <c r="I144" i="31"/>
  <c r="G145" i="31"/>
  <c r="I1582" i="18"/>
  <c r="H1582" i="18" s="1"/>
  <c r="G1852" i="18"/>
  <c r="I1852" i="18" s="1"/>
  <c r="H1852" i="18" s="1"/>
  <c r="I1583" i="18"/>
  <c r="H1583" i="18" s="1"/>
  <c r="G1853" i="18"/>
  <c r="I1853" i="18" s="1"/>
  <c r="H1853" i="18" s="1"/>
  <c r="I1580" i="18"/>
  <c r="H1580" i="18" s="1"/>
  <c r="G1850" i="18"/>
  <c r="I1850" i="18" s="1"/>
  <c r="H1850" i="18" s="1"/>
  <c r="I1585" i="18"/>
  <c r="H1585" i="18" s="1"/>
  <c r="G1855" i="18"/>
  <c r="I1855" i="18" s="1"/>
  <c r="H1855" i="18" s="1"/>
  <c r="I1584" i="18"/>
  <c r="H1584" i="18" s="1"/>
  <c r="G1854" i="18"/>
  <c r="I1854" i="18" s="1"/>
  <c r="H1854" i="18" s="1"/>
  <c r="I1537" i="18"/>
  <c r="H1537" i="18" s="1"/>
  <c r="G1804" i="18"/>
  <c r="I1804" i="18" s="1"/>
  <c r="H1804" i="18" s="1"/>
  <c r="I1533" i="18"/>
  <c r="H1533" i="18" s="1"/>
  <c r="G1800" i="18"/>
  <c r="I1800" i="18" s="1"/>
  <c r="H1800" i="18" s="1"/>
  <c r="I1535" i="18"/>
  <c r="H1535" i="18" s="1"/>
  <c r="G1802" i="18"/>
  <c r="I1802" i="18" s="1"/>
  <c r="H1802" i="18" s="1"/>
  <c r="I1487" i="18"/>
  <c r="H1487" i="18" s="1"/>
  <c r="G1753" i="18"/>
  <c r="I1753" i="18" s="1"/>
  <c r="H1753" i="18" s="1"/>
  <c r="I1491" i="18"/>
  <c r="H1491" i="18" s="1"/>
  <c r="G1757" i="18"/>
  <c r="I1757" i="18" s="1"/>
  <c r="H1757" i="18" s="1"/>
  <c r="I1489" i="18"/>
  <c r="H1489" i="18" s="1"/>
  <c r="G1755" i="18"/>
  <c r="I1755" i="18" s="1"/>
  <c r="H1755" i="18" s="1"/>
  <c r="I76" i="31"/>
  <c r="M75" i="31"/>
  <c r="H75" i="31"/>
  <c r="I1396" i="18"/>
  <c r="H1396" i="18" s="1"/>
  <c r="G1588" i="18"/>
  <c r="I1394" i="18"/>
  <c r="H1394" i="18" s="1"/>
  <c r="G1586" i="18"/>
  <c r="I1342" i="18"/>
  <c r="H1342" i="18" s="1"/>
  <c r="G1490" i="18"/>
  <c r="I1344" i="18"/>
  <c r="H1344" i="18" s="1"/>
  <c r="G1492" i="18"/>
  <c r="I1346" i="18"/>
  <c r="H1346" i="18" s="1"/>
  <c r="G1494" i="18"/>
  <c r="J20" i="31"/>
  <c r="I1238" i="18"/>
  <c r="H1238" i="18" s="1"/>
  <c r="G1397" i="18"/>
  <c r="G1654" i="18" s="1"/>
  <c r="I1654" i="18" s="1"/>
  <c r="H1654" i="18" s="1"/>
  <c r="I1240" i="18"/>
  <c r="H1240" i="18" s="1"/>
  <c r="G1399" i="18"/>
  <c r="G1656" i="18" s="1"/>
  <c r="I1656" i="18" s="1"/>
  <c r="H1656" i="18" s="1"/>
  <c r="I1236" i="18"/>
  <c r="H1236" i="18" s="1"/>
  <c r="G1395" i="18"/>
  <c r="G1652" i="18" s="1"/>
  <c r="I1652" i="18" s="1"/>
  <c r="H1652" i="18" s="1"/>
  <c r="I1445" i="18"/>
  <c r="I1191" i="18"/>
  <c r="H1191" i="18" s="1"/>
  <c r="G1347" i="18"/>
  <c r="G1538" i="18" s="1"/>
  <c r="I1187" i="18"/>
  <c r="H1187" i="18" s="1"/>
  <c r="G1345" i="18"/>
  <c r="G1536" i="18" s="1"/>
  <c r="I1193" i="18"/>
  <c r="H1193" i="18" s="1"/>
  <c r="G1349" i="18"/>
  <c r="G1540" i="18" s="1"/>
  <c r="I1082" i="18"/>
  <c r="H1082" i="18" s="1"/>
  <c r="G1243" i="18"/>
  <c r="I1031" i="18"/>
  <c r="H1031" i="18" s="1"/>
  <c r="G1192" i="18"/>
  <c r="I1078" i="18"/>
  <c r="H1078" i="18" s="1"/>
  <c r="G1239" i="18"/>
  <c r="I1080" i="18"/>
  <c r="H1080" i="18" s="1"/>
  <c r="G1241" i="18"/>
  <c r="I1035" i="18"/>
  <c r="H1035" i="18" s="1"/>
  <c r="G1196" i="18"/>
  <c r="I1033" i="18"/>
  <c r="H1033" i="18" s="1"/>
  <c r="G1194" i="18"/>
  <c r="I879" i="18"/>
  <c r="H879" i="18" s="1"/>
  <c r="G1034" i="18"/>
  <c r="I926" i="18"/>
  <c r="H926" i="18" s="1"/>
  <c r="G1081" i="18"/>
  <c r="I883" i="18"/>
  <c r="H883" i="18" s="1"/>
  <c r="G1038" i="18"/>
  <c r="I928" i="18"/>
  <c r="H928" i="18" s="1"/>
  <c r="G1083" i="18"/>
  <c r="I881" i="18"/>
  <c r="H881" i="18" s="1"/>
  <c r="G1036" i="18"/>
  <c r="I930" i="18"/>
  <c r="H930" i="18" s="1"/>
  <c r="G1085" i="18"/>
  <c r="M20" i="31"/>
  <c r="H20" i="31"/>
  <c r="I781" i="18"/>
  <c r="H781" i="18" s="1"/>
  <c r="G931" i="18"/>
  <c r="I783" i="18"/>
  <c r="H783" i="18" s="1"/>
  <c r="G933" i="18"/>
  <c r="I779" i="18"/>
  <c r="H779" i="18" s="1"/>
  <c r="G929" i="18"/>
  <c r="I736" i="18"/>
  <c r="H736" i="18" s="1"/>
  <c r="G886" i="18"/>
  <c r="I734" i="18"/>
  <c r="H734" i="18" s="1"/>
  <c r="G884" i="18"/>
  <c r="I732" i="18"/>
  <c r="H732" i="18" s="1"/>
  <c r="G882" i="18"/>
  <c r="I631" i="18"/>
  <c r="H631" i="18" s="1"/>
  <c r="G737" i="18"/>
  <c r="I633" i="18"/>
  <c r="H633" i="18" s="1"/>
  <c r="G739" i="18"/>
  <c r="I629" i="18"/>
  <c r="H629" i="18" s="1"/>
  <c r="G735" i="18"/>
  <c r="I527" i="18"/>
  <c r="H527" i="18" s="1"/>
  <c r="G632" i="18"/>
  <c r="G782" i="18" s="1"/>
  <c r="I322" i="18"/>
  <c r="H322" i="18" s="1"/>
  <c r="G427" i="18"/>
  <c r="G634" i="18"/>
  <c r="G784" i="18" s="1"/>
  <c r="I529" i="18"/>
  <c r="H529" i="18" s="1"/>
  <c r="G530" i="18"/>
  <c r="I425" i="18"/>
  <c r="H425" i="18" s="1"/>
  <c r="I426" i="18"/>
  <c r="H426" i="18" s="1"/>
  <c r="G531" i="18"/>
  <c r="I320" i="18"/>
  <c r="H320" i="18" s="1"/>
  <c r="G323" i="18"/>
  <c r="G146" i="31" l="1"/>
  <c r="I145" i="31"/>
  <c r="M144" i="31"/>
  <c r="H144" i="31"/>
  <c r="I1588" i="18"/>
  <c r="H1588" i="18" s="1"/>
  <c r="G1858" i="18"/>
  <c r="I1858" i="18" s="1"/>
  <c r="H1858" i="18" s="1"/>
  <c r="I1586" i="18"/>
  <c r="H1586" i="18" s="1"/>
  <c r="G1856" i="18"/>
  <c r="I1856" i="18" s="1"/>
  <c r="H1856" i="18" s="1"/>
  <c r="I1538" i="18"/>
  <c r="H1538" i="18" s="1"/>
  <c r="G1805" i="18"/>
  <c r="I1805" i="18" s="1"/>
  <c r="H1805" i="18" s="1"/>
  <c r="I1540" i="18"/>
  <c r="H1540" i="18" s="1"/>
  <c r="G1807" i="18"/>
  <c r="I1807" i="18" s="1"/>
  <c r="H1807" i="18" s="1"/>
  <c r="I1536" i="18"/>
  <c r="H1536" i="18" s="1"/>
  <c r="G1803" i="18"/>
  <c r="I1803" i="18" s="1"/>
  <c r="H1803" i="18" s="1"/>
  <c r="I1494" i="18"/>
  <c r="H1494" i="18" s="1"/>
  <c r="G1760" i="18"/>
  <c r="I1760" i="18" s="1"/>
  <c r="H1760" i="18" s="1"/>
  <c r="I1492" i="18"/>
  <c r="H1492" i="18" s="1"/>
  <c r="G1758" i="18"/>
  <c r="I1758" i="18" s="1"/>
  <c r="H1758" i="18" s="1"/>
  <c r="I1490" i="18"/>
  <c r="H1490" i="18" s="1"/>
  <c r="G1756" i="18"/>
  <c r="I1756" i="18" s="1"/>
  <c r="H1756" i="18" s="1"/>
  <c r="H76" i="31"/>
  <c r="M76" i="31"/>
  <c r="I77" i="31"/>
  <c r="I1397" i="18"/>
  <c r="H1397" i="18" s="1"/>
  <c r="G1589" i="18"/>
  <c r="I1395" i="18"/>
  <c r="H1395" i="18" s="1"/>
  <c r="G1587" i="18"/>
  <c r="I1399" i="18"/>
  <c r="H1399" i="18" s="1"/>
  <c r="G1591" i="18"/>
  <c r="I1349" i="18"/>
  <c r="H1349" i="18" s="1"/>
  <c r="G1497" i="18"/>
  <c r="I1345" i="18"/>
  <c r="H1345" i="18" s="1"/>
  <c r="G1493" i="18"/>
  <c r="I1347" i="18"/>
  <c r="H1347" i="18" s="1"/>
  <c r="G1495" i="18"/>
  <c r="H1445" i="18"/>
  <c r="I1241" i="18"/>
  <c r="H1241" i="18" s="1"/>
  <c r="G1400" i="18"/>
  <c r="G1657" i="18" s="1"/>
  <c r="I1657" i="18" s="1"/>
  <c r="H1657" i="18" s="1"/>
  <c r="I1239" i="18"/>
  <c r="H1239" i="18" s="1"/>
  <c r="G1398" i="18"/>
  <c r="G1655" i="18" s="1"/>
  <c r="I1655" i="18" s="1"/>
  <c r="H1655" i="18" s="1"/>
  <c r="I1243" i="18"/>
  <c r="H1243" i="18" s="1"/>
  <c r="G1402" i="18"/>
  <c r="G1659" i="18" s="1"/>
  <c r="I1659" i="18" s="1"/>
  <c r="H1659" i="18" s="1"/>
  <c r="I1196" i="18"/>
  <c r="H1196" i="18" s="1"/>
  <c r="G1352" i="18"/>
  <c r="G1605" i="18" s="1"/>
  <c r="G1876" i="18" s="1"/>
  <c r="I1194" i="18"/>
  <c r="H1194" i="18" s="1"/>
  <c r="G1350" i="18"/>
  <c r="I1192" i="18"/>
  <c r="H1192" i="18" s="1"/>
  <c r="G1348" i="18"/>
  <c r="G1539" i="18" s="1"/>
  <c r="I1085" i="18"/>
  <c r="H1085" i="18" s="1"/>
  <c r="G1246" i="18"/>
  <c r="I1083" i="18"/>
  <c r="H1083" i="18" s="1"/>
  <c r="G1244" i="18"/>
  <c r="I1038" i="18"/>
  <c r="H1038" i="18" s="1"/>
  <c r="G1199" i="18"/>
  <c r="I1036" i="18"/>
  <c r="H1036" i="18" s="1"/>
  <c r="G1197" i="18"/>
  <c r="I1034" i="18"/>
  <c r="H1034" i="18" s="1"/>
  <c r="G1195" i="18"/>
  <c r="I1081" i="18"/>
  <c r="H1081" i="18" s="1"/>
  <c r="G1242" i="18"/>
  <c r="I882" i="18"/>
  <c r="H882" i="18" s="1"/>
  <c r="G1037" i="18"/>
  <c r="I929" i="18"/>
  <c r="H929" i="18" s="1"/>
  <c r="G1084" i="18"/>
  <c r="I933" i="18"/>
  <c r="H933" i="18" s="1"/>
  <c r="G1088" i="18"/>
  <c r="I884" i="18"/>
  <c r="H884" i="18" s="1"/>
  <c r="G1039" i="18"/>
  <c r="I931" i="18"/>
  <c r="H931" i="18" s="1"/>
  <c r="G1086" i="18"/>
  <c r="I886" i="18"/>
  <c r="H886" i="18" s="1"/>
  <c r="G1041" i="18"/>
  <c r="I784" i="18"/>
  <c r="H784" i="18" s="1"/>
  <c r="G934" i="18"/>
  <c r="I782" i="18"/>
  <c r="H782" i="18" s="1"/>
  <c r="G932" i="18"/>
  <c r="I737" i="18"/>
  <c r="H737" i="18" s="1"/>
  <c r="G887" i="18"/>
  <c r="I735" i="18"/>
  <c r="H735" i="18" s="1"/>
  <c r="G885" i="18"/>
  <c r="I739" i="18"/>
  <c r="H739" i="18" s="1"/>
  <c r="G889" i="18"/>
  <c r="I632" i="18"/>
  <c r="H632" i="18" s="1"/>
  <c r="G738" i="18"/>
  <c r="I634" i="18"/>
  <c r="H634" i="18" s="1"/>
  <c r="G740" i="18"/>
  <c r="G635" i="18"/>
  <c r="G785" i="18" s="1"/>
  <c r="I530" i="18"/>
  <c r="H530" i="18" s="1"/>
  <c r="I323" i="18"/>
  <c r="H323" i="18" s="1"/>
  <c r="G428" i="18"/>
  <c r="I427" i="18"/>
  <c r="H427" i="18" s="1"/>
  <c r="G532" i="18"/>
  <c r="I531" i="18"/>
  <c r="H531" i="18" s="1"/>
  <c r="G636" i="18"/>
  <c r="G786" i="18" s="1"/>
  <c r="I1876" i="18" l="1"/>
  <c r="H1876" i="18" s="1"/>
  <c r="G1877" i="18"/>
  <c r="H145" i="31"/>
  <c r="M145" i="31"/>
  <c r="I146" i="31"/>
  <c r="G147" i="31"/>
  <c r="I1605" i="18"/>
  <c r="H1605" i="18" s="1"/>
  <c r="G1875" i="18"/>
  <c r="I1875" i="18" s="1"/>
  <c r="H1875" i="18" s="1"/>
  <c r="I1591" i="18"/>
  <c r="H1591" i="18" s="1"/>
  <c r="G1861" i="18"/>
  <c r="I1861" i="18" s="1"/>
  <c r="H1861" i="18" s="1"/>
  <c r="I1587" i="18"/>
  <c r="H1587" i="18" s="1"/>
  <c r="G1857" i="18"/>
  <c r="I1857" i="18" s="1"/>
  <c r="H1857" i="18" s="1"/>
  <c r="I1589" i="18"/>
  <c r="H1589" i="18" s="1"/>
  <c r="G1859" i="18"/>
  <c r="I1859" i="18" s="1"/>
  <c r="H1859" i="18" s="1"/>
  <c r="I1539" i="18"/>
  <c r="H1539" i="18" s="1"/>
  <c r="G1806" i="18"/>
  <c r="I1806" i="18" s="1"/>
  <c r="H1806" i="18" s="1"/>
  <c r="I1495" i="18"/>
  <c r="H1495" i="18" s="1"/>
  <c r="G1761" i="18"/>
  <c r="I1761" i="18" s="1"/>
  <c r="H1761" i="18" s="1"/>
  <c r="I1493" i="18"/>
  <c r="H1493" i="18" s="1"/>
  <c r="G1759" i="18"/>
  <c r="I1759" i="18" s="1"/>
  <c r="H1759" i="18" s="1"/>
  <c r="I1497" i="18"/>
  <c r="H1497" i="18" s="1"/>
  <c r="G1763" i="18"/>
  <c r="I1763" i="18" s="1"/>
  <c r="H1763" i="18" s="1"/>
  <c r="I79" i="31"/>
  <c r="I78" i="31"/>
  <c r="J78" i="31" s="1"/>
  <c r="H77" i="31"/>
  <c r="M77" i="31"/>
  <c r="I1402" i="18"/>
  <c r="H1402" i="18" s="1"/>
  <c r="G1594" i="18"/>
  <c r="I1352" i="18"/>
  <c r="H1352" i="18" s="1"/>
  <c r="G1544" i="18"/>
  <c r="I1398" i="18"/>
  <c r="H1398" i="18" s="1"/>
  <c r="G1590" i="18"/>
  <c r="I1400" i="18"/>
  <c r="H1400" i="18" s="1"/>
  <c r="G1592" i="18"/>
  <c r="G1541" i="18"/>
  <c r="G1542" i="18"/>
  <c r="I1348" i="18"/>
  <c r="H1348" i="18" s="1"/>
  <c r="G1496" i="18"/>
  <c r="I1350" i="18"/>
  <c r="H1350" i="18" s="1"/>
  <c r="G1498" i="18"/>
  <c r="I1242" i="18"/>
  <c r="H1242" i="18" s="1"/>
  <c r="G1401" i="18"/>
  <c r="G1658" i="18" s="1"/>
  <c r="I1658" i="18" s="1"/>
  <c r="H1658" i="18" s="1"/>
  <c r="I1244" i="18"/>
  <c r="H1244" i="18" s="1"/>
  <c r="G1403" i="18"/>
  <c r="G1660" i="18" s="1"/>
  <c r="I1660" i="18" s="1"/>
  <c r="H1660" i="18" s="1"/>
  <c r="I1246" i="18"/>
  <c r="H1246" i="18" s="1"/>
  <c r="G1405" i="18"/>
  <c r="G1662" i="18" s="1"/>
  <c r="I1662" i="18" s="1"/>
  <c r="H1662" i="18" s="1"/>
  <c r="I1197" i="18"/>
  <c r="H1197" i="18" s="1"/>
  <c r="G1353" i="18"/>
  <c r="G1606" i="18" s="1"/>
  <c r="I1199" i="18"/>
  <c r="H1199" i="18" s="1"/>
  <c r="G1355" i="18"/>
  <c r="G1608" i="18" s="1"/>
  <c r="I1608" i="18" s="1"/>
  <c r="H1608" i="18" s="1"/>
  <c r="I1195" i="18"/>
  <c r="H1195" i="18" s="1"/>
  <c r="G1351" i="18"/>
  <c r="I1088" i="18"/>
  <c r="H1088" i="18" s="1"/>
  <c r="G1249" i="18"/>
  <c r="I1041" i="18"/>
  <c r="H1041" i="18" s="1"/>
  <c r="G1202" i="18"/>
  <c r="I1039" i="18"/>
  <c r="H1039" i="18" s="1"/>
  <c r="G1200" i="18"/>
  <c r="I1086" i="18"/>
  <c r="H1086" i="18" s="1"/>
  <c r="G1247" i="18"/>
  <c r="I1084" i="18"/>
  <c r="H1084" i="18" s="1"/>
  <c r="G1245" i="18"/>
  <c r="I1037" i="18"/>
  <c r="H1037" i="18" s="1"/>
  <c r="G1198" i="18"/>
  <c r="I887" i="18"/>
  <c r="H887" i="18" s="1"/>
  <c r="G1042" i="18"/>
  <c r="I932" i="18"/>
  <c r="H932" i="18" s="1"/>
  <c r="G1087" i="18"/>
  <c r="I889" i="18"/>
  <c r="H889" i="18" s="1"/>
  <c r="G1044" i="18"/>
  <c r="I934" i="18"/>
  <c r="H934" i="18" s="1"/>
  <c r="G1089" i="18"/>
  <c r="I885" i="18"/>
  <c r="H885" i="18" s="1"/>
  <c r="G1040" i="18"/>
  <c r="I785" i="18"/>
  <c r="H785" i="18" s="1"/>
  <c r="G935" i="18"/>
  <c r="I786" i="18"/>
  <c r="H786" i="18" s="1"/>
  <c r="G936" i="18"/>
  <c r="I738" i="18"/>
  <c r="H738" i="18" s="1"/>
  <c r="G888" i="18"/>
  <c r="I740" i="18"/>
  <c r="H740" i="18" s="1"/>
  <c r="G890" i="18"/>
  <c r="I635" i="18"/>
  <c r="H635" i="18" s="1"/>
  <c r="G741" i="18"/>
  <c r="I636" i="18"/>
  <c r="H636" i="18" s="1"/>
  <c r="G742" i="18"/>
  <c r="I428" i="18"/>
  <c r="H428" i="18" s="1"/>
  <c r="G533" i="18"/>
  <c r="I532" i="18"/>
  <c r="H532" i="18" s="1"/>
  <c r="G637" i="18"/>
  <c r="G1878" i="18" l="1"/>
  <c r="I1877" i="18"/>
  <c r="H1877" i="18" s="1"/>
  <c r="M146" i="31"/>
  <c r="H146" i="31"/>
  <c r="I147" i="31"/>
  <c r="G148" i="31"/>
  <c r="I1606" i="18"/>
  <c r="H1606" i="18" s="1"/>
  <c r="I1590" i="18"/>
  <c r="H1590" i="18" s="1"/>
  <c r="G1860" i="18"/>
  <c r="I1860" i="18" s="1"/>
  <c r="H1860" i="18" s="1"/>
  <c r="I1592" i="18"/>
  <c r="H1592" i="18" s="1"/>
  <c r="G1862" i="18"/>
  <c r="I1862" i="18" s="1"/>
  <c r="H1862" i="18" s="1"/>
  <c r="I1594" i="18"/>
  <c r="H1594" i="18" s="1"/>
  <c r="G1864" i="18"/>
  <c r="I1864" i="18" s="1"/>
  <c r="H1864" i="18" s="1"/>
  <c r="I1542" i="18"/>
  <c r="H1542" i="18" s="1"/>
  <c r="G1809" i="18"/>
  <c r="I1809" i="18" s="1"/>
  <c r="H1809" i="18" s="1"/>
  <c r="I1544" i="18"/>
  <c r="H1544" i="18" s="1"/>
  <c r="G1811" i="18"/>
  <c r="I1811" i="18" s="1"/>
  <c r="H1811" i="18" s="1"/>
  <c r="I1541" i="18"/>
  <c r="H1541" i="18" s="1"/>
  <c r="G1808" i="18"/>
  <c r="I1808" i="18" s="1"/>
  <c r="H1808" i="18" s="1"/>
  <c r="I1498" i="18"/>
  <c r="H1498" i="18" s="1"/>
  <c r="G1764" i="18"/>
  <c r="I1764" i="18" s="1"/>
  <c r="H1764" i="18" s="1"/>
  <c r="I1496" i="18"/>
  <c r="H1496" i="18" s="1"/>
  <c r="G1762" i="18"/>
  <c r="I1762" i="18" s="1"/>
  <c r="H1762" i="18" s="1"/>
  <c r="H78" i="31"/>
  <c r="M78" i="31"/>
  <c r="H79" i="31"/>
  <c r="M79" i="31"/>
  <c r="I80" i="31"/>
  <c r="G1604" i="18"/>
  <c r="G1543" i="18"/>
  <c r="I1403" i="18"/>
  <c r="H1403" i="18" s="1"/>
  <c r="G1595" i="18"/>
  <c r="I1355" i="18"/>
  <c r="H1355" i="18" s="1"/>
  <c r="G1547" i="18"/>
  <c r="I1405" i="18"/>
  <c r="H1405" i="18" s="1"/>
  <c r="G1597" i="18"/>
  <c r="I1401" i="18"/>
  <c r="H1401" i="18" s="1"/>
  <c r="G1593" i="18"/>
  <c r="I1353" i="18"/>
  <c r="H1353" i="18" s="1"/>
  <c r="G1545" i="18"/>
  <c r="I1351" i="18"/>
  <c r="H1351" i="18" s="1"/>
  <c r="I1245" i="18"/>
  <c r="H1245" i="18" s="1"/>
  <c r="G1404" i="18"/>
  <c r="G1661" i="18" s="1"/>
  <c r="I1661" i="18" s="1"/>
  <c r="H1661" i="18" s="1"/>
  <c r="I1249" i="18"/>
  <c r="H1249" i="18" s="1"/>
  <c r="G1408" i="18"/>
  <c r="G1665" i="18" s="1"/>
  <c r="I1665" i="18" s="1"/>
  <c r="H1665" i="18" s="1"/>
  <c r="I1247" i="18"/>
  <c r="H1247" i="18" s="1"/>
  <c r="G1406" i="18"/>
  <c r="G1663" i="18" s="1"/>
  <c r="I1663" i="18" s="1"/>
  <c r="H1663" i="18" s="1"/>
  <c r="I1202" i="18"/>
  <c r="H1202" i="18" s="1"/>
  <c r="G1358" i="18"/>
  <c r="G1615" i="18" s="1"/>
  <c r="I1615" i="18" s="1"/>
  <c r="H1615" i="18" s="1"/>
  <c r="I1200" i="18"/>
  <c r="H1200" i="18" s="1"/>
  <c r="G1356" i="18"/>
  <c r="G1609" i="18" s="1"/>
  <c r="I1609" i="18" s="1"/>
  <c r="H1609" i="18" s="1"/>
  <c r="I1198" i="18"/>
  <c r="H1198" i="18" s="1"/>
  <c r="G1354" i="18"/>
  <c r="G1607" i="18" s="1"/>
  <c r="I1607" i="18" s="1"/>
  <c r="H1607" i="18" s="1"/>
  <c r="I1044" i="18"/>
  <c r="H1044" i="18" s="1"/>
  <c r="G1205" i="18"/>
  <c r="I1042" i="18"/>
  <c r="H1042" i="18" s="1"/>
  <c r="G1203" i="18"/>
  <c r="I1089" i="18"/>
  <c r="H1089" i="18" s="1"/>
  <c r="G1250" i="18"/>
  <c r="I1087" i="18"/>
  <c r="H1087" i="18" s="1"/>
  <c r="G1248" i="18"/>
  <c r="I1040" i="18"/>
  <c r="H1040" i="18" s="1"/>
  <c r="G1201" i="18"/>
  <c r="I936" i="18"/>
  <c r="H936" i="18" s="1"/>
  <c r="G1094" i="18"/>
  <c r="I935" i="18"/>
  <c r="H935" i="18" s="1"/>
  <c r="G1093" i="18"/>
  <c r="I888" i="18"/>
  <c r="H888" i="18" s="1"/>
  <c r="G1043" i="18"/>
  <c r="I890" i="18"/>
  <c r="H890" i="18" s="1"/>
  <c r="G1045" i="18"/>
  <c r="I741" i="18"/>
  <c r="H741" i="18" s="1"/>
  <c r="G891" i="18"/>
  <c r="I742" i="18"/>
  <c r="H742" i="18" s="1"/>
  <c r="G892" i="18"/>
  <c r="I637" i="18"/>
  <c r="H637" i="18" s="1"/>
  <c r="G787" i="18"/>
  <c r="I533" i="18"/>
  <c r="H533" i="18" s="1"/>
  <c r="G638" i="18"/>
  <c r="I1878" i="18" l="1"/>
  <c r="H1878" i="18" s="1"/>
  <c r="G1879" i="18"/>
  <c r="G149" i="31"/>
  <c r="I148" i="31"/>
  <c r="M147" i="31"/>
  <c r="H147" i="31"/>
  <c r="I1597" i="18"/>
  <c r="H1597" i="18" s="1"/>
  <c r="G1867" i="18"/>
  <c r="I1867" i="18" s="1"/>
  <c r="H1867" i="18" s="1"/>
  <c r="I1595" i="18"/>
  <c r="H1595" i="18" s="1"/>
  <c r="G1865" i="18"/>
  <c r="I1865" i="18" s="1"/>
  <c r="H1865" i="18" s="1"/>
  <c r="I1604" i="18"/>
  <c r="H1604" i="18" s="1"/>
  <c r="G1874" i="18"/>
  <c r="I1874" i="18" s="1"/>
  <c r="H1874" i="18" s="1"/>
  <c r="I1593" i="18"/>
  <c r="H1593" i="18" s="1"/>
  <c r="G1863" i="18"/>
  <c r="I1863" i="18" s="1"/>
  <c r="H1863" i="18" s="1"/>
  <c r="I1547" i="18"/>
  <c r="H1547" i="18" s="1"/>
  <c r="G1814" i="18"/>
  <c r="I1814" i="18" s="1"/>
  <c r="H1814" i="18" s="1"/>
  <c r="I1543" i="18"/>
  <c r="H1543" i="18" s="1"/>
  <c r="G1810" i="18"/>
  <c r="I1810" i="18" s="1"/>
  <c r="H1810" i="18" s="1"/>
  <c r="I1545" i="18"/>
  <c r="H1545" i="18" s="1"/>
  <c r="G1812" i="18"/>
  <c r="I1812" i="18" s="1"/>
  <c r="H1812" i="18" s="1"/>
  <c r="M80" i="31"/>
  <c r="H80" i="31"/>
  <c r="I81" i="31"/>
  <c r="G1611" i="18"/>
  <c r="I1611" i="18" s="1"/>
  <c r="H1611" i="18" s="1"/>
  <c r="I1408" i="18"/>
  <c r="H1408" i="18" s="1"/>
  <c r="G1600" i="18"/>
  <c r="I1356" i="18"/>
  <c r="H1356" i="18" s="1"/>
  <c r="G1548" i="18"/>
  <c r="I1354" i="18"/>
  <c r="H1354" i="18" s="1"/>
  <c r="G1546" i="18"/>
  <c r="I1404" i="18"/>
  <c r="H1404" i="18" s="1"/>
  <c r="G1596" i="18"/>
  <c r="I1358" i="18"/>
  <c r="H1358" i="18" s="1"/>
  <c r="G1550" i="18"/>
  <c r="I1406" i="18"/>
  <c r="H1406" i="18" s="1"/>
  <c r="G1598" i="18"/>
  <c r="I1248" i="18"/>
  <c r="H1248" i="18" s="1"/>
  <c r="G1407" i="18"/>
  <c r="G1664" i="18" s="1"/>
  <c r="I1664" i="18" s="1"/>
  <c r="H1664" i="18" s="1"/>
  <c r="I1250" i="18"/>
  <c r="H1250" i="18" s="1"/>
  <c r="G1409" i="18"/>
  <c r="G1666" i="18" s="1"/>
  <c r="I1666" i="18" s="1"/>
  <c r="H1666" i="18" s="1"/>
  <c r="I1201" i="18"/>
  <c r="H1201" i="18" s="1"/>
  <c r="G1357" i="18"/>
  <c r="I1205" i="18"/>
  <c r="H1205" i="18" s="1"/>
  <c r="G1361" i="18"/>
  <c r="G1618" i="18" s="1"/>
  <c r="I1618" i="18" s="1"/>
  <c r="H1618" i="18" s="1"/>
  <c r="I1203" i="18"/>
  <c r="H1203" i="18" s="1"/>
  <c r="G1359" i="18"/>
  <c r="I1043" i="18"/>
  <c r="H1043" i="18" s="1"/>
  <c r="G1204" i="18"/>
  <c r="I1094" i="18"/>
  <c r="H1094" i="18" s="1"/>
  <c r="G1252" i="18"/>
  <c r="I1093" i="18"/>
  <c r="H1093" i="18" s="1"/>
  <c r="G1251" i="18"/>
  <c r="I1045" i="18"/>
  <c r="H1045" i="18" s="1"/>
  <c r="G1206" i="18"/>
  <c r="I892" i="18"/>
  <c r="H892" i="18" s="1"/>
  <c r="G1047" i="18"/>
  <c r="I891" i="18"/>
  <c r="H891" i="18" s="1"/>
  <c r="G1046" i="18"/>
  <c r="I787" i="18"/>
  <c r="H787" i="18" s="1"/>
  <c r="G937" i="18"/>
  <c r="S85" i="25"/>
  <c r="I638" i="18"/>
  <c r="H638" i="18" s="1"/>
  <c r="G788" i="18"/>
  <c r="I1879" i="18" l="1"/>
  <c r="H1879" i="18" s="1"/>
  <c r="G1880" i="18"/>
  <c r="H148" i="31"/>
  <c r="M148" i="31"/>
  <c r="G150" i="31"/>
  <c r="I149" i="31"/>
  <c r="I1596" i="18"/>
  <c r="H1596" i="18" s="1"/>
  <c r="G1866" i="18"/>
  <c r="I1866" i="18" s="1"/>
  <c r="H1866" i="18" s="1"/>
  <c r="I1598" i="18"/>
  <c r="H1598" i="18" s="1"/>
  <c r="G1868" i="18"/>
  <c r="I1868" i="18" s="1"/>
  <c r="H1868" i="18" s="1"/>
  <c r="I1600" i="18"/>
  <c r="H1600" i="18" s="1"/>
  <c r="G1870" i="18"/>
  <c r="I1870" i="18" s="1"/>
  <c r="H1870" i="18" s="1"/>
  <c r="I1550" i="18"/>
  <c r="H1550" i="18" s="1"/>
  <c r="G1817" i="18"/>
  <c r="I1817" i="18" s="1"/>
  <c r="H1817" i="18" s="1"/>
  <c r="I1546" i="18"/>
  <c r="H1546" i="18" s="1"/>
  <c r="G1813" i="18"/>
  <c r="I1813" i="18" s="1"/>
  <c r="H1813" i="18" s="1"/>
  <c r="I1548" i="18"/>
  <c r="H1548" i="18" s="1"/>
  <c r="G1815" i="18"/>
  <c r="I1815" i="18" s="1"/>
  <c r="H1815" i="18" s="1"/>
  <c r="H81" i="31"/>
  <c r="M81" i="31"/>
  <c r="I82" i="31"/>
  <c r="G1612" i="18"/>
  <c r="I1612" i="18" s="1"/>
  <c r="H1612" i="18" s="1"/>
  <c r="G1616" i="18"/>
  <c r="I1616" i="18" s="1"/>
  <c r="H1616" i="18" s="1"/>
  <c r="G1610" i="18"/>
  <c r="I1610" i="18" s="1"/>
  <c r="H1610" i="18" s="1"/>
  <c r="G1614" i="18"/>
  <c r="I1614" i="18" s="1"/>
  <c r="H1614" i="18" s="1"/>
  <c r="I1409" i="18"/>
  <c r="H1409" i="18" s="1"/>
  <c r="G1601" i="18"/>
  <c r="I1357" i="18"/>
  <c r="H1357" i="18" s="1"/>
  <c r="G1549" i="18"/>
  <c r="I1359" i="18"/>
  <c r="H1359" i="18" s="1"/>
  <c r="G1551" i="18"/>
  <c r="I1407" i="18"/>
  <c r="H1407" i="18" s="1"/>
  <c r="G1599" i="18"/>
  <c r="I1361" i="18"/>
  <c r="H1361" i="18" s="1"/>
  <c r="G1553" i="18"/>
  <c r="G1821" i="18" s="1"/>
  <c r="I1821" i="18" s="1"/>
  <c r="H1821" i="18" s="1"/>
  <c r="I1252" i="18"/>
  <c r="H1252" i="18" s="1"/>
  <c r="G1411" i="18"/>
  <c r="G1668" i="18" s="1"/>
  <c r="I1668" i="18" s="1"/>
  <c r="H1668" i="18" s="1"/>
  <c r="I1251" i="18"/>
  <c r="H1251" i="18" s="1"/>
  <c r="G1410" i="18"/>
  <c r="G1667" i="18" s="1"/>
  <c r="I1667" i="18" s="1"/>
  <c r="H1667" i="18" s="1"/>
  <c r="I1206" i="18"/>
  <c r="H1206" i="18" s="1"/>
  <c r="G1362" i="18"/>
  <c r="G1619" i="18" s="1"/>
  <c r="I1619" i="18" s="1"/>
  <c r="H1619" i="18" s="1"/>
  <c r="I1204" i="18"/>
  <c r="H1204" i="18" s="1"/>
  <c r="G1360" i="18"/>
  <c r="I1047" i="18"/>
  <c r="H1047" i="18" s="1"/>
  <c r="G1208" i="18"/>
  <c r="I1046" i="18"/>
  <c r="H1046" i="18" s="1"/>
  <c r="G1207" i="18"/>
  <c r="I937" i="18"/>
  <c r="H937" i="18" s="1"/>
  <c r="G1095" i="18"/>
  <c r="I788" i="18"/>
  <c r="H788" i="18" s="1"/>
  <c r="G938" i="18"/>
  <c r="M8" i="23"/>
  <c r="M12" i="23" s="1"/>
  <c r="M78" i="23" s="1"/>
  <c r="I1880" i="18" l="1"/>
  <c r="H1880" i="18" s="1"/>
  <c r="G1881" i="18"/>
  <c r="H149" i="31"/>
  <c r="M149" i="31"/>
  <c r="G151" i="31"/>
  <c r="I150" i="31"/>
  <c r="I1599" i="18"/>
  <c r="H1599" i="18" s="1"/>
  <c r="G1869" i="18"/>
  <c r="I1869" i="18" s="1"/>
  <c r="H1869" i="18" s="1"/>
  <c r="I1601" i="18"/>
  <c r="H1601" i="18" s="1"/>
  <c r="G1871" i="18"/>
  <c r="I1871" i="18" s="1"/>
  <c r="H1871" i="18" s="1"/>
  <c r="I1551" i="18"/>
  <c r="H1551" i="18" s="1"/>
  <c r="G1818" i="18"/>
  <c r="I1818" i="18" s="1"/>
  <c r="H1818" i="18" s="1"/>
  <c r="I1549" i="18"/>
  <c r="H1549" i="18" s="1"/>
  <c r="G1816" i="18"/>
  <c r="I1816" i="18" s="1"/>
  <c r="H1816" i="18" s="1"/>
  <c r="I1553" i="18"/>
  <c r="H1553" i="18" s="1"/>
  <c r="I83" i="31"/>
  <c r="H82" i="31"/>
  <c r="M82" i="31"/>
  <c r="G1613" i="18"/>
  <c r="I1613" i="18" s="1"/>
  <c r="H1613" i="18" s="1"/>
  <c r="G1617" i="18"/>
  <c r="I1617" i="18" s="1"/>
  <c r="H1617" i="18" s="1"/>
  <c r="I1360" i="18"/>
  <c r="H1360" i="18" s="1"/>
  <c r="G1552" i="18"/>
  <c r="I1410" i="18"/>
  <c r="H1410" i="18" s="1"/>
  <c r="G1602" i="18"/>
  <c r="I1411" i="18"/>
  <c r="H1411" i="18" s="1"/>
  <c r="G1603" i="18"/>
  <c r="I1362" i="18"/>
  <c r="H1362" i="18" s="1"/>
  <c r="G1554" i="18"/>
  <c r="I1208" i="18"/>
  <c r="H1208" i="18" s="1"/>
  <c r="G1364" i="18"/>
  <c r="G1621" i="18" s="1"/>
  <c r="I1621" i="18" s="1"/>
  <c r="H1621" i="18" s="1"/>
  <c r="I1207" i="18"/>
  <c r="H1207" i="18" s="1"/>
  <c r="G1363" i="18"/>
  <c r="G1620" i="18" s="1"/>
  <c r="I1620" i="18" s="1"/>
  <c r="H1620" i="18" s="1"/>
  <c r="I1095" i="18"/>
  <c r="H1095" i="18" s="1"/>
  <c r="G1253" i="18"/>
  <c r="I938" i="18"/>
  <c r="H938" i="18" s="1"/>
  <c r="G1096" i="18"/>
  <c r="H32" i="17"/>
  <c r="C32" i="17"/>
  <c r="I1882" i="18" l="1"/>
  <c r="I1881" i="18"/>
  <c r="H1881" i="18" s="1"/>
  <c r="M150" i="31"/>
  <c r="H150" i="31"/>
  <c r="G152" i="31"/>
  <c r="I151" i="31"/>
  <c r="I1603" i="18"/>
  <c r="H1603" i="18" s="1"/>
  <c r="G1873" i="18"/>
  <c r="I1873" i="18" s="1"/>
  <c r="H1873" i="18" s="1"/>
  <c r="I1602" i="18"/>
  <c r="H1602" i="18" s="1"/>
  <c r="G1872" i="18"/>
  <c r="I1872" i="18" s="1"/>
  <c r="H1872" i="18" s="1"/>
  <c r="I1554" i="18"/>
  <c r="H1554" i="18" s="1"/>
  <c r="G1822" i="18"/>
  <c r="I1822" i="18" s="1"/>
  <c r="H1822" i="18" s="1"/>
  <c r="I1552" i="18"/>
  <c r="H1552" i="18" s="1"/>
  <c r="G1820" i="18"/>
  <c r="I1820" i="18" s="1"/>
  <c r="H1820" i="18" s="1"/>
  <c r="G1819" i="18"/>
  <c r="I1819" i="18" s="1"/>
  <c r="H1819" i="18" s="1"/>
  <c r="H83" i="31"/>
  <c r="M83" i="31"/>
  <c r="I84" i="31"/>
  <c r="I1364" i="18"/>
  <c r="H1364" i="18" s="1"/>
  <c r="G1556" i="18"/>
  <c r="I1363" i="18"/>
  <c r="H1363" i="18" s="1"/>
  <c r="G1555" i="18"/>
  <c r="I1253" i="18"/>
  <c r="H1253" i="18" s="1"/>
  <c r="G1412" i="18"/>
  <c r="I1096" i="18"/>
  <c r="H1096" i="18" s="1"/>
  <c r="G1255" i="18"/>
  <c r="G1413" i="18" s="1"/>
  <c r="G32" i="17"/>
  <c r="H31" i="17"/>
  <c r="G31" i="17" s="1"/>
  <c r="A4" i="27"/>
  <c r="H37" i="17"/>
  <c r="G37" i="17" s="1"/>
  <c r="H30" i="17"/>
  <c r="G30" i="17" s="1"/>
  <c r="H29" i="17"/>
  <c r="G29" i="17" s="1"/>
  <c r="H28" i="17"/>
  <c r="G28" i="17" s="1"/>
  <c r="E8" i="23"/>
  <c r="E12" i="23" s="1"/>
  <c r="E78" i="23" s="1"/>
  <c r="F8" i="23"/>
  <c r="F12" i="23" s="1"/>
  <c r="F78" i="23" s="1"/>
  <c r="G8" i="23"/>
  <c r="G12" i="23" s="1"/>
  <c r="G78" i="23" s="1"/>
  <c r="H8" i="23"/>
  <c r="I8" i="23"/>
  <c r="I12" i="23" s="1"/>
  <c r="I78" i="23" s="1"/>
  <c r="J8" i="23"/>
  <c r="J12" i="23" s="1"/>
  <c r="J78" i="23" s="1"/>
  <c r="S86" i="25"/>
  <c r="C8" i="11"/>
  <c r="H27" i="17"/>
  <c r="H26" i="17"/>
  <c r="G26" i="17" s="1"/>
  <c r="R83" i="23"/>
  <c r="C27" i="17"/>
  <c r="C25" i="17"/>
  <c r="C24" i="17"/>
  <c r="C23" i="17"/>
  <c r="C22" i="17"/>
  <c r="C21" i="17"/>
  <c r="C18" i="17"/>
  <c r="C17" i="17"/>
  <c r="C16" i="17"/>
  <c r="C15" i="17"/>
  <c r="C14" i="17"/>
  <c r="D32" i="11"/>
  <c r="D31" i="11"/>
  <c r="F33" i="6"/>
  <c r="C8" i="6" s="1"/>
  <c r="H24" i="17"/>
  <c r="H23" i="17"/>
  <c r="H22" i="17"/>
  <c r="H21" i="17"/>
  <c r="H18" i="17"/>
  <c r="H17" i="17"/>
  <c r="H16" i="17"/>
  <c r="H15" i="17"/>
  <c r="H14" i="17"/>
  <c r="H13" i="17"/>
  <c r="G13" i="17" s="1"/>
  <c r="H12" i="17"/>
  <c r="D28" i="11"/>
  <c r="C6" i="21"/>
  <c r="E6" i="21" s="1"/>
  <c r="D21" i="11"/>
  <c r="D22" i="11"/>
  <c r="D23" i="11"/>
  <c r="D21" i="9"/>
  <c r="F66" i="6"/>
  <c r="F70" i="6" s="1"/>
  <c r="C10" i="6"/>
  <c r="D9" i="8"/>
  <c r="D16" i="8" s="1"/>
  <c r="F62" i="6"/>
  <c r="F64" i="6" s="1"/>
  <c r="F52" i="6"/>
  <c r="C9" i="6" s="1"/>
  <c r="B3" i="25"/>
  <c r="B3" i="19"/>
  <c r="L23" i="10"/>
  <c r="M23" i="10" s="1"/>
  <c r="M27" i="10" s="1"/>
  <c r="L17" i="10"/>
  <c r="B3" i="23"/>
  <c r="A4" i="26"/>
  <c r="B2" i="1"/>
  <c r="B4" i="1"/>
  <c r="D10" i="19" s="1"/>
  <c r="B1" i="21"/>
  <c r="B1" i="19"/>
  <c r="C7" i="15"/>
  <c r="C8" i="15" s="1"/>
  <c r="D32" i="10"/>
  <c r="C9" i="10" s="1"/>
  <c r="D25" i="10"/>
  <c r="D18" i="10"/>
  <c r="C7" i="10" s="1"/>
  <c r="B8" i="10"/>
  <c r="C8" i="9"/>
  <c r="F44" i="6"/>
  <c r="F46" i="6" s="1"/>
  <c r="E37" i="2"/>
  <c r="E68" i="2"/>
  <c r="E67" i="2"/>
  <c r="E66" i="2"/>
  <c r="E65" i="2"/>
  <c r="E64" i="2"/>
  <c r="E59" i="2"/>
  <c r="E58" i="2"/>
  <c r="E57" i="2"/>
  <c r="E56" i="2"/>
  <c r="E55" i="2"/>
  <c r="E54" i="2"/>
  <c r="E53" i="2"/>
  <c r="E50" i="2"/>
  <c r="E45" i="2"/>
  <c r="E44" i="2"/>
  <c r="E42" i="2"/>
  <c r="E32" i="2"/>
  <c r="E31" i="2"/>
  <c r="E30" i="2"/>
  <c r="E28" i="2"/>
  <c r="E27" i="2"/>
  <c r="E26" i="2"/>
  <c r="E25" i="2"/>
  <c r="E24" i="2"/>
  <c r="E23" i="2"/>
  <c r="E21" i="2"/>
  <c r="E17" i="2"/>
  <c r="E16" i="2"/>
  <c r="E13" i="2"/>
  <c r="E11" i="2"/>
  <c r="E47" i="2"/>
  <c r="E29" i="2"/>
  <c r="E22" i="2"/>
  <c r="E10" i="2"/>
  <c r="E9" i="2"/>
  <c r="E7" i="2"/>
  <c r="F74" i="2"/>
  <c r="E12" i="2"/>
  <c r="E46" i="2"/>
  <c r="E63" i="2"/>
  <c r="C8" i="10"/>
  <c r="E48" i="2"/>
  <c r="E43" i="2"/>
  <c r="H19" i="17"/>
  <c r="C19" i="17"/>
  <c r="H20" i="17"/>
  <c r="C20" i="17"/>
  <c r="H151" i="31" l="1"/>
  <c r="M151" i="31"/>
  <c r="I152" i="31"/>
  <c r="G153" i="31"/>
  <c r="I1556" i="18"/>
  <c r="H1556" i="18" s="1"/>
  <c r="G1824" i="18"/>
  <c r="I1824" i="18" s="1"/>
  <c r="H1824" i="18" s="1"/>
  <c r="I1555" i="18"/>
  <c r="H1555" i="18" s="1"/>
  <c r="G1823" i="18"/>
  <c r="I1823" i="18" s="1"/>
  <c r="H1823" i="18" s="1"/>
  <c r="H84" i="31"/>
  <c r="M84" i="31"/>
  <c r="I85" i="31"/>
  <c r="I1413" i="18"/>
  <c r="H1413" i="18" s="1"/>
  <c r="G1670" i="18"/>
  <c r="I1670" i="18" s="1"/>
  <c r="H1670" i="18" s="1"/>
  <c r="I1412" i="18"/>
  <c r="H1412" i="18" s="1"/>
  <c r="G1669" i="18"/>
  <c r="I1669" i="18" s="1"/>
  <c r="H1669" i="18" s="1"/>
  <c r="C12" i="6"/>
  <c r="C13" i="21"/>
  <c r="I1255" i="18"/>
  <c r="H1255" i="18" s="1"/>
  <c r="G12" i="17"/>
  <c r="B3" i="5"/>
  <c r="B3" i="6" s="1"/>
  <c r="B3" i="9" s="1"/>
  <c r="B3" i="28" s="1"/>
  <c r="D41" i="19"/>
  <c r="C12" i="21"/>
  <c r="S84" i="25"/>
  <c r="S77" i="25"/>
  <c r="S82" i="25"/>
  <c r="S80" i="25"/>
  <c r="S78" i="25"/>
  <c r="G16" i="17"/>
  <c r="H12" i="23"/>
  <c r="H78" i="23" s="1"/>
  <c r="M28" i="10"/>
  <c r="F68" i="6"/>
  <c r="G70" i="6" s="1"/>
  <c r="G14" i="17"/>
  <c r="G23" i="17"/>
  <c r="G18" i="17"/>
  <c r="C10" i="10"/>
  <c r="H25" i="17"/>
  <c r="G25" i="17" s="1"/>
  <c r="D34" i="11"/>
  <c r="B3" i="35"/>
  <c r="B3" i="36"/>
  <c r="B3" i="34"/>
  <c r="G21" i="17"/>
  <c r="D72" i="18"/>
  <c r="G19" i="17"/>
  <c r="G20" i="17"/>
  <c r="G22" i="17"/>
  <c r="G15" i="17"/>
  <c r="G24" i="17"/>
  <c r="E41" i="18"/>
  <c r="K41" i="18" s="1"/>
  <c r="D43" i="18"/>
  <c r="C7" i="25"/>
  <c r="F50" i="6"/>
  <c r="E49" i="2"/>
  <c r="E51" i="2" s="1"/>
  <c r="E14" i="2"/>
  <c r="E8" i="2"/>
  <c r="E60" i="2"/>
  <c r="E33" i="2"/>
  <c r="E69" i="2"/>
  <c r="E71" i="2" s="1"/>
  <c r="G17" i="17"/>
  <c r="G27" i="17"/>
  <c r="B3" i="30"/>
  <c r="B3" i="18"/>
  <c r="B3" i="10"/>
  <c r="G154" i="31" l="1"/>
  <c r="I153" i="31"/>
  <c r="M152" i="31"/>
  <c r="H152" i="31"/>
  <c r="H51" i="17"/>
  <c r="H53" i="17" s="1"/>
  <c r="H85" i="31"/>
  <c r="M85" i="31"/>
  <c r="I86" i="31"/>
  <c r="D128" i="11"/>
  <c r="G51" i="17"/>
  <c r="S79" i="25"/>
  <c r="S81" i="25"/>
  <c r="D44" i="18"/>
  <c r="E43" i="18"/>
  <c r="H13" i="5"/>
  <c r="H24" i="5" s="1"/>
  <c r="C7" i="11"/>
  <c r="C9" i="11" s="1"/>
  <c r="C14" i="21"/>
  <c r="F16" i="19"/>
  <c r="F13" i="19"/>
  <c r="E16" i="21"/>
  <c r="F10" i="19"/>
  <c r="F34" i="19"/>
  <c r="E20" i="21"/>
  <c r="F40" i="19"/>
  <c r="F15" i="19"/>
  <c r="E19" i="21"/>
  <c r="E9" i="21"/>
  <c r="F20" i="19"/>
  <c r="D16" i="19"/>
  <c r="C18" i="21"/>
  <c r="D15" i="19"/>
  <c r="F14" i="19"/>
  <c r="D22" i="19"/>
  <c r="F32" i="19"/>
  <c r="F30" i="19"/>
  <c r="F29" i="19"/>
  <c r="E12" i="21"/>
  <c r="F21" i="19"/>
  <c r="D32" i="19"/>
  <c r="F22" i="19"/>
  <c r="C19" i="21"/>
  <c r="D31" i="19"/>
  <c r="G1" i="36" s="1"/>
  <c r="D14" i="19"/>
  <c r="H1" i="8" s="1"/>
  <c r="E15" i="21"/>
  <c r="F31" i="19"/>
  <c r="E10" i="21"/>
  <c r="E14" i="21"/>
  <c r="D33" i="19"/>
  <c r="D21" i="19"/>
  <c r="E17" i="21"/>
  <c r="F33" i="19"/>
  <c r="E18" i="21"/>
  <c r="F11" i="19"/>
  <c r="F12" i="19"/>
  <c r="E61" i="2"/>
  <c r="E72" i="2" s="1"/>
  <c r="E15" i="2"/>
  <c r="E19" i="2" s="1"/>
  <c r="E34" i="2" s="1"/>
  <c r="E72" i="18"/>
  <c r="H153" i="31" l="1"/>
  <c r="M153" i="31"/>
  <c r="G155" i="31"/>
  <c r="I154" i="31"/>
  <c r="H86" i="31"/>
  <c r="M86" i="31"/>
  <c r="I87" i="31"/>
  <c r="I24" i="5"/>
  <c r="I25" i="5" s="1"/>
  <c r="H25" i="5"/>
  <c r="C7" i="17"/>
  <c r="C8" i="17" s="1"/>
  <c r="I13" i="5"/>
  <c r="I14" i="5" s="1"/>
  <c r="H14" i="5"/>
  <c r="F20" i="21"/>
  <c r="F14" i="21"/>
  <c r="F9" i="21"/>
  <c r="E11" i="21"/>
  <c r="E22" i="21" s="1"/>
  <c r="F19" i="21"/>
  <c r="F15" i="21"/>
  <c r="F17" i="21"/>
  <c r="F21" i="21"/>
  <c r="F23" i="19"/>
  <c r="F36" i="19"/>
  <c r="F16" i="21"/>
  <c r="F10" i="21"/>
  <c r="F18" i="21"/>
  <c r="F17" i="19"/>
  <c r="C10" i="21"/>
  <c r="D34" i="19"/>
  <c r="F1" i="15" s="1"/>
  <c r="I1" i="6"/>
  <c r="C20" i="21"/>
  <c r="D29" i="19"/>
  <c r="C9" i="21"/>
  <c r="C17" i="21"/>
  <c r="G1" i="10"/>
  <c r="D12" i="19"/>
  <c r="D13" i="19"/>
  <c r="H1" i="33" s="1"/>
  <c r="C15" i="21"/>
  <c r="D20" i="19"/>
  <c r="C16" i="21"/>
  <c r="D11" i="19"/>
  <c r="D30" i="19"/>
  <c r="I1" i="35" s="1"/>
  <c r="D40" i="19"/>
  <c r="C23" i="21"/>
  <c r="E74" i="2"/>
  <c r="H154" i="31" l="1"/>
  <c r="M154" i="31"/>
  <c r="I155" i="31"/>
  <c r="G156" i="31"/>
  <c r="I88" i="31"/>
  <c r="M87" i="31"/>
  <c r="H87" i="31"/>
  <c r="C10" i="25"/>
  <c r="S83" i="25"/>
  <c r="F11" i="21"/>
  <c r="F25" i="19"/>
  <c r="E25" i="21"/>
  <c r="F25" i="21" s="1"/>
  <c r="F22" i="21"/>
  <c r="G1" i="9"/>
  <c r="H1" i="11"/>
  <c r="C11" i="21"/>
  <c r="C22" i="21" s="1"/>
  <c r="C25" i="21" s="1"/>
  <c r="C27" i="21" s="1"/>
  <c r="C29" i="21" s="1"/>
  <c r="D42" i="19" s="1"/>
  <c r="D17" i="19"/>
  <c r="D36" i="19"/>
  <c r="D23" i="19"/>
  <c r="H155" i="31" l="1"/>
  <c r="M155" i="31"/>
  <c r="I156" i="31"/>
  <c r="G157" i="31"/>
  <c r="M88" i="31"/>
  <c r="H88" i="31"/>
  <c r="I89" i="31"/>
  <c r="E27" i="21"/>
  <c r="E29" i="21" s="1"/>
  <c r="D25" i="19"/>
  <c r="H156" i="31" l="1"/>
  <c r="M156" i="31"/>
  <c r="G158" i="31"/>
  <c r="I157" i="31"/>
  <c r="H89" i="31"/>
  <c r="M89" i="31"/>
  <c r="I90" i="31"/>
  <c r="D44" i="19"/>
  <c r="D46" i="19" s="1"/>
  <c r="D48" i="19" s="1"/>
  <c r="F27" i="21"/>
  <c r="F29" i="21"/>
  <c r="F41" i="19"/>
  <c r="F44" i="19" s="1"/>
  <c r="H157" i="31" l="1"/>
  <c r="M157" i="31"/>
  <c r="I158" i="31"/>
  <c r="G159" i="31"/>
  <c r="M90" i="31"/>
  <c r="H90" i="31"/>
  <c r="I91" i="31"/>
  <c r="F46" i="19"/>
  <c r="F48" i="19" s="1"/>
  <c r="G160" i="31" l="1"/>
  <c r="I159" i="31"/>
  <c r="M158" i="31"/>
  <c r="H158" i="31"/>
  <c r="I92" i="31"/>
  <c r="H91" i="31"/>
  <c r="M91" i="31"/>
  <c r="J1" i="28"/>
  <c r="H159" i="31" l="1"/>
  <c r="M159" i="31"/>
  <c r="I160" i="31"/>
  <c r="G161" i="31"/>
  <c r="I93" i="31"/>
  <c r="M92" i="31"/>
  <c r="H92" i="31"/>
  <c r="I94" i="18"/>
  <c r="C8" i="18" s="1"/>
  <c r="I161" i="31" l="1"/>
  <c r="G162" i="31"/>
  <c r="H160" i="31"/>
  <c r="M160" i="31"/>
  <c r="H93" i="31"/>
  <c r="M93" i="31"/>
  <c r="I94" i="31"/>
  <c r="H94" i="18"/>
  <c r="H1882" i="18" s="1"/>
  <c r="G163" i="31" l="1"/>
  <c r="I162" i="31"/>
  <c r="M161" i="31"/>
  <c r="H161" i="31"/>
  <c r="H94" i="31"/>
  <c r="M94" i="31"/>
  <c r="I95" i="31"/>
  <c r="C9" i="18"/>
  <c r="J1" i="18" s="1"/>
  <c r="C11" i="25"/>
  <c r="M162" i="31" l="1"/>
  <c r="H162" i="31"/>
  <c r="G164" i="31"/>
  <c r="I163" i="31"/>
  <c r="M95" i="31"/>
  <c r="H95" i="31"/>
  <c r="I96" i="31"/>
  <c r="C12" i="25"/>
  <c r="M1" i="25" s="1"/>
  <c r="H163" i="31" l="1"/>
  <c r="M163" i="31"/>
  <c r="G165" i="31"/>
  <c r="I164" i="31"/>
  <c r="I97" i="31"/>
  <c r="M96" i="31"/>
  <c r="H96" i="31"/>
  <c r="H164" i="31" l="1"/>
  <c r="M164" i="31"/>
  <c r="G166" i="31"/>
  <c r="I165" i="31"/>
  <c r="I98" i="31"/>
  <c r="H97" i="31"/>
  <c r="M97" i="31"/>
  <c r="I21" i="31"/>
  <c r="H165" i="31" l="1"/>
  <c r="M165" i="31"/>
  <c r="I166" i="31"/>
  <c r="G167" i="31"/>
  <c r="H98" i="31"/>
  <c r="M98" i="31"/>
  <c r="I99" i="31"/>
  <c r="J21" i="31"/>
  <c r="M21" i="31"/>
  <c r="H21" i="31"/>
  <c r="H166" i="31" l="1"/>
  <c r="M166" i="31"/>
  <c r="G168" i="31"/>
  <c r="I167" i="31"/>
  <c r="I100" i="31"/>
  <c r="H99" i="31"/>
  <c r="M99" i="31"/>
  <c r="H167" i="31" l="1"/>
  <c r="M167" i="31"/>
  <c r="G169" i="31"/>
  <c r="I168" i="31"/>
  <c r="I101" i="31"/>
  <c r="H100" i="31"/>
  <c r="M100" i="31"/>
  <c r="H168" i="31" l="1"/>
  <c r="M168" i="31"/>
  <c r="G170" i="31"/>
  <c r="I169" i="31"/>
  <c r="M101" i="31"/>
  <c r="H101" i="31"/>
  <c r="I102" i="31"/>
  <c r="M169" i="31" l="1"/>
  <c r="H169" i="31"/>
  <c r="I170" i="31"/>
  <c r="G171" i="31"/>
  <c r="H102" i="31"/>
  <c r="M102" i="31"/>
  <c r="I103" i="31"/>
  <c r="I171" i="31" l="1"/>
  <c r="G172" i="31"/>
  <c r="H170" i="31"/>
  <c r="M170" i="31"/>
  <c r="M103" i="31"/>
  <c r="H103" i="31"/>
  <c r="I104" i="31"/>
  <c r="G173" i="31" l="1"/>
  <c r="I172" i="31"/>
  <c r="H171" i="31"/>
  <c r="M171" i="31"/>
  <c r="M104" i="31"/>
  <c r="H104" i="31"/>
  <c r="I105" i="31"/>
  <c r="M172" i="31" l="1"/>
  <c r="H172" i="31"/>
  <c r="I173" i="31"/>
  <c r="G174" i="31"/>
  <c r="H105" i="31"/>
  <c r="M105" i="31"/>
  <c r="I106" i="31"/>
  <c r="I174" i="31" l="1"/>
  <c r="G175" i="31"/>
  <c r="H173" i="31"/>
  <c r="M173" i="31"/>
  <c r="I107" i="31"/>
  <c r="H106" i="31"/>
  <c r="M106" i="31"/>
  <c r="I175" i="31" l="1"/>
  <c r="G176" i="31"/>
  <c r="H174" i="31"/>
  <c r="M174" i="31"/>
  <c r="H107" i="31"/>
  <c r="M107" i="31"/>
  <c r="I108" i="31"/>
  <c r="I176" i="31" l="1"/>
  <c r="G177" i="31"/>
  <c r="H175" i="31"/>
  <c r="M175" i="31"/>
  <c r="M108" i="31"/>
  <c r="H108" i="31"/>
  <c r="I109" i="31"/>
  <c r="G178" i="31" l="1"/>
  <c r="I177" i="31"/>
  <c r="H176" i="31"/>
  <c r="M176" i="31"/>
  <c r="I110" i="31"/>
  <c r="H109" i="31"/>
  <c r="M109" i="31"/>
  <c r="H177" i="31" l="1"/>
  <c r="M177" i="31"/>
  <c r="G179" i="31"/>
  <c r="I178" i="31"/>
  <c r="I111" i="31"/>
  <c r="M110" i="31"/>
  <c r="H110" i="31"/>
  <c r="H178" i="31" l="1"/>
  <c r="M178" i="31"/>
  <c r="I179" i="31"/>
  <c r="G180" i="31"/>
  <c r="I112" i="31"/>
  <c r="M111" i="31"/>
  <c r="H111" i="31"/>
  <c r="M179" i="31" l="1"/>
  <c r="H179" i="31"/>
  <c r="I180" i="31"/>
  <c r="G181" i="31"/>
  <c r="H112" i="31"/>
  <c r="M112" i="31"/>
  <c r="I113" i="31"/>
  <c r="G182" i="31" l="1"/>
  <c r="I181" i="31"/>
  <c r="H180" i="31"/>
  <c r="M180" i="31"/>
  <c r="I114" i="31"/>
  <c r="M113" i="31"/>
  <c r="H113" i="31"/>
  <c r="H181" i="31" l="1"/>
  <c r="M181" i="31"/>
  <c r="G183" i="31"/>
  <c r="I182" i="31"/>
  <c r="I115" i="31"/>
  <c r="H114" i="31"/>
  <c r="M114" i="31"/>
  <c r="H182" i="31" l="1"/>
  <c r="M182" i="31"/>
  <c r="G184" i="31"/>
  <c r="I183" i="31"/>
  <c r="I116" i="31"/>
  <c r="H115" i="31"/>
  <c r="M115" i="31"/>
  <c r="H183" i="31" l="1"/>
  <c r="M183" i="31"/>
  <c r="G185" i="31"/>
  <c r="I184" i="31"/>
  <c r="I117" i="31"/>
  <c r="H116" i="31"/>
  <c r="M116" i="31"/>
  <c r="H184" i="31" l="1"/>
  <c r="M184" i="31"/>
  <c r="G186" i="31"/>
  <c r="I185" i="31"/>
  <c r="I118" i="31"/>
  <c r="H117" i="31"/>
  <c r="M117" i="31"/>
  <c r="I22" i="31"/>
  <c r="H185" i="31" l="1"/>
  <c r="M185" i="31"/>
  <c r="G187" i="31"/>
  <c r="I186" i="31"/>
  <c r="H118" i="31"/>
  <c r="M118" i="31"/>
  <c r="I119" i="31"/>
  <c r="M22" i="31"/>
  <c r="J22" i="31"/>
  <c r="H22" i="31"/>
  <c r="H186" i="31" l="1"/>
  <c r="M186" i="31"/>
  <c r="I187" i="31"/>
  <c r="G188" i="31"/>
  <c r="M119" i="31"/>
  <c r="H119" i="31"/>
  <c r="I120" i="31"/>
  <c r="I188" i="31" l="1"/>
  <c r="G189" i="31"/>
  <c r="H187" i="31"/>
  <c r="M187" i="31"/>
  <c r="H120" i="31"/>
  <c r="M120" i="31"/>
  <c r="I121" i="31"/>
  <c r="I25" i="31"/>
  <c r="G190" i="31" l="1"/>
  <c r="I189" i="31"/>
  <c r="H188" i="31"/>
  <c r="M188" i="31"/>
  <c r="I122" i="31"/>
  <c r="H121" i="31"/>
  <c r="M121" i="31"/>
  <c r="M25" i="31"/>
  <c r="H25" i="31"/>
  <c r="H189" i="31" l="1"/>
  <c r="M189" i="31"/>
  <c r="I190" i="31"/>
  <c r="G191" i="31"/>
  <c r="H122" i="31"/>
  <c r="M122" i="31"/>
  <c r="I123" i="31"/>
  <c r="H190" i="31" l="1"/>
  <c r="J190" i="31"/>
  <c r="M190" i="31"/>
  <c r="G192" i="31"/>
  <c r="I191" i="31"/>
  <c r="H123" i="31"/>
  <c r="M123" i="31"/>
  <c r="I124" i="31"/>
  <c r="I15" i="31"/>
  <c r="H191" i="31" l="1"/>
  <c r="M191" i="31"/>
  <c r="G193" i="31"/>
  <c r="I192" i="31"/>
  <c r="I125" i="31"/>
  <c r="H124" i="31"/>
  <c r="M124" i="31"/>
  <c r="I26" i="31"/>
  <c r="M15" i="31"/>
  <c r="J15" i="31"/>
  <c r="H15" i="31"/>
  <c r="H192" i="31" l="1"/>
  <c r="M192" i="31"/>
  <c r="G194" i="31"/>
  <c r="I193" i="31"/>
  <c r="I126" i="31"/>
  <c r="H125" i="31"/>
  <c r="M125" i="31"/>
  <c r="I27" i="31"/>
  <c r="H26" i="31"/>
  <c r="M26" i="31"/>
  <c r="M193" i="31" l="1"/>
  <c r="H193" i="31"/>
  <c r="I194" i="31"/>
  <c r="G195" i="31"/>
  <c r="I127" i="31"/>
  <c r="H126" i="31"/>
  <c r="M126" i="31"/>
  <c r="H27" i="31"/>
  <c r="M27" i="31"/>
  <c r="I28" i="31"/>
  <c r="G196" i="31" l="1"/>
  <c r="I195" i="31"/>
  <c r="H194" i="31"/>
  <c r="M194" i="31"/>
  <c r="H127" i="31"/>
  <c r="M127" i="31"/>
  <c r="I128" i="31"/>
  <c r="H28" i="31"/>
  <c r="M28" i="31"/>
  <c r="I29" i="31"/>
  <c r="I16" i="31"/>
  <c r="J16" i="31"/>
  <c r="H16" i="31"/>
  <c r="H195" i="31" l="1"/>
  <c r="M195" i="31"/>
  <c r="G197" i="31"/>
  <c r="I196" i="31"/>
  <c r="H128" i="31"/>
  <c r="M128" i="31"/>
  <c r="I129" i="31"/>
  <c r="H29" i="31"/>
  <c r="M29" i="31"/>
  <c r="I30" i="31"/>
  <c r="M16" i="31"/>
  <c r="H196" i="31" l="1"/>
  <c r="M196" i="31"/>
  <c r="G198" i="31"/>
  <c r="I197" i="31"/>
  <c r="H129" i="31"/>
  <c r="M129" i="31"/>
  <c r="I130" i="31"/>
  <c r="H30" i="31"/>
  <c r="M30" i="31"/>
  <c r="N8" i="23"/>
  <c r="N12" i="23" s="1"/>
  <c r="N78" i="23" s="1"/>
  <c r="G199" i="31" l="1"/>
  <c r="I198" i="31"/>
  <c r="H197" i="31"/>
  <c r="M197" i="31"/>
  <c r="I131" i="31"/>
  <c r="H130" i="31"/>
  <c r="M130" i="31"/>
  <c r="I31" i="31"/>
  <c r="M198" i="31" l="1"/>
  <c r="H198" i="31"/>
  <c r="I199" i="31"/>
  <c r="G200" i="31"/>
  <c r="I132" i="31"/>
  <c r="M131" i="31"/>
  <c r="H131" i="31"/>
  <c r="H31" i="31"/>
  <c r="M31" i="31"/>
  <c r="I32" i="31"/>
  <c r="D7" i="16"/>
  <c r="D10" i="16" s="1"/>
  <c r="G1" i="16" s="1"/>
  <c r="G201" i="31" l="1"/>
  <c r="I200" i="31"/>
  <c r="H199" i="31"/>
  <c r="M199" i="31"/>
  <c r="I133" i="31"/>
  <c r="H132" i="31"/>
  <c r="M132" i="31"/>
  <c r="H32" i="31"/>
  <c r="M32" i="31"/>
  <c r="I33" i="31"/>
  <c r="K8" i="23"/>
  <c r="R8" i="23" s="1"/>
  <c r="L5" i="23" s="1"/>
  <c r="M200" i="31" l="1"/>
  <c r="H200" i="31"/>
  <c r="G202" i="31"/>
  <c r="I201" i="31"/>
  <c r="I134" i="31"/>
  <c r="H133" i="31"/>
  <c r="M133" i="31"/>
  <c r="H33" i="31"/>
  <c r="M33" i="31"/>
  <c r="O5" i="23"/>
  <c r="Q5" i="23"/>
  <c r="K12" i="23"/>
  <c r="K78" i="23" s="1"/>
  <c r="E5" i="23"/>
  <c r="J5" i="23"/>
  <c r="D5" i="23"/>
  <c r="N5" i="23"/>
  <c r="F5" i="23"/>
  <c r="H5" i="23"/>
  <c r="M5" i="23"/>
  <c r="R12" i="23"/>
  <c r="G5" i="23"/>
  <c r="P5" i="23"/>
  <c r="K5" i="23"/>
  <c r="H201" i="31" l="1"/>
  <c r="M201" i="31"/>
  <c r="I202" i="31"/>
  <c r="G203" i="31"/>
  <c r="I135" i="31"/>
  <c r="H134" i="31"/>
  <c r="M134" i="31"/>
  <c r="I34" i="31"/>
  <c r="R78" i="23"/>
  <c r="R80" i="23" s="1"/>
  <c r="G204" i="31" l="1"/>
  <c r="I203" i="31"/>
  <c r="H202" i="31"/>
  <c r="M202" i="31"/>
  <c r="M135" i="31"/>
  <c r="J135" i="31"/>
  <c r="H135" i="31"/>
  <c r="I136" i="31"/>
  <c r="I35" i="31"/>
  <c r="H34" i="31"/>
  <c r="M34" i="31"/>
  <c r="M203" i="31" l="1"/>
  <c r="H203" i="31"/>
  <c r="I204" i="31"/>
  <c r="G205" i="31"/>
  <c r="H136" i="31"/>
  <c r="M136" i="31"/>
  <c r="I137" i="31"/>
  <c r="H35" i="31"/>
  <c r="M35" i="31"/>
  <c r="I36" i="31"/>
  <c r="G206" i="31" l="1"/>
  <c r="I205" i="31"/>
  <c r="M204" i="31"/>
  <c r="H204" i="31"/>
  <c r="I138" i="31"/>
  <c r="M137" i="31"/>
  <c r="H137" i="31"/>
  <c r="H36" i="31"/>
  <c r="M36" i="31"/>
  <c r="I37" i="31"/>
  <c r="H205" i="31" l="1"/>
  <c r="M205" i="31"/>
  <c r="I206" i="31"/>
  <c r="G207" i="31"/>
  <c r="I139" i="31"/>
  <c r="H138" i="31"/>
  <c r="M138" i="31"/>
  <c r="H37" i="31"/>
  <c r="M37" i="31"/>
  <c r="I38" i="31"/>
  <c r="I207" i="31" l="1"/>
  <c r="G208" i="31"/>
  <c r="H206" i="31"/>
  <c r="M206" i="31"/>
  <c r="H139" i="31"/>
  <c r="M139" i="31"/>
  <c r="I140" i="31"/>
  <c r="H38" i="31"/>
  <c r="M38" i="31"/>
  <c r="I39" i="31"/>
  <c r="G209" i="31" l="1"/>
  <c r="I208" i="31"/>
  <c r="M207" i="31"/>
  <c r="H207" i="31"/>
  <c r="H140" i="31"/>
  <c r="M140" i="31"/>
  <c r="I141" i="31"/>
  <c r="I142" i="31"/>
  <c r="J142" i="31" s="1"/>
  <c r="H39" i="31"/>
  <c r="M39" i="31"/>
  <c r="I40" i="31"/>
  <c r="H208" i="31" l="1"/>
  <c r="M208" i="31"/>
  <c r="G210" i="31"/>
  <c r="I209" i="31"/>
  <c r="H141" i="31"/>
  <c r="M141" i="31"/>
  <c r="M142" i="31"/>
  <c r="H142" i="31"/>
  <c r="I41" i="31"/>
  <c r="H40" i="31"/>
  <c r="M40" i="31"/>
  <c r="H209" i="31" l="1"/>
  <c r="M209" i="31"/>
  <c r="G211" i="31"/>
  <c r="I210" i="31"/>
  <c r="H41" i="31"/>
  <c r="M41" i="31"/>
  <c r="I42" i="31"/>
  <c r="H210" i="31" l="1"/>
  <c r="M210" i="31"/>
  <c r="G212" i="31"/>
  <c r="I211" i="31"/>
  <c r="H42" i="31"/>
  <c r="M42" i="31"/>
  <c r="I43" i="31"/>
  <c r="M211" i="31" l="1"/>
  <c r="H211" i="31"/>
  <c r="G213" i="31"/>
  <c r="I212" i="31"/>
  <c r="H43" i="31"/>
  <c r="M43" i="31"/>
  <c r="I44" i="31"/>
  <c r="H212" i="31" l="1"/>
  <c r="M212" i="31"/>
  <c r="G214" i="31"/>
  <c r="I213" i="31"/>
  <c r="M44" i="31"/>
  <c r="H44" i="31"/>
  <c r="I45" i="31"/>
  <c r="H213" i="31" l="1"/>
  <c r="M213" i="31"/>
  <c r="G215" i="31"/>
  <c r="I214" i="31"/>
  <c r="H45" i="31"/>
  <c r="M45" i="31"/>
  <c r="I46" i="31"/>
  <c r="H214" i="31" l="1"/>
  <c r="M214" i="31"/>
  <c r="G216" i="31"/>
  <c r="I215" i="31"/>
  <c r="H46" i="31"/>
  <c r="M46" i="31"/>
  <c r="I47" i="31"/>
  <c r="H215" i="31" l="1"/>
  <c r="M215" i="31"/>
  <c r="G217" i="31"/>
  <c r="I216" i="31"/>
  <c r="M47" i="31"/>
  <c r="H47" i="31"/>
  <c r="I48" i="31"/>
  <c r="H216" i="31" l="1"/>
  <c r="M216" i="31"/>
  <c r="G218" i="31"/>
  <c r="I217" i="31"/>
  <c r="H48" i="31"/>
  <c r="M48" i="31"/>
  <c r="I49" i="31"/>
  <c r="H217" i="31" l="1"/>
  <c r="M217" i="31"/>
  <c r="G219" i="31"/>
  <c r="I218" i="31"/>
  <c r="I50" i="31"/>
  <c r="H49" i="31"/>
  <c r="M49" i="31"/>
  <c r="H218" i="31" l="1"/>
  <c r="M218" i="31"/>
  <c r="G220" i="31"/>
  <c r="I219" i="31"/>
  <c r="H50" i="31"/>
  <c r="M50" i="31"/>
  <c r="I51" i="31"/>
  <c r="M219" i="31" l="1"/>
  <c r="H219" i="31"/>
  <c r="G221" i="31"/>
  <c r="I220" i="31"/>
  <c r="H51" i="31"/>
  <c r="M51" i="31"/>
  <c r="I52" i="31"/>
  <c r="H220" i="31" l="1"/>
  <c r="M220" i="31"/>
  <c r="G222" i="31"/>
  <c r="I221" i="31"/>
  <c r="H52" i="31"/>
  <c r="M52" i="31"/>
  <c r="I53" i="31"/>
  <c r="H221" i="31" l="1"/>
  <c r="M221" i="31"/>
  <c r="G223" i="31"/>
  <c r="I222" i="31"/>
  <c r="H53" i="31"/>
  <c r="M53" i="31"/>
  <c r="I54" i="31"/>
  <c r="H222" i="31" l="1"/>
  <c r="M222" i="31"/>
  <c r="G224" i="31"/>
  <c r="I223" i="31"/>
  <c r="H54" i="31"/>
  <c r="M54" i="31"/>
  <c r="I55" i="31"/>
  <c r="M223" i="31" l="1"/>
  <c r="H223" i="31"/>
  <c r="G225" i="31"/>
  <c r="I224" i="31"/>
  <c r="H55" i="31"/>
  <c r="M55" i="31"/>
  <c r="I56" i="31"/>
  <c r="H224" i="31" l="1"/>
  <c r="M224" i="31"/>
  <c r="G226" i="31"/>
  <c r="I225" i="31"/>
  <c r="I57" i="31"/>
  <c r="H56" i="31"/>
  <c r="M56" i="31"/>
  <c r="H225" i="31" l="1"/>
  <c r="M225" i="31"/>
  <c r="G227" i="31"/>
  <c r="I226" i="31"/>
  <c r="H57" i="31"/>
  <c r="M57" i="31"/>
  <c r="I58" i="31"/>
  <c r="H226" i="31" l="1"/>
  <c r="M226" i="31"/>
  <c r="G228" i="31"/>
  <c r="I227" i="31"/>
  <c r="H58" i="31"/>
  <c r="M58" i="31"/>
  <c r="I59" i="31"/>
  <c r="M227" i="31" l="1"/>
  <c r="H227" i="31"/>
  <c r="G229" i="31"/>
  <c r="I228" i="31"/>
  <c r="H59" i="31"/>
  <c r="M59" i="31"/>
  <c r="I60" i="31"/>
  <c r="H228" i="31" l="1"/>
  <c r="M228" i="31"/>
  <c r="G230" i="31"/>
  <c r="I229" i="31"/>
  <c r="H60" i="31"/>
  <c r="M60" i="31"/>
  <c r="I61" i="31"/>
  <c r="J229" i="31" l="1"/>
  <c r="H229" i="31"/>
  <c r="M229" i="31"/>
  <c r="G231" i="31"/>
  <c r="I230" i="31"/>
  <c r="H61" i="31"/>
  <c r="M61" i="31"/>
  <c r="I62" i="31"/>
  <c r="M230" i="31" l="1"/>
  <c r="H230" i="31"/>
  <c r="G232" i="31"/>
  <c r="I231" i="31"/>
  <c r="H62" i="31"/>
  <c r="M62" i="31"/>
  <c r="I63" i="31"/>
  <c r="H231" i="31" l="1"/>
  <c r="M231" i="31"/>
  <c r="G233" i="31"/>
  <c r="I232" i="31"/>
  <c r="H63" i="31"/>
  <c r="M63" i="31"/>
  <c r="I64" i="31"/>
  <c r="H232" i="31" l="1"/>
  <c r="M232" i="31"/>
  <c r="G234" i="31"/>
  <c r="I233" i="31"/>
  <c r="H64" i="31"/>
  <c r="M64" i="31"/>
  <c r="I65" i="31"/>
  <c r="H233" i="31" l="1"/>
  <c r="M233" i="31"/>
  <c r="G235" i="31"/>
  <c r="G330" i="31"/>
  <c r="I330" i="31" s="1"/>
  <c r="I234" i="31"/>
  <c r="H65" i="31"/>
  <c r="M65" i="31"/>
  <c r="I66" i="31"/>
  <c r="H234" i="31" l="1"/>
  <c r="M234" i="31"/>
  <c r="H330" i="31"/>
  <c r="H331" i="31" s="1"/>
  <c r="I331" i="31"/>
  <c r="J330" i="31"/>
  <c r="M330" i="31"/>
  <c r="G236" i="31"/>
  <c r="I235" i="31"/>
  <c r="H66" i="31"/>
  <c r="M66" i="31"/>
  <c r="I67" i="31"/>
  <c r="H235" i="31" l="1"/>
  <c r="M235" i="31"/>
  <c r="G237" i="31"/>
  <c r="I236" i="31"/>
  <c r="H67" i="31"/>
  <c r="M67" i="31"/>
  <c r="I68" i="31"/>
  <c r="H236" i="31" l="1"/>
  <c r="M236" i="31"/>
  <c r="G238" i="31"/>
  <c r="I237" i="31"/>
  <c r="H68" i="31"/>
  <c r="M68" i="31"/>
  <c r="I69" i="31"/>
  <c r="H237" i="31" l="1"/>
  <c r="M237" i="31"/>
  <c r="G239" i="31"/>
  <c r="I238" i="31"/>
  <c r="H69" i="31"/>
  <c r="M69" i="31"/>
  <c r="H238" i="31" l="1"/>
  <c r="M238" i="31"/>
  <c r="G240" i="31"/>
  <c r="I239" i="31"/>
  <c r="H337" i="31"/>
  <c r="I337" i="31"/>
  <c r="I70" i="31"/>
  <c r="H239" i="31" l="1"/>
  <c r="M239" i="31"/>
  <c r="G241" i="31"/>
  <c r="I240" i="31"/>
  <c r="H70" i="31"/>
  <c r="M70" i="31"/>
  <c r="I71" i="31"/>
  <c r="I72" i="31"/>
  <c r="J72" i="31" s="1"/>
  <c r="H240" i="31" l="1"/>
  <c r="M240" i="31"/>
  <c r="G242" i="31"/>
  <c r="I241" i="31"/>
  <c r="H72" i="31"/>
  <c r="M72" i="31"/>
  <c r="H71" i="31"/>
  <c r="M71" i="31"/>
  <c r="H241" i="31" l="1"/>
  <c r="M241" i="31"/>
  <c r="G243" i="31"/>
  <c r="I242" i="31"/>
  <c r="H242" i="31" l="1"/>
  <c r="M242" i="31"/>
  <c r="G244" i="31"/>
  <c r="I243" i="31"/>
  <c r="H243" i="31" l="1"/>
  <c r="M243" i="31"/>
  <c r="G245" i="31"/>
  <c r="I244" i="31"/>
  <c r="H244" i="31" l="1"/>
  <c r="M244" i="31"/>
  <c r="G246" i="31"/>
  <c r="I245" i="31"/>
  <c r="H245" i="31" l="1"/>
  <c r="M245" i="31"/>
  <c r="G247" i="31"/>
  <c r="I246" i="31"/>
  <c r="H246" i="31" l="1"/>
  <c r="M246" i="31"/>
  <c r="G248" i="31"/>
  <c r="I247" i="31"/>
  <c r="H247" i="31" l="1"/>
  <c r="M247" i="31"/>
  <c r="G249" i="31"/>
  <c r="I248" i="31"/>
  <c r="H248" i="31" l="1"/>
  <c r="M248" i="31"/>
  <c r="G250" i="31"/>
  <c r="I249" i="31"/>
  <c r="H249" i="31" l="1"/>
  <c r="M249" i="31"/>
  <c r="G251" i="31"/>
  <c r="I250" i="31"/>
  <c r="H250" i="31" l="1"/>
  <c r="M250" i="31"/>
  <c r="G252" i="31"/>
  <c r="I251" i="31"/>
  <c r="H251" i="31" l="1"/>
  <c r="M251" i="31"/>
  <c r="G253" i="31"/>
  <c r="I252" i="31"/>
  <c r="H252" i="31" l="1"/>
  <c r="M252" i="31"/>
  <c r="G254" i="31"/>
  <c r="I253" i="31"/>
  <c r="H253" i="31" l="1"/>
  <c r="M253" i="31"/>
  <c r="G255" i="31"/>
  <c r="I254" i="31"/>
  <c r="H254" i="31" l="1"/>
  <c r="M254" i="31"/>
  <c r="G256" i="31"/>
  <c r="I255" i="31"/>
  <c r="H255" i="31" l="1"/>
  <c r="M255" i="31"/>
  <c r="G257" i="31"/>
  <c r="I256" i="31"/>
  <c r="H256" i="31" l="1"/>
  <c r="M256" i="31"/>
  <c r="G258" i="31"/>
  <c r="I257" i="31"/>
  <c r="H257" i="31" l="1"/>
  <c r="M257" i="31"/>
  <c r="G259" i="31"/>
  <c r="I258" i="31"/>
  <c r="H258" i="31" l="1"/>
  <c r="M258" i="31"/>
  <c r="G260" i="31"/>
  <c r="I259" i="31"/>
  <c r="H259" i="31" l="1"/>
  <c r="M259" i="31"/>
  <c r="G261" i="31"/>
  <c r="I260" i="31"/>
  <c r="H260" i="31" l="1"/>
  <c r="M260" i="31"/>
  <c r="G262" i="31"/>
  <c r="I261" i="31"/>
  <c r="H261" i="31" l="1"/>
  <c r="M261" i="31"/>
  <c r="G263" i="31"/>
  <c r="I262" i="31"/>
  <c r="H262" i="31" l="1"/>
  <c r="M262" i="31"/>
  <c r="G264" i="31"/>
  <c r="I263" i="31"/>
  <c r="H263" i="31" l="1"/>
  <c r="M263" i="31"/>
  <c r="G265" i="31"/>
  <c r="I264" i="31"/>
  <c r="H264" i="31" l="1"/>
  <c r="M264" i="31"/>
  <c r="G266" i="31"/>
  <c r="I265" i="31"/>
  <c r="H265" i="31" l="1"/>
  <c r="M265" i="31"/>
  <c r="G267" i="31"/>
  <c r="I266" i="31"/>
  <c r="H266" i="31" l="1"/>
  <c r="M266" i="31"/>
  <c r="G268" i="31"/>
  <c r="I267" i="31"/>
  <c r="H267" i="31" l="1"/>
  <c r="M267" i="31"/>
  <c r="G269" i="31"/>
  <c r="I268" i="31"/>
  <c r="H268" i="31" l="1"/>
  <c r="M268" i="31"/>
  <c r="G270" i="31"/>
  <c r="I269" i="31"/>
  <c r="H269" i="31" l="1"/>
  <c r="M269" i="31"/>
  <c r="G271" i="31"/>
  <c r="I270" i="31"/>
  <c r="H270" i="31" l="1"/>
  <c r="M270" i="31"/>
  <c r="G272" i="31"/>
  <c r="I271" i="31"/>
  <c r="H271" i="31" l="1"/>
  <c r="M271" i="31"/>
  <c r="G273" i="31"/>
  <c r="I272" i="31"/>
  <c r="G274" i="31" l="1"/>
  <c r="I273" i="31"/>
  <c r="H272" i="31"/>
  <c r="M272" i="31"/>
  <c r="C9" i="34"/>
  <c r="C12" i="34" s="1"/>
  <c r="J1" i="34" s="1"/>
  <c r="J273" i="31" l="1"/>
  <c r="M273" i="31"/>
  <c r="H273" i="31"/>
  <c r="G275" i="31"/>
  <c r="I274" i="31"/>
  <c r="G276" i="31" l="1"/>
  <c r="I275" i="31"/>
  <c r="J275" i="31" s="1"/>
  <c r="H274" i="31"/>
  <c r="M274" i="31"/>
  <c r="H275" i="31" l="1"/>
  <c r="M275" i="31"/>
  <c r="G277" i="31"/>
  <c r="I276" i="31"/>
  <c r="H276" i="31" l="1"/>
  <c r="M276" i="31"/>
  <c r="G278" i="31"/>
  <c r="I277" i="31"/>
  <c r="H277" i="31" l="1"/>
  <c r="M277" i="31"/>
  <c r="I278" i="31"/>
  <c r="G279" i="31"/>
  <c r="I279" i="31" l="1"/>
  <c r="G280" i="31"/>
  <c r="M278" i="31"/>
  <c r="H278" i="31"/>
  <c r="G281" i="31" l="1"/>
  <c r="I280" i="31"/>
  <c r="M279" i="31"/>
  <c r="H279" i="31"/>
  <c r="H280" i="31" l="1"/>
  <c r="M280" i="31"/>
  <c r="G282" i="31"/>
  <c r="I281" i="31"/>
  <c r="H281" i="31" l="1"/>
  <c r="M281" i="31"/>
  <c r="G283" i="31"/>
  <c r="I282" i="31"/>
  <c r="M282" i="31" l="1"/>
  <c r="H282" i="31"/>
  <c r="I283" i="31"/>
  <c r="G284" i="31"/>
  <c r="G285" i="31" l="1"/>
  <c r="I284" i="31"/>
  <c r="M283" i="31"/>
  <c r="H283" i="31"/>
  <c r="H284" i="31" l="1"/>
  <c r="M284" i="31"/>
  <c r="I285" i="31"/>
  <c r="G286" i="31"/>
  <c r="G287" i="31" l="1"/>
  <c r="I286" i="31"/>
  <c r="H285" i="31"/>
  <c r="M285" i="31"/>
  <c r="H286" i="31" l="1"/>
  <c r="M286" i="31"/>
  <c r="G288" i="31"/>
  <c r="I287" i="31"/>
  <c r="H287" i="31" l="1"/>
  <c r="M287" i="31"/>
  <c r="I288" i="31"/>
  <c r="G289" i="31"/>
  <c r="G290" i="31" l="1"/>
  <c r="I289" i="31"/>
  <c r="H288" i="31"/>
  <c r="M288" i="31"/>
  <c r="H289" i="31" l="1"/>
  <c r="M289" i="31"/>
  <c r="G291" i="31"/>
  <c r="I290" i="31"/>
  <c r="H290" i="31" l="1"/>
  <c r="M290" i="31"/>
  <c r="I291" i="31"/>
  <c r="G292" i="31"/>
  <c r="G293" i="31" l="1"/>
  <c r="I292" i="31"/>
  <c r="H291" i="31"/>
  <c r="M291" i="31"/>
  <c r="H292" i="31" l="1"/>
  <c r="M292" i="31"/>
  <c r="G294" i="31"/>
  <c r="I293" i="31"/>
  <c r="H293" i="31" l="1"/>
  <c r="M293" i="31"/>
  <c r="I294" i="31"/>
  <c r="G295" i="31"/>
  <c r="I295" i="31" l="1"/>
  <c r="G296" i="31"/>
  <c r="H294" i="31"/>
  <c r="M294" i="31"/>
  <c r="I296" i="31" l="1"/>
  <c r="G297" i="31"/>
  <c r="H295" i="31"/>
  <c r="M295" i="31"/>
  <c r="G298" i="31" l="1"/>
  <c r="I297" i="31"/>
  <c r="H296" i="31"/>
  <c r="M296" i="31"/>
  <c r="H297" i="31" l="1"/>
  <c r="M297" i="31"/>
  <c r="I298" i="31"/>
  <c r="G299" i="31"/>
  <c r="G300" i="31" l="1"/>
  <c r="I299" i="31"/>
  <c r="H298" i="31"/>
  <c r="M298" i="31"/>
  <c r="H299" i="31" l="1"/>
  <c r="M299" i="31"/>
  <c r="I300" i="31"/>
  <c r="G301" i="31"/>
  <c r="G302" i="31" l="1"/>
  <c r="I301" i="31"/>
  <c r="M300" i="31"/>
  <c r="H300" i="31"/>
  <c r="H301" i="31" l="1"/>
  <c r="M301" i="31"/>
  <c r="I302" i="31"/>
  <c r="G303" i="31"/>
  <c r="G304" i="31" l="1"/>
  <c r="I303" i="31"/>
  <c r="H302" i="31"/>
  <c r="M302" i="31"/>
  <c r="H303" i="31" l="1"/>
  <c r="M303" i="31"/>
  <c r="I304" i="31"/>
  <c r="G305" i="31"/>
  <c r="I305" i="31" l="1"/>
  <c r="G306" i="31"/>
  <c r="H304" i="31"/>
  <c r="M304" i="31"/>
  <c r="G307" i="31" l="1"/>
  <c r="I306" i="31"/>
  <c r="H305" i="31"/>
  <c r="M305" i="31"/>
  <c r="H306" i="31" l="1"/>
  <c r="M306" i="31"/>
  <c r="I307" i="31"/>
  <c r="G308" i="31"/>
  <c r="I308" i="31" l="1"/>
  <c r="G309" i="31"/>
  <c r="H307" i="31"/>
  <c r="M307" i="31"/>
  <c r="G310" i="31" l="1"/>
  <c r="I309" i="31"/>
  <c r="H308" i="31"/>
  <c r="M308" i="31"/>
  <c r="H309" i="31" l="1"/>
  <c r="M309" i="31"/>
  <c r="G311" i="31"/>
  <c r="I310" i="31"/>
  <c r="H310" i="31" l="1"/>
  <c r="M310" i="31"/>
  <c r="G312" i="31"/>
  <c r="I311" i="31"/>
  <c r="H311" i="31" l="1"/>
  <c r="M311" i="31"/>
  <c r="I312" i="31"/>
  <c r="G313" i="31"/>
  <c r="I313" i="31" l="1"/>
  <c r="G314" i="31"/>
  <c r="H312" i="31"/>
  <c r="M312" i="31"/>
  <c r="I314" i="31" l="1"/>
  <c r="G315" i="31"/>
  <c r="H313" i="31"/>
  <c r="M313" i="31"/>
  <c r="I315" i="31" l="1"/>
  <c r="G316" i="31"/>
  <c r="M314" i="31"/>
  <c r="H314" i="31"/>
  <c r="G317" i="31" l="1"/>
  <c r="I316" i="31"/>
  <c r="H315" i="31"/>
  <c r="M315" i="31"/>
  <c r="H316" i="31" l="1"/>
  <c r="M316" i="31"/>
  <c r="G318" i="31"/>
  <c r="I317" i="31"/>
  <c r="H317" i="31" l="1"/>
  <c r="M317" i="31"/>
  <c r="G319" i="31"/>
  <c r="I318" i="31"/>
  <c r="I319" i="31" l="1"/>
  <c r="G320" i="31"/>
  <c r="H318" i="31"/>
  <c r="M318" i="31"/>
  <c r="H319" i="31"/>
  <c r="M319" i="31"/>
  <c r="J319" i="31"/>
  <c r="G321" i="31" l="1"/>
  <c r="I320" i="31"/>
  <c r="M320" i="31" l="1"/>
  <c r="H320" i="31"/>
  <c r="I321" i="31"/>
  <c r="G322" i="31"/>
  <c r="I322" i="31" l="1"/>
  <c r="G323" i="31"/>
  <c r="M321" i="31"/>
  <c r="H321" i="31"/>
  <c r="I323" i="31" l="1"/>
  <c r="G327" i="31"/>
  <c r="I327" i="31" s="1"/>
  <c r="M322" i="31"/>
  <c r="H322" i="31"/>
  <c r="I325" i="31"/>
  <c r="J323" i="31"/>
  <c r="J325" i="31" s="1"/>
  <c r="M325" i="31" l="1"/>
  <c r="H327" i="31"/>
  <c r="H328" i="31" s="1"/>
  <c r="M327" i="31"/>
  <c r="I328" i="31"/>
  <c r="J328" i="31" s="1"/>
  <c r="J339" i="31" s="1"/>
  <c r="M339" i="31" s="1"/>
  <c r="M323" i="31"/>
  <c r="H323" i="31"/>
  <c r="H325" i="31" s="1"/>
  <c r="H339" i="31" s="1"/>
  <c r="I339" i="31" l="1"/>
  <c r="J340" i="31"/>
  <c r="I343" i="31" l="1"/>
  <c r="J343" i="31" s="1"/>
  <c r="D8" i="31"/>
  <c r="D9" i="31" s="1"/>
  <c r="J1" i="17" l="1"/>
  <c r="N1" i="31"/>
</calcChain>
</file>

<file path=xl/sharedStrings.xml><?xml version="1.0" encoding="utf-8"?>
<sst xmlns="http://schemas.openxmlformats.org/spreadsheetml/2006/main" count="5222" uniqueCount="3245">
  <si>
    <t xml:space="preserve"> 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</si>
  <si>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</si>
  <si>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</si>
  <si>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</si>
  <si>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</si>
  <si>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</si>
  <si>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</si>
  <si>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</si>
  <si>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</si>
  <si>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FONDO FIJO PLAZA EGAÑA</t>
  </si>
  <si>
    <t>FONDO FIJO VESPUCIO</t>
  </si>
  <si>
    <t>FONDO FIJO TREBOL</t>
  </si>
  <si>
    <t>BANCOS CTA CTE $</t>
  </si>
  <si>
    <t>DEPOSITO A PLAZO CORREDORA</t>
  </si>
  <si>
    <t>CLIENTES BOLETAS</t>
  </si>
  <si>
    <t>FONDOS POR RENDIR</t>
  </si>
  <si>
    <t>TRANSBANK POR COBRAR TC</t>
  </si>
  <si>
    <t>TRANSBANK POR COBRAR TD</t>
  </si>
  <si>
    <t>ANTICIPO PROVEEDORES</t>
  </si>
  <si>
    <t>ANTICIPO HONORARIOS</t>
  </si>
  <si>
    <t>ANTICIPO AGENCIA DE ADUANAS</t>
  </si>
  <si>
    <t>EXISTENCIAS NACIONALES</t>
  </si>
  <si>
    <t>REMANENTE IVA CREDITO FISCAL</t>
  </si>
  <si>
    <t>PAGOS PROVISIONALES MENSUALES</t>
  </si>
  <si>
    <t>GARANTIAS DE ARRIENDO</t>
  </si>
  <si>
    <t>MUEBLES, UTILES Y OTROS</t>
  </si>
  <si>
    <t>PRESTAMOS NO BANCARIOS MONTO A PAGAR U$S</t>
  </si>
  <si>
    <t>PROVEEDORES US$</t>
  </si>
  <si>
    <t>PROVEEDORES $</t>
  </si>
  <si>
    <t>HONORARIOS POR PAGAR</t>
  </si>
  <si>
    <t>PREVIRED POR PAGAR</t>
  </si>
  <si>
    <t>IMPUESTO POR PAGAR FORM. 29</t>
  </si>
  <si>
    <t>SUELDOS POR PAGAR</t>
  </si>
  <si>
    <t>CAPITAL</t>
  </si>
  <si>
    <t>VENTAS CON BOLETA</t>
  </si>
  <si>
    <t>COSTO DE VENTAS</t>
  </si>
  <si>
    <t>REMUNERACIONES</t>
  </si>
  <si>
    <t>BONOS</t>
  </si>
  <si>
    <t>SEGURO DE CESANTIA</t>
  </si>
  <si>
    <t>GRATIFICACION</t>
  </si>
  <si>
    <t>ASIGNACION COLACION</t>
  </si>
  <si>
    <t>ASIGNACION MOVILIZACION</t>
  </si>
  <si>
    <t>MUTUAL DE SEGURIDAD</t>
  </si>
  <si>
    <t>SEGURO INVALIDEZ (AFP)</t>
  </si>
  <si>
    <t>UNIFORMES</t>
  </si>
  <si>
    <t>COMISION POR VENTA</t>
  </si>
  <si>
    <t>HONORARIOS PROFESIONALES</t>
  </si>
  <si>
    <t>ARRIENDO DE BODEGAS</t>
  </si>
  <si>
    <t>PATENTE COMERCIAL</t>
  </si>
  <si>
    <t>GASTO MANTENCION SUCURSALES</t>
  </si>
  <si>
    <t>SUMINISTROS Y MATERIALES DE TIENDAS</t>
  </si>
  <si>
    <t>UTILES DE OFICINA Y PAPELERIA</t>
  </si>
  <si>
    <t>COMISIONES Y GASTOS BANCARIOS</t>
  </si>
  <si>
    <t>COMISIONES TRANSBANK</t>
  </si>
  <si>
    <t>GASTOS DE PUBLICIDAD Y MARKETING</t>
  </si>
  <si>
    <t>AJUSTE SENCILLO LEY DE REDONDEO</t>
  </si>
  <si>
    <t>CORRECCION MONETARIA ACTIVOS</t>
  </si>
  <si>
    <t>AJUSTE REDONDEO AUTO</t>
  </si>
  <si>
    <t>Total Acumulado</t>
  </si>
  <si>
    <t>Resultado del ejercicio</t>
  </si>
  <si>
    <t>Sumas Iguales</t>
  </si>
  <si>
    <t>FLEXI CHILE SPA</t>
  </si>
  <si>
    <t>Cuentas</t>
  </si>
  <si>
    <t>SVS Estado de Situación Financiera Clasificado Final</t>
  </si>
  <si>
    <t>Estado de Situación Financiera</t>
  </si>
  <si>
    <t xml:space="preserve">Activos </t>
  </si>
  <si>
    <t>$</t>
  </si>
  <si>
    <t>Activos corrientes</t>
  </si>
  <si>
    <t>Efectivo y Equivalentes al Efectivo</t>
  </si>
  <si>
    <t>Activos financieros corrientes</t>
  </si>
  <si>
    <t>Otros Activos No Financieros, Corriente</t>
  </si>
  <si>
    <t>Deudores comerciales y otras cuentas por cobrar corrientes</t>
  </si>
  <si>
    <t>Cuentas por Cobrar a Entidades Relacionadas, Corrientes</t>
  </si>
  <si>
    <t>Activos biológicos corrientes</t>
  </si>
  <si>
    <t>Activos por impuestos corrientes</t>
  </si>
  <si>
    <t>Total de activos corrientes distintos de los activos o grupos de activos para su disposición clasificados como mantenidos para la venta o como mantenidos para distribuir a los propietarios</t>
  </si>
  <si>
    <t xml:space="preserve">Activos no corrientes o grupos de activos para su disposición clasificados como mantenidos para la venta </t>
  </si>
  <si>
    <t>Activos no corrientes o grupos de activos para su disposición clasificados como mantenidos para distribuir a los propietarios</t>
  </si>
  <si>
    <t>Activos no corrientes o grupos de activos para su disposición clasificados como mantenidos para la venta o como mantenidos para distribuir a los propietarios</t>
  </si>
  <si>
    <t>Activos corrientes totales</t>
  </si>
  <si>
    <t>Activos no corrientes</t>
  </si>
  <si>
    <t>Otros activos financieros no corrientes</t>
  </si>
  <si>
    <t>Otros activos no financieros no corrientes</t>
  </si>
  <si>
    <t>Derechos por cobrar no corrientes</t>
  </si>
  <si>
    <t>Cuentas por Cobrar a Entidades Relacionadas, No Corriente</t>
  </si>
  <si>
    <t>Inversiones contabilizadas utilizando el método de la participación</t>
  </si>
  <si>
    <t>Activos intangibles distintos de la plusvalía</t>
  </si>
  <si>
    <t>Plusvalía</t>
  </si>
  <si>
    <t>Inventario no corrientes</t>
  </si>
  <si>
    <t>Propiedades, Plantas y Equipos</t>
  </si>
  <si>
    <t>Activos biológicos, no corrientes</t>
  </si>
  <si>
    <t>Propiedad de inversión</t>
  </si>
  <si>
    <t>Activos por impuestos diferidos</t>
  </si>
  <si>
    <t>Total de activos no corrientes</t>
  </si>
  <si>
    <t>Total de activos</t>
  </si>
  <si>
    <t>SVS Estado de Situación Financiera Clasificado</t>
  </si>
  <si>
    <t>Patrimonio y pasivos</t>
  </si>
  <si>
    <t>Pasivos</t>
  </si>
  <si>
    <t>Pasivos corrientes</t>
  </si>
  <si>
    <t>Pasivos financieros, corrientes</t>
  </si>
  <si>
    <t>Cuentas por pagar comerciales y otras cuentas por pagar</t>
  </si>
  <si>
    <t>Cuentas por Pagar a Entidades Relacionadas, Corrientes</t>
  </si>
  <si>
    <t>Otras provisiones a corto plazo</t>
  </si>
  <si>
    <t>Pasivos por Impuestos corrientes</t>
  </si>
  <si>
    <t>Provisiones corrientes por beneficios a los empleados</t>
  </si>
  <si>
    <t>Otros pasivos no financieros corrientes</t>
  </si>
  <si>
    <t>Total de pasivos corrientes distintos de los pasivos incluidos en grupos de activos para su disposición clasificados como mantenidos para la venta</t>
  </si>
  <si>
    <t>Pasivos incluidos en grupos de activos para su disposición clasificados como mantenidos para la venta</t>
  </si>
  <si>
    <t>Pasivos corrientes totales</t>
  </si>
  <si>
    <t>Pasivos no corrientes</t>
  </si>
  <si>
    <t>Cuentas por pagar comerciales y otras cuentas por pagar no corrientes</t>
  </si>
  <si>
    <t>Cuentas por Pagar a Entidades Relacionadas, no corrientes</t>
  </si>
  <si>
    <t>Otras provisiones a largo plazo</t>
  </si>
  <si>
    <t>Pasivo por impuestos diferidos</t>
  </si>
  <si>
    <t>Provisiones corrientes por beneficios empleados</t>
  </si>
  <si>
    <t>Otros pasivos no financieros no corrientes</t>
  </si>
  <si>
    <t>Total de pasivos no corrientes</t>
  </si>
  <si>
    <t>Total pasivos</t>
  </si>
  <si>
    <t>Patrimonio</t>
  </si>
  <si>
    <t>Capital emitido</t>
  </si>
  <si>
    <t>Ganancias (pérdidas) acumuladas</t>
  </si>
  <si>
    <t>Primas de emisión</t>
  </si>
  <si>
    <t>Acciones propias en cartera</t>
  </si>
  <si>
    <t>Otras participaciones en el patrimonio</t>
  </si>
  <si>
    <t>Otras reservas</t>
  </si>
  <si>
    <t>Patrimonio atribuible a los propietarios de la controladora</t>
  </si>
  <si>
    <t>Participaciones no controladoras</t>
  </si>
  <si>
    <t>Patrimonio total</t>
  </si>
  <si>
    <t>Total de patrimonio y pasivos</t>
  </si>
  <si>
    <t>(1) Saldo de inicio del periodo anterior cuando presente comparativo en el caso de primera adopción o cambios contables retrospectivos.</t>
  </si>
  <si>
    <t>Estado de resultados</t>
  </si>
  <si>
    <t>Ganancia (pérdida)</t>
  </si>
  <si>
    <t>Ganancia bruta</t>
  </si>
  <si>
    <t>Ingresos financieros</t>
  </si>
  <si>
    <t>Ganancia (pérdida), antes de impuestos</t>
  </si>
  <si>
    <t>Gasto por impuestos a las ganancias</t>
  </si>
  <si>
    <t>Ganancia (pérdida), atribuible a</t>
  </si>
  <si>
    <t/>
  </si>
  <si>
    <t>Ganancia (pérdida), atribuible a los propietarios de la controladora</t>
  </si>
  <si>
    <t>Ganancia (pérdida), atribuible a participaciones no controladoras</t>
  </si>
  <si>
    <t>Saldos</t>
  </si>
  <si>
    <t>Clasificacion</t>
  </si>
  <si>
    <t>Inventarios corrientes</t>
  </si>
  <si>
    <t>Cuadro Patromonial</t>
  </si>
  <si>
    <t>PATRIMONIO</t>
  </si>
  <si>
    <t>Detalle</t>
  </si>
  <si>
    <t>Capital</t>
  </si>
  <si>
    <t>Resultados Acumulados</t>
  </si>
  <si>
    <t xml:space="preserve">Retiros </t>
  </si>
  <si>
    <t>Resultado del Periodo</t>
  </si>
  <si>
    <t>Totales</t>
  </si>
  <si>
    <t>Distribución resultado ejercicio anterior</t>
  </si>
  <si>
    <t>Resultado del período</t>
  </si>
  <si>
    <t>Monto MN $</t>
  </si>
  <si>
    <t>Bancos Cuenta Corriente $</t>
  </si>
  <si>
    <t xml:space="preserve">Fondos Fijos </t>
  </si>
  <si>
    <t>Fecha</t>
  </si>
  <si>
    <t>Valor Actual</t>
  </si>
  <si>
    <t>Fondo Fijo Plaza Egaña</t>
  </si>
  <si>
    <t>Fondo Fijo Vespucio</t>
  </si>
  <si>
    <t>Fondo Fijo Trebol</t>
  </si>
  <si>
    <t>Saldo Según Balance</t>
  </si>
  <si>
    <t>Banco Santander</t>
  </si>
  <si>
    <t>Saldo Según Cartola Bancaria</t>
  </si>
  <si>
    <t>Cheques Girados y No cobrados</t>
  </si>
  <si>
    <t>Fecha Emisión</t>
  </si>
  <si>
    <t>Numero Cheque</t>
  </si>
  <si>
    <t>Valor</t>
  </si>
  <si>
    <t>Total Cheques no cobrados</t>
  </si>
  <si>
    <t>Saldo según Conciliación</t>
  </si>
  <si>
    <t>Saldo según balance</t>
  </si>
  <si>
    <t>Control</t>
  </si>
  <si>
    <t>Total Banco santander</t>
  </si>
  <si>
    <t>Ver</t>
  </si>
  <si>
    <t>Volver</t>
  </si>
  <si>
    <t>DEPOSITO A PLAZO</t>
  </si>
  <si>
    <t>Actual</t>
  </si>
  <si>
    <t>DEPOSITO A PLAZO SANTANDER</t>
  </si>
  <si>
    <t xml:space="preserve">Saldo Según Balance </t>
  </si>
  <si>
    <t>TOTAL ACTIVOS FINANCIEROS CORRIENTES</t>
  </si>
  <si>
    <t>GARANTIAS OTORGADAS</t>
  </si>
  <si>
    <t>Nombre Cuenta</t>
  </si>
  <si>
    <t>Nombre Titular</t>
  </si>
  <si>
    <t>Titular</t>
  </si>
  <si>
    <t>Nro Doc.</t>
  </si>
  <si>
    <t>Importe MN</t>
  </si>
  <si>
    <t>Grand Total</t>
  </si>
  <si>
    <t>IMPUESTOS POR RECUPERAR</t>
  </si>
  <si>
    <t xml:space="preserve">IMPUESTOS POR RECUPERAR </t>
  </si>
  <si>
    <t>Monto</t>
  </si>
  <si>
    <t>Inicial</t>
  </si>
  <si>
    <t>INTERES DEVENGADO FONDO MUTUO SECURITY</t>
  </si>
  <si>
    <t>REMANENTE CREDITO FISCAL</t>
  </si>
  <si>
    <t xml:space="preserve">REMANENTE CREDITO FISCAL </t>
  </si>
  <si>
    <t>Análisis y Detalle de Otros Activos No Financieros, Corriente</t>
  </si>
  <si>
    <t>Flexi Chile Spa</t>
  </si>
  <si>
    <t>GARANTIA ARRIENDO DE BODEGA SAN FRANCISCO</t>
  </si>
  <si>
    <t>Importe MN Total</t>
  </si>
  <si>
    <t>fec_doc</t>
  </si>
  <si>
    <t xml:space="preserve">PROVEEDORES </t>
  </si>
  <si>
    <t>GARANTIAS ARRIENDO</t>
  </si>
  <si>
    <t>IMPUESTOS POR PAGAR F29</t>
  </si>
  <si>
    <t>DETALLE</t>
  </si>
  <si>
    <t>Otros Activos No Financieros, Corriente - Agrupación</t>
  </si>
  <si>
    <t>Otros Activos No Financieros, Corriente - Detalle</t>
  </si>
  <si>
    <t xml:space="preserve">Monto </t>
  </si>
  <si>
    <t>TOTAL</t>
  </si>
  <si>
    <t>Vida</t>
  </si>
  <si>
    <t xml:space="preserve">Valor </t>
  </si>
  <si>
    <t>Dep. Acum.</t>
  </si>
  <si>
    <t>Meses</t>
  </si>
  <si>
    <t>Depreciación</t>
  </si>
  <si>
    <t xml:space="preserve">Total </t>
  </si>
  <si>
    <t>útil</t>
  </si>
  <si>
    <t>Inicio</t>
  </si>
  <si>
    <t>a Dep.</t>
  </si>
  <si>
    <t>Ejercicio</t>
  </si>
  <si>
    <t xml:space="preserve">Monto Historico </t>
  </si>
  <si>
    <t>US$</t>
  </si>
  <si>
    <t>Valor US$</t>
  </si>
  <si>
    <t>US$ cierre</t>
  </si>
  <si>
    <t>Valor al cierre</t>
  </si>
  <si>
    <t>Diferencia de Cambio</t>
  </si>
  <si>
    <t>ACTIVOS</t>
  </si>
  <si>
    <t>TOTAL ACTIVOS</t>
  </si>
  <si>
    <t>PATRIMONIO Y PASIVOS</t>
  </si>
  <si>
    <t>TOTAL DE PATRIMONIO Y PASIVOS</t>
  </si>
  <si>
    <t>Contenidos:</t>
  </si>
  <si>
    <t xml:space="preserve">- Balance Clasificado </t>
  </si>
  <si>
    <t xml:space="preserve">- Estado de Resultados </t>
  </si>
  <si>
    <t xml:space="preserve">- Cuadro Patrimonial </t>
  </si>
  <si>
    <t>- Análisis y detalle de cuentas Activos y Pasivos</t>
  </si>
  <si>
    <t>- Agrupación principales cuentas de Resultados</t>
  </si>
  <si>
    <t xml:space="preserve">- Balance General </t>
  </si>
  <si>
    <t>Flexi Chile SpA</t>
  </si>
  <si>
    <t>BOLETA DE GARANTIA - Plaza Egaña</t>
  </si>
  <si>
    <t>BOLETA DE GARANTIA - Plaza Los Dominicos</t>
  </si>
  <si>
    <t>BOLETA DE GARANTIA - Plaza el Trebol</t>
  </si>
  <si>
    <t>BOLETA DE GARANTIA - Arauco Maipu</t>
  </si>
  <si>
    <t>BOLETA DE GARANTIA - Plaza Vespucio</t>
  </si>
  <si>
    <t>EGAÑA</t>
  </si>
  <si>
    <t>ONLINE</t>
  </si>
  <si>
    <t>VESPUCIO</t>
  </si>
  <si>
    <t>Total</t>
  </si>
  <si>
    <t>Resultado por Centro de Beneficio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</si>
  <si>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</si>
  <si>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</si>
  <si>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</si>
  <si>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</si>
  <si>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</si>
  <si>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</si>
  <si>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</si>
  <si>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</si>
  <si>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</si>
  <si>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DEPRECIACION DEL EJERCICIO</t>
  </si>
  <si>
    <t>RUT</t>
  </si>
  <si>
    <t>DEPRECIACION ACUMULADA MUEBLES Y UTILES</t>
  </si>
  <si>
    <t>PROVISIONES VARIAS</t>
  </si>
  <si>
    <t>Balance General IFRS</t>
  </si>
  <si>
    <t>Numero Cuenta</t>
  </si>
  <si>
    <t xml:space="preserve">Nombre Cuenta </t>
  </si>
  <si>
    <t>Valores Acumulados</t>
  </si>
  <si>
    <t>Inventario</t>
  </si>
  <si>
    <t>Resultados</t>
  </si>
  <si>
    <t xml:space="preserve"> CEDIS CHILE</t>
  </si>
  <si>
    <t>ADMINISTRACION</t>
  </si>
  <si>
    <t>TREBOL</t>
  </si>
  <si>
    <t>NOMBRE CUENTA</t>
  </si>
  <si>
    <t>N° CUENTA</t>
  </si>
  <si>
    <t>Resultado por Centro de Costo</t>
  </si>
  <si>
    <t xml:space="preserve">Estados Financieros </t>
  </si>
  <si>
    <t>Centro de Costo</t>
  </si>
  <si>
    <t>Fact. 47 Imp. Export. Globus 1 Escala Metalica</t>
  </si>
  <si>
    <t>Fact. 47 Imp. Export. Globus 1 Mesa Plastica</t>
  </si>
  <si>
    <t>Fact. 47 Imp. Export. Globus 1 Silla</t>
  </si>
  <si>
    <t xml:space="preserve">Fact. 47 Imp. Export. Globus 1 Caja Metalica </t>
  </si>
  <si>
    <t>Fact. 47 Imp. Export. Globus 1 Piso Metalico</t>
  </si>
  <si>
    <t>Fact. 47 Imp. Export. Globus 1 Televisor Samsug</t>
  </si>
  <si>
    <t>Fact. 47 Imp. Export. Globus 1 Aspiradora</t>
  </si>
  <si>
    <t>Fact. 47 Imp. Export. Globus 7 Puff</t>
  </si>
  <si>
    <t>Fact. 47 Imp. Export. Globus 2 Silla</t>
  </si>
  <si>
    <t>Fact. 47 Imp. Export. Globus 8 Puff</t>
  </si>
  <si>
    <t>Fact. 47 Imp. Export. Globus 6 Puff</t>
  </si>
  <si>
    <t>CEDIS</t>
  </si>
  <si>
    <t>EQUIPOS COMPUTACIONALES</t>
  </si>
  <si>
    <t>Fact. 47 Imp. Export. Globus 1 Lector Cod Barra</t>
  </si>
  <si>
    <t>Fact. 47 Imp. Export. Globus 1 Impresora Termica</t>
  </si>
  <si>
    <t>Fact. 47 Imp. Export. Globus 1 Computador Hp</t>
  </si>
  <si>
    <t>Fact. 47 Imp. Export. Globus 1 Pistola Cod Barras</t>
  </si>
  <si>
    <t>Fact. 47 Imp. Export. Globus 1 Impresora Hp</t>
  </si>
  <si>
    <t>Fact. 47 Imp. Export. Globus 1 Equipo De Musica</t>
  </si>
  <si>
    <t>Fact. 47 Imp. Export. Globus 1 Televisor Sony</t>
  </si>
  <si>
    <t>Fact. 47 Imp. Export. Globus 2 Pantallas 42"</t>
  </si>
  <si>
    <t>DEPREC. ACUM. EQUIPOS COMPUTACIONALES</t>
  </si>
  <si>
    <t>DEPREC. ACUM. MUEBLRES, UTILES Y OTROS</t>
  </si>
  <si>
    <t>Tasa</t>
  </si>
  <si>
    <t>Plazo</t>
  </si>
  <si>
    <t>Valor de</t>
  </si>
  <si>
    <t>Inversión</t>
  </si>
  <si>
    <t>DEPRECIACION ACUMULADA EQUIPOS COMPUTACIONALES</t>
  </si>
  <si>
    <t>Int. Devengados</t>
  </si>
  <si>
    <t>RESULTADOS ACUMULADOS</t>
  </si>
  <si>
    <t>OTROS ARRIENDOS</t>
  </si>
  <si>
    <t>SERVICIOS DE TELECOMUNICACION</t>
  </si>
  <si>
    <t>Tipo de Producto</t>
  </si>
  <si>
    <t>Sucursal</t>
  </si>
  <si>
    <t>ACCESORIO</t>
  </si>
  <si>
    <t>CALZADO</t>
  </si>
  <si>
    <t>Total general</t>
  </si>
  <si>
    <t>CONTABILIDAD</t>
  </si>
  <si>
    <t>ARRIENDOS</t>
  </si>
  <si>
    <t>SEMANA CORRIDA</t>
  </si>
  <si>
    <t>GASTOS FACTURACION ELECTRONICA</t>
  </si>
  <si>
    <t>MERCADERÍA EN TRÁNSITO</t>
  </si>
  <si>
    <t>FECHA</t>
  </si>
  <si>
    <t>DESCRIPCIÓN</t>
  </si>
  <si>
    <t>Total Acum.</t>
  </si>
  <si>
    <t>Monetaria</t>
  </si>
  <si>
    <t>NO Monetario</t>
  </si>
  <si>
    <t>T/C Cierre</t>
  </si>
  <si>
    <t>Estado de Resultado mensual</t>
  </si>
  <si>
    <t>Moneda US$</t>
  </si>
  <si>
    <t>Resultado Periodo</t>
  </si>
  <si>
    <t>USD</t>
  </si>
  <si>
    <t>Resultado del ejercicio mensual</t>
  </si>
  <si>
    <t>Estado de Resultado por Centro de Costo</t>
  </si>
  <si>
    <t>Monto MN</t>
  </si>
  <si>
    <t>TARJETA CREDITO CLP</t>
  </si>
  <si>
    <t>HONORARIOS POR ASESORIAS INFORMATICAS</t>
  </si>
  <si>
    <t>MEMBRESÍAS Y ASOCIACIONES</t>
  </si>
  <si>
    <t>ene</t>
  </si>
  <si>
    <t>Tipo de Producto / Servicio</t>
  </si>
  <si>
    <t>Total CALZADO</t>
  </si>
  <si>
    <t>Total ACCESORIO</t>
  </si>
  <si>
    <t>Pagos Provisionales Año 2020</t>
  </si>
  <si>
    <t xml:space="preserve">Total Equipos Computacionales </t>
  </si>
  <si>
    <t>Total Muebles y Otros</t>
  </si>
  <si>
    <t>ACCESORIOS</t>
  </si>
  <si>
    <t>Bancos Cuenta Corriente USD$</t>
  </si>
  <si>
    <t>3105119</t>
  </si>
  <si>
    <t>VACACIONES</t>
  </si>
  <si>
    <t>BANCOS CTA CTE US$</t>
  </si>
  <si>
    <t>BOLETA DE GARANTIA - Costanera Center</t>
  </si>
  <si>
    <t>3105118</t>
  </si>
  <si>
    <t>ATENCIONES AL PERSONAL</t>
  </si>
  <si>
    <t>INV. A4765498 Dist. Flexi Mobiliario Tienda Costanera Center</t>
  </si>
  <si>
    <t>INV. A4765501 Dist. Flexi Mobiliario Tienda Costanera Center</t>
  </si>
  <si>
    <t>COSTANERA CENTER</t>
  </si>
  <si>
    <t>Fact. 3773552 Falabella TV</t>
  </si>
  <si>
    <t>FLORIDA CENTER</t>
  </si>
  <si>
    <t>Estanterías Costanera Center</t>
  </si>
  <si>
    <t>GASTOS PAGADOS POR ANTICIPADO</t>
  </si>
  <si>
    <t>VMM COSTANERA CENTER</t>
  </si>
  <si>
    <t>Amortización VMN Costanera Center 1/60</t>
  </si>
  <si>
    <t>Lamparas Salon Costanera Center</t>
  </si>
  <si>
    <t>Fabricación de Altillo</t>
  </si>
  <si>
    <t>Local Costanera Center</t>
  </si>
  <si>
    <t>Fondo Fijo Costanera Center</t>
  </si>
  <si>
    <t>COSTOS OPERATIVOS - FLETES INTERNOS</t>
  </si>
  <si>
    <t>COMISIÓN - CANAL DIGITAL</t>
  </si>
  <si>
    <t>FLETES - CANAL DIGITAL</t>
  </si>
  <si>
    <t>SERVICIOS  - CANAL DIGITAL</t>
  </si>
  <si>
    <t>FONDO FIJO COSTANERA CENTER</t>
  </si>
  <si>
    <t>Fact. Cencosud TV Costanera Center</t>
  </si>
  <si>
    <t>*01.10.2021-01.10.2021-Recargo VMM Costanera Center</t>
  </si>
  <si>
    <t>*01.11.2021-01.11.2021-Recargo VMM Florida Center</t>
  </si>
  <si>
    <t>*01.10.2021-01.10.2021-Fondo Inicial Pub Costanera Center</t>
  </si>
  <si>
    <t>*01.11.2021-01.11.2021-Fondo Inicial Pub Florida Center</t>
  </si>
  <si>
    <t>Amortización VMN Costanera Center 2/60</t>
  </si>
  <si>
    <t>Amortización VMN Florida Center 1/60</t>
  </si>
  <si>
    <t>Invoice A-04915922 Distribuidora Flexi</t>
  </si>
  <si>
    <t>Recargo VMM Florida Center</t>
  </si>
  <si>
    <t>*01.12.2021-01.12.2021-Fondo Inicial Pub Florida Center</t>
  </si>
  <si>
    <t>*01.12.2021-01.12.2021-Aporte Mensual PU Florida Center</t>
  </si>
  <si>
    <t>Amortización VMN Costanera Center 3/60</t>
  </si>
  <si>
    <t>Amortización VMN Florida Center 2/60</t>
  </si>
  <si>
    <t>LED 50 au7000</t>
  </si>
  <si>
    <t>Fondo Fijo Florida Center</t>
  </si>
  <si>
    <t>Saldo Inicial</t>
  </si>
  <si>
    <t>Amortización VMN Costanera Center 4/60</t>
  </si>
  <si>
    <t>Amortización VMN Florida Center 3/60</t>
  </si>
  <si>
    <t>Equipos de Computación</t>
  </si>
  <si>
    <t>PC All in One</t>
  </si>
  <si>
    <t>FONDO FIJO FLORIDA CENTER</t>
  </si>
  <si>
    <t>*04.01.2022-04.01.2022-Recargo VMM Florida Center</t>
  </si>
  <si>
    <t>*04.01.2022-04.01.2022-Fondo Inicial Pub Florida Center</t>
  </si>
  <si>
    <t>Amortización VMN Costanera Center 5/60</t>
  </si>
  <si>
    <t>Amortización VMN Florida Center 4/60</t>
  </si>
  <si>
    <t>ASESORIA CONTABLE</t>
  </si>
  <si>
    <t>INTERESES POR PRESTAMO EN EERR</t>
  </si>
  <si>
    <t>Amortización VMN Costanera Center 6/60</t>
  </si>
  <si>
    <t>Amortización VMN Florida Center 5/60</t>
  </si>
  <si>
    <t>3105107</t>
  </si>
  <si>
    <t>FINIQUITOS</t>
  </si>
  <si>
    <t>REMUNERACIONES EXTERNAS</t>
  </si>
  <si>
    <t>HONORARIOS ADMINISTRACIÓN DE PERSONAL</t>
  </si>
  <si>
    <t>INTERES GANADO POR DEPOSITO A PLAZO PESOS</t>
  </si>
  <si>
    <t>Distribución Remuneraciones</t>
  </si>
  <si>
    <t>PPM Acumulado 31-12-2021</t>
  </si>
  <si>
    <t>Amortización VMN Costanera Center 7/60</t>
  </si>
  <si>
    <t>Amortización VMN Florida Center 6/60</t>
  </si>
  <si>
    <t>Amortización VMN Costanera Center 8/60</t>
  </si>
  <si>
    <t>Amortización VMN Florida Center 7/60</t>
  </si>
  <si>
    <t>Display Banner Table</t>
  </si>
  <si>
    <t xml:space="preserve">Banco Santander Pesos  - Cta. Cte. 0-000-7776441-0   </t>
  </si>
  <si>
    <t xml:space="preserve">Banco Santander Dolar  - Cta. Cte. 0-051-0048375-2   </t>
  </si>
  <si>
    <t>Tipo de cambio al cierre</t>
  </si>
  <si>
    <t>Saldo en pesos</t>
  </si>
  <si>
    <t>Anovo Andes</t>
  </si>
  <si>
    <t>Amortización VMN Costanera Center 9/60</t>
  </si>
  <si>
    <t>Amortización VMN Florida Center 8/60</t>
  </si>
  <si>
    <t>ANTICIPOS SUELDOS</t>
  </si>
  <si>
    <t>IVA CREDITO FISCAL (COMPRAS)</t>
  </si>
  <si>
    <t>IMPUESTO ÚNICO TRABAJADORES</t>
  </si>
  <si>
    <t>RETENCION DE HONORARIOS</t>
  </si>
  <si>
    <t>IVA DEBITO FISCAL (VENTAS)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</si>
  <si>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</si>
  <si>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</si>
  <si>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</si>
  <si>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</si>
  <si>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</si>
  <si>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</si>
  <si>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</si>
  <si>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</si>
  <si>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</si>
  <si>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</si>
  <si>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Amortización VMN Costanera Center 10/60</t>
  </si>
  <si>
    <t>Amortización VMN Florida Center 9/60</t>
  </si>
  <si>
    <t>Followin F437 HP All In One (SN 8CC20506KF)</t>
  </si>
  <si>
    <t>Moneda $</t>
  </si>
  <si>
    <t>Amortización VMN Florida Center 10/60</t>
  </si>
  <si>
    <t>Amortización VMN Costanera Center 11/60</t>
  </si>
  <si>
    <t>Costo Valorizado</t>
  </si>
  <si>
    <t>Stock</t>
  </si>
  <si>
    <t>GASTOS DE REPRESENTACION</t>
  </si>
  <si>
    <t>GASTOS DE PASAJES,ESTADIA Y TRASLADO NACIONAL</t>
  </si>
  <si>
    <t>VIATICOS VISUAL MERCHANDISE</t>
  </si>
  <si>
    <t>Descripcion</t>
  </si>
  <si>
    <t>Análisis y Detalle de Cuentas Gastos de Publicidad y Marketing</t>
  </si>
  <si>
    <t>TOTAL GASTOS DE PUBLICIDAD Y MARKETING</t>
  </si>
  <si>
    <t>Intereses Ptmo. 08-2022 F4607  Grupo Flexi de León S.A.P.I de CV</t>
  </si>
  <si>
    <t>Intereses Ptmo. 07-2022 F4519 Grupo Flexi de León S.A.P.I de CV</t>
  </si>
  <si>
    <t>Amortización VMN Costanera Center 12/60</t>
  </si>
  <si>
    <t>Amortización VMN Florida Center 11/60</t>
  </si>
  <si>
    <t>VENTAS CON BOLETA (RPA)</t>
  </si>
  <si>
    <t>VENTAS CON FACTURA (RPA)</t>
  </si>
  <si>
    <t>F205 CRISTIAN SEGOVIA PEÃ‘A E.I.R.L. Muebles Costanera center inaguracion</t>
  </si>
  <si>
    <t>F8399 Zambon y Zambon 50% Anticipo FabricaciÃ³n, Traslado e InstalaciÃ³n de EstanterÃas de Angulo R</t>
  </si>
  <si>
    <t>F94 BAP OBRAS CIVILES Anticipo construccion tienda Florida Center</t>
  </si>
  <si>
    <t>F95 BAP OBRAS CIVILES Anticipo construccion tienda Florida Center</t>
  </si>
  <si>
    <t>Invoice A5651549 Distribuidora Flexi</t>
  </si>
  <si>
    <t>Amortización VMN Costanera Center 13/60</t>
  </si>
  <si>
    <t>Amortización VMN Florida Center 12/60</t>
  </si>
  <si>
    <t>ACREEDORES VARIOS</t>
  </si>
  <si>
    <t>HORAS EXTRAS</t>
  </si>
  <si>
    <t>Intereses Ptmo. 09-2022 F4663  Grupo Flexi de León S.A.P.I de CV</t>
  </si>
  <si>
    <t>Amortización VMN Costanera Center 14/60</t>
  </si>
  <si>
    <t>Amortización VMN Florida Center 13/60</t>
  </si>
  <si>
    <t>Caja y Bancos</t>
  </si>
  <si>
    <t>Derechos de arrendamiento</t>
  </si>
  <si>
    <t>Clientes</t>
  </si>
  <si>
    <t>Pagos anticipados</t>
  </si>
  <si>
    <t>Deudores Diversos</t>
  </si>
  <si>
    <t>Inventarios</t>
  </si>
  <si>
    <t>Impuestos a favor</t>
  </si>
  <si>
    <t>Equipo de tiendas</t>
  </si>
  <si>
    <t>Equipo de cómputo</t>
  </si>
  <si>
    <t>Depreciación acumulada</t>
  </si>
  <si>
    <t>Acreedores diversos</t>
  </si>
  <si>
    <t>Proveedores</t>
  </si>
  <si>
    <t>Impuestos nómina</t>
  </si>
  <si>
    <t>Otros pasivos</t>
  </si>
  <si>
    <t>IVA por pagar del mes</t>
  </si>
  <si>
    <t>Capital social</t>
  </si>
  <si>
    <t>Ventas Netas</t>
  </si>
  <si>
    <t>Costo estándar de venta</t>
  </si>
  <si>
    <t>Gastos de Administracion y Ventas</t>
  </si>
  <si>
    <t>Sueldos</t>
  </si>
  <si>
    <t>Depreciaciones</t>
  </si>
  <si>
    <t>Comisiones bancarias</t>
  </si>
  <si>
    <t>Publicidad</t>
  </si>
  <si>
    <t>Costo financiero</t>
  </si>
  <si>
    <t>OK</t>
  </si>
  <si>
    <t>Intereses Ptmo. 10-2022 F4727  Grupo Flexi de León S.A.P.I de CV</t>
  </si>
  <si>
    <t xml:space="preserve">Balance Clasificado </t>
  </si>
  <si>
    <t xml:space="preserve">Estado de Resultados </t>
  </si>
  <si>
    <t>Activos circulante</t>
  </si>
  <si>
    <t>Análisis y Detalle  de Cuentas de Cajas y Bancos</t>
  </si>
  <si>
    <t>CAJAS Y BANCOS - Agrupación:</t>
  </si>
  <si>
    <t>CAJAS Y BANCOS - Detalle:</t>
  </si>
  <si>
    <t>Total Cajas y Bancos</t>
  </si>
  <si>
    <t>Activos circulantes totales</t>
  </si>
  <si>
    <t>Activo Fijo</t>
  </si>
  <si>
    <t>Total de activo fijo</t>
  </si>
  <si>
    <t>Pasivos circulante</t>
  </si>
  <si>
    <t>Pasivos circulantes totales</t>
  </si>
  <si>
    <t>Otros ingresos</t>
  </si>
  <si>
    <t>Diferencia de cambio</t>
  </si>
  <si>
    <t>Análisis y Detalle de Derechos de arrendamiento</t>
  </si>
  <si>
    <t>Derechos de arrendamiento - Agrupación</t>
  </si>
  <si>
    <t>TOTAL Derechos de arrendamiento</t>
  </si>
  <si>
    <t>Derechos de arrendamiento - Detalle</t>
  </si>
  <si>
    <t>Análisis y Detalle de Pagos Anticipados</t>
  </si>
  <si>
    <t>TOTAL Pagos Anticipados</t>
  </si>
  <si>
    <t>PAGOS ANTICIPADOS - Agrupación:</t>
  </si>
  <si>
    <t>PAGOS ANTICIPADOS - Detalle:</t>
  </si>
  <si>
    <t>Análisis y Detalle de Deudores Diversos</t>
  </si>
  <si>
    <t>TOTAL Deudores Diversos</t>
  </si>
  <si>
    <t>DEUDORES DIVERSOS - Agrupación:</t>
  </si>
  <si>
    <t>DEUDORES DEUDORES DIVERSOS - Detalle:</t>
  </si>
  <si>
    <t>Análisis y Detalle de Cuentas Inventarios</t>
  </si>
  <si>
    <t>INVENTARIOS - Agrupación</t>
  </si>
  <si>
    <t>TOTAL Inventarios</t>
  </si>
  <si>
    <t>INVENTARIOS - Detalle</t>
  </si>
  <si>
    <t>Análisis y Detalle de Cuentas Impuestos a favor</t>
  </si>
  <si>
    <t>IMPUESTOS A FAVOR</t>
  </si>
  <si>
    <t>TOTAL Impuestos a favor</t>
  </si>
  <si>
    <t>IMPUESTOS A FAVOR - Detalle:</t>
  </si>
  <si>
    <t>Análisis y Detalle Activos Fijos</t>
  </si>
  <si>
    <t>Activos Fijos</t>
  </si>
  <si>
    <t>TOTAL Activos Fijos</t>
  </si>
  <si>
    <t>Análisis y Detalle de Proveedores</t>
  </si>
  <si>
    <t>PROVEEDORES - Agrupación</t>
  </si>
  <si>
    <t>TOTAL Proveedores</t>
  </si>
  <si>
    <t>Cuentas por pagar a empresas realcionadas</t>
  </si>
  <si>
    <t>PROVEEDORES  - Detalle</t>
  </si>
  <si>
    <t>Análisis y Detalle de Acreedores Diversos</t>
  </si>
  <si>
    <t>ACREEDORES DIVERSOS - Agrupación</t>
  </si>
  <si>
    <t>TOTAL Acreedores Diversos</t>
  </si>
  <si>
    <t>ACREEDORES DIVERSOS  - Detalle</t>
  </si>
  <si>
    <t>Análisis y Detalle de Impuestos nómina</t>
  </si>
  <si>
    <t>TOTAL Impuestos nómina</t>
  </si>
  <si>
    <t>IMPUESTOS NÓMINA - Agrupación</t>
  </si>
  <si>
    <t>IMPUESTOS NÓMINA  - Detalle</t>
  </si>
  <si>
    <t>Análisis y Detalle de Cuentas por pagar a entidades relacionadas</t>
  </si>
  <si>
    <t>CUENTAS POR PAGAR A ENTIDADES RELACIONADAS - Agrupación</t>
  </si>
  <si>
    <t>TOTAL Cuentas por pagar a entidades relacionadas</t>
  </si>
  <si>
    <t>CUENTAS POR PAGAR A ENTIDADES RELACIONADAS - Detalle</t>
  </si>
  <si>
    <t>Análisis y Detalle de Otros pasivos</t>
  </si>
  <si>
    <t>TOTAL Otros pasivos</t>
  </si>
  <si>
    <t>OTROS PASIVOS - Agrupación:</t>
  </si>
  <si>
    <t>OTROS PASIVOS - Detalle:</t>
  </si>
  <si>
    <t>Análisis y Detalle de Iva por pagar del mes</t>
  </si>
  <si>
    <t>TOTAL Iva por pagar del mes</t>
  </si>
  <si>
    <t>Amortización VMN Florida Center 14/60</t>
  </si>
  <si>
    <t>Amortización VMN Costanera Center 15/60</t>
  </si>
  <si>
    <t>Intereses Ptmo. 11-2022 F4778  Grupo Flexi de León S.A.P.I de CV</t>
  </si>
  <si>
    <t xml:space="preserve"> Invoice A5737302 Distribuidora Flexi</t>
  </si>
  <si>
    <t xml:space="preserve"> Invoice A5737303 Distribuidora Flexi</t>
  </si>
  <si>
    <t xml:space="preserve"> Invoice A5737304 Distribuidora Flexi</t>
  </si>
  <si>
    <t xml:space="preserve"> Invoice A5737305 Distribuidora Flexi</t>
  </si>
  <si>
    <t xml:space="preserve"> Invoice A5737306 Distribuidora Flexi</t>
  </si>
  <si>
    <t xml:space="preserve"> Invoice A5737307 Distribuidora Flexi</t>
  </si>
  <si>
    <t xml:space="preserve"> Invoice A5737308 Distribuidora Flexi</t>
  </si>
  <si>
    <t xml:space="preserve"> Invoice A5737309 Distribuidora Flexi</t>
  </si>
  <si>
    <t xml:space="preserve"> Invoice A5737310 Distribuidora Flexi</t>
  </si>
  <si>
    <t xml:space="preserve"> Invoice A5737311 Distribuidora Flexi</t>
  </si>
  <si>
    <t xml:space="preserve"> Invoice A5737312 Distribuidora Flexi</t>
  </si>
  <si>
    <t xml:space="preserve"> Invoice A5737313 Distribuidora Flexi</t>
  </si>
  <si>
    <t xml:space="preserve"> Invoice A5737314 Distribuidora Flexi</t>
  </si>
  <si>
    <t xml:space="preserve"> Invoice A5737315 Distribuidora Flexi</t>
  </si>
  <si>
    <t xml:space="preserve"> Invoice A5737316 Distribuidora Flexi</t>
  </si>
  <si>
    <t xml:space="preserve"> Invoice A5737317 Distribuidora Flexi</t>
  </si>
  <si>
    <t xml:space="preserve"> Invoice A5737318 Distribuidora Flexi</t>
  </si>
  <si>
    <t xml:space="preserve"> Invoice A5747115 Distribuidora Flexi</t>
  </si>
  <si>
    <t xml:space="preserve"> Invoice A5747117 Distribuidora Flexi</t>
  </si>
  <si>
    <t xml:space="preserve"> Invoice A5747119 Distribuidora Flexi</t>
  </si>
  <si>
    <t xml:space="preserve"> Invoice A5747121 Distribuidora Flexi</t>
  </si>
  <si>
    <t xml:space="preserve"> Invoice A5747122 Distribuidora Flexi</t>
  </si>
  <si>
    <t xml:space="preserve"> Invoice A5747124 Distribuidora Flexi</t>
  </si>
  <si>
    <t xml:space="preserve"> Invoice A5747126 Distribuidora Flexi</t>
  </si>
  <si>
    <t xml:space="preserve"> Invoice A5747128 Distribuidora Flexi</t>
  </si>
  <si>
    <t xml:space="preserve"> Invoice A5747130 Distribuidora Flexi</t>
  </si>
  <si>
    <t xml:space="preserve"> Invoice A5747132 Distribuidora Flexi</t>
  </si>
  <si>
    <t xml:space="preserve"> Invoice A5747134 Distribuidora Flexi</t>
  </si>
  <si>
    <t xml:space="preserve"> Invoice A5747136 Distribuidora Flexi</t>
  </si>
  <si>
    <t xml:space="preserve"> Invoice A5747138 Distribuidora Flexi</t>
  </si>
  <si>
    <t xml:space="preserve"> Invoice A5747140 Distribuidora Flexi</t>
  </si>
  <si>
    <t xml:space="preserve"> Invoice A5747142 Distribuidora Flexi</t>
  </si>
  <si>
    <t xml:space="preserve"> Invoice A5747144 Distribuidora Flexi</t>
  </si>
  <si>
    <t xml:space="preserve"> Invoice A5747146 Distribuidora Flexi</t>
  </si>
  <si>
    <t xml:space="preserve"> Invoice A5747148 Distribuidora Flexi</t>
  </si>
  <si>
    <t xml:space="preserve"> Invoice B246135 Distribuidora Flexi</t>
  </si>
  <si>
    <t xml:space="preserve"> Invoice B246136 Distribuidora Flexi</t>
  </si>
  <si>
    <t xml:space="preserve"> Invoice B246137 Distribuidora Flexi</t>
  </si>
  <si>
    <t xml:space="preserve"> Invoice B246138 Distribuidora Flexi</t>
  </si>
  <si>
    <t xml:space="preserve"> Invoice B246139 Distribuidora Flexi</t>
  </si>
  <si>
    <t>Intereses Ptmo. 12-2022 F4834  Grupo Flexi de León S.A.P.I de CV</t>
  </si>
  <si>
    <t xml:space="preserve"> Nota de credito 20221312</t>
  </si>
  <si>
    <t>Mercaderia no internada pendiente nota de credito</t>
  </si>
  <si>
    <t>Balance 8 Columnas'!A1</t>
  </si>
  <si>
    <t>MERCADERIA EN TRANSITO USD</t>
  </si>
  <si>
    <t>DIFERENCIA DE CAMBIO</t>
  </si>
  <si>
    <t>Amortización VMN Costanera Center 16/60</t>
  </si>
  <si>
    <t>Amortización VMN Florida Center 15/60</t>
  </si>
  <si>
    <t xml:space="preserve"> Invoice A5793395 Distribuidora Flexi</t>
  </si>
  <si>
    <t xml:space="preserve"> Invoice A5793396 Distribuidora Flexi</t>
  </si>
  <si>
    <t xml:space="preserve"> Invoice A5793397 Distribuidora Flexi</t>
  </si>
  <si>
    <t xml:space="preserve"> Invoice A5793398 Distribuidora Flexi</t>
  </si>
  <si>
    <t xml:space="preserve"> Invoice A5793399 Distribuidora Flexi</t>
  </si>
  <si>
    <t xml:space="preserve"> Invoice A5793400 Distribuidora Flexi</t>
  </si>
  <si>
    <t xml:space="preserve"> Invoice A5793402 Distribuidora Flexi</t>
  </si>
  <si>
    <t xml:space="preserve"> Invoice A5793403 Distribuidora Flexi</t>
  </si>
  <si>
    <t xml:space="preserve"> Invoice A5793404 Distribuidora Flexi</t>
  </si>
  <si>
    <t xml:space="preserve"> Invoice A5793405 Distribuidora Flexi</t>
  </si>
  <si>
    <t xml:space="preserve"> Invoice A5793406 Distribuidora Flexi</t>
  </si>
  <si>
    <t xml:space="preserve"> Invoice A5793407 Distribuidora Flexi</t>
  </si>
  <si>
    <t xml:space="preserve"> Invoice A5793408 Distribuidora Flexi</t>
  </si>
  <si>
    <t xml:space="preserve"> Invoice A5793409 Distribuidora Flexi</t>
  </si>
  <si>
    <t xml:space="preserve"> Invoice A5793411 Distribuidora Flexi</t>
  </si>
  <si>
    <t xml:space="preserve"> Invoice A5793412 Distribuidora Flexi</t>
  </si>
  <si>
    <t xml:space="preserve"> Invoice A5793413 Distribuidora Flexi</t>
  </si>
  <si>
    <t xml:space="preserve"> Invoice A5793414 Distribuidora Flexi</t>
  </si>
  <si>
    <t xml:space="preserve"> Invoice A5793415 Distribuidora Flexi</t>
  </si>
  <si>
    <t xml:space="preserve"> Invoice A5793416 Distribuidora Flexi</t>
  </si>
  <si>
    <t xml:space="preserve"> Invoice A5793417 Distribuidora Flexi</t>
  </si>
  <si>
    <t xml:space="preserve"> Invoice A5793418 Distribuidora Flexi</t>
  </si>
  <si>
    <t xml:space="preserve"> Invoice A5793419 Distribuidora Flexi</t>
  </si>
  <si>
    <t xml:space="preserve"> Invoice A5793420 Distribuidora Flexi</t>
  </si>
  <si>
    <t xml:space="preserve"> Invoice A5793422 Distribuidora Flexi</t>
  </si>
  <si>
    <t xml:space="preserve"> Invoice A5793423 Distribuidora Flexi</t>
  </si>
  <si>
    <t xml:space="preserve"> Invoice A5793424 Distribuidora Flexi</t>
  </si>
  <si>
    <t xml:space="preserve"> Invoice A5793425 Distribuidora Flexi</t>
  </si>
  <si>
    <t xml:space="preserve"> Invoice A5793426 Distribuidora Flexi</t>
  </si>
  <si>
    <t xml:space="preserve"> Invoice A5793427 Distribuidora Flexi</t>
  </si>
  <si>
    <t xml:space="preserve"> Invoice A5793428 Distribuidora Flexi</t>
  </si>
  <si>
    <t xml:space="preserve"> Invoice A5793429 Distribuidora Flexi</t>
  </si>
  <si>
    <t xml:space="preserve"> Invoice A5793431 Distribuidora Flexi</t>
  </si>
  <si>
    <t xml:space="preserve"> Invoice A5793432 Distribuidora Flexi</t>
  </si>
  <si>
    <t xml:space="preserve"> Invoice A5793433 Distribuidora Flexi</t>
  </si>
  <si>
    <t xml:space="preserve"> Invoice A5793434 Distribuidora Flexi</t>
  </si>
  <si>
    <t xml:space="preserve"> Invoice A5793790 Distribuidora Flexi</t>
  </si>
  <si>
    <t xml:space="preserve"> Invoice A5793791 Distribuidora Flexi</t>
  </si>
  <si>
    <t xml:space="preserve"> Invoice A5793792 Distribuidora Flexi</t>
  </si>
  <si>
    <t xml:space="preserve"> Invoice A5793793 Distribuidora Flexi</t>
  </si>
  <si>
    <t xml:space="preserve"> Invoice A5793794 Distribuidora Flexi</t>
  </si>
  <si>
    <t xml:space="preserve"> Invoice A5793795 Distribuidora Flexi</t>
  </si>
  <si>
    <t xml:space="preserve"> Invoice A5793796 Distribuidora Flexi</t>
  </si>
  <si>
    <t xml:space="preserve"> Invoice A5793797 Distribuidora Flexi</t>
  </si>
  <si>
    <t xml:space="preserve"> Invoice A5793800 Distribuidora Flexi</t>
  </si>
  <si>
    <t xml:space="preserve"> Invoice A5793801 Distribuidora Flexi</t>
  </si>
  <si>
    <t xml:space="preserve"> Invoice A5793802 Distribuidora Flexi</t>
  </si>
  <si>
    <t xml:space="preserve"> Invoice A5793803 Distribuidora Flexi</t>
  </si>
  <si>
    <t xml:space="preserve"> Invoice A5793807 Distribuidora Flexi</t>
  </si>
  <si>
    <t xml:space="preserve"> Invoice A5793822 Distribuidora Flexi</t>
  </si>
  <si>
    <t xml:space="preserve"> Invoice A5793830 Distribuidora Flexi</t>
  </si>
  <si>
    <t xml:space="preserve"> Invoice A5793833 Distribuidora Flexi</t>
  </si>
  <si>
    <t xml:space="preserve"> Invoice A5793838 Distribuidora Flexi</t>
  </si>
  <si>
    <t xml:space="preserve"> Invoice A5793840 Distribuidora Flexi</t>
  </si>
  <si>
    <t xml:space="preserve"> Invoice A5793842 Distribuidora Flexi</t>
  </si>
  <si>
    <t xml:space="preserve"> Invoice A5793844 Distribuidora Flexi</t>
  </si>
  <si>
    <t xml:space="preserve"> Invoice A5793846 Distribuidora Flexi</t>
  </si>
  <si>
    <t xml:space="preserve"> Invoice A5793850 Distribuidora Flexi</t>
  </si>
  <si>
    <t xml:space="preserve"> Invoice A5793853 Distribuidora Flexi</t>
  </si>
  <si>
    <t xml:space="preserve"> Invoice A5793861 Distribuidora Flexi</t>
  </si>
  <si>
    <t xml:space="preserve"> Invoice A5793983 Distribuidora Flexi</t>
  </si>
  <si>
    <t xml:space="preserve"> Invoice A5794010 Distribuidora Flexi</t>
  </si>
  <si>
    <t xml:space="preserve"> Invoice A5795239 Distribuidora Flexi</t>
  </si>
  <si>
    <t xml:space="preserve"> Invoice A5795537 Distribuidora Flexi</t>
  </si>
  <si>
    <t xml:space="preserve"> Invoice A5795538 Distribuidora Flexi</t>
  </si>
  <si>
    <t xml:space="preserve"> Invoice A5795539 Distribuidora Flexi</t>
  </si>
  <si>
    <t xml:space="preserve"> Invoice A5795540 Distribuidora Flexi</t>
  </si>
  <si>
    <t xml:space="preserve"> Invoice A5795541 Distribuidora Flexi</t>
  </si>
  <si>
    <t xml:space="preserve"> Invoice A5795542 Distribuidora Flexi</t>
  </si>
  <si>
    <t xml:space="preserve"> Invoice A5795543 Distribuidora Flexi</t>
  </si>
  <si>
    <t xml:space="preserve"> Invoice A5795544 Distribuidora Flexi</t>
  </si>
  <si>
    <t xml:space="preserve"> Invoice A5795545 Distribuidora Flexi</t>
  </si>
  <si>
    <t xml:space="preserve"> Invoice A5795546 Distribuidora Flexi</t>
  </si>
  <si>
    <t xml:space="preserve"> Invoice A5795547 Distribuidora Flexi</t>
  </si>
  <si>
    <t xml:space="preserve"> Invoice A5795548 Distribuidora Flexi</t>
  </si>
  <si>
    <t xml:space="preserve"> Invoice A5795549 Distribuidora Flexi</t>
  </si>
  <si>
    <t xml:space="preserve"> Invoice A5817738 Distribuidora Flexi</t>
  </si>
  <si>
    <t>Fondos Fijos</t>
  </si>
  <si>
    <t>Traspaso a Existenncias</t>
  </si>
  <si>
    <t>Bap Obras Civiles F/105 anticipo 30% (presupuesto local Santiago Centro)</t>
  </si>
  <si>
    <t>Bap Obras Civiles F/105 anticipo 30% (presupuesto local Concepcion Centro)</t>
  </si>
  <si>
    <t>STGO CENTRO</t>
  </si>
  <si>
    <t>CONCEPCION CENTRO</t>
  </si>
  <si>
    <t>Intereses Ptmo. 01-2023 F4917  Grupo Flexi de León S.A.P.I de CV</t>
  </si>
  <si>
    <t xml:space="preserve"> Invoice A-05847475 Distribuidora Flexi</t>
  </si>
  <si>
    <t xml:space="preserve"> Invoice A-05847476 Distribuidora Flexi</t>
  </si>
  <si>
    <t xml:space="preserve"> Invoice A-05847477 Distribuidora Flexi</t>
  </si>
  <si>
    <t xml:space="preserve"> Invoice A-05847481 Distribuidora Flexi</t>
  </si>
  <si>
    <t xml:space="preserve"> Invoice A-05847483 Distribuidora Flexi</t>
  </si>
  <si>
    <t xml:space="preserve"> Invoice A-05847494 Distribuidora Flexi</t>
  </si>
  <si>
    <t xml:space="preserve"> Invoice A-05847479 Distribuidora Flexi</t>
  </si>
  <si>
    <t xml:space="preserve"> Invoice A-05847480 Distribuidora Flexi</t>
  </si>
  <si>
    <t xml:space="preserve"> Invoice A-05847482 Distribuidora Flexi</t>
  </si>
  <si>
    <t xml:space="preserve"> Invoice A-05847487 Distribuidora Flexi</t>
  </si>
  <si>
    <t xml:space="preserve"> Invoice A-05847491 Distribuidora Flexi</t>
  </si>
  <si>
    <t xml:space="preserve"> Invoice A-05847484 Distribuidora Flexi</t>
  </si>
  <si>
    <t xml:space="preserve"> Invoice A-05847485 Distribuidora Flexi</t>
  </si>
  <si>
    <t xml:space="preserve"> Invoice A-05847489 Distribuidora Flexi</t>
  </si>
  <si>
    <t xml:space="preserve"> Invoice A-05847486 Distribuidora Flexi</t>
  </si>
  <si>
    <t xml:space="preserve"> Invoice A-05847488 Distribuidora Flexi</t>
  </si>
  <si>
    <t xml:space="preserve"> Invoice A-05847490 Distribuidora Flexi</t>
  </si>
  <si>
    <t xml:space="preserve"> Invoice A-05847492 Distribuidora Flexi</t>
  </si>
  <si>
    <t xml:space="preserve"> Invoice A-05847493 Distribuidora Flexi</t>
  </si>
  <si>
    <t xml:space="preserve"> Invoice A-05847495 Distribuidora Flexi</t>
  </si>
  <si>
    <t xml:space="preserve"> Invoice A-05847496 Distribuidora Flexi</t>
  </si>
  <si>
    <t xml:space="preserve"> Invoice A-05847498 Distribuidora Flexi</t>
  </si>
  <si>
    <t xml:space="preserve"> Invoice A-05847501 Distribuidora Flexi</t>
  </si>
  <si>
    <t xml:space="preserve"> Invoice A-05847502 Distribuidora Flexi</t>
  </si>
  <si>
    <t xml:space="preserve"> Invoice A-05847503 Distribuidora Flexi</t>
  </si>
  <si>
    <t xml:space="preserve"> Invoice A-05847513 Distribuidora Flexi</t>
  </si>
  <si>
    <t xml:space="preserve"> Invoice A-05847516 Distribuidora Flexi</t>
  </si>
  <si>
    <t xml:space="preserve"> Invoice A-05856986 Distribuidora Flexi</t>
  </si>
  <si>
    <t xml:space="preserve"> Invoice A-05847497 Distribuidora Flexi</t>
  </si>
  <si>
    <t xml:space="preserve"> Invoice A-05847499 Distribuidora Flexi</t>
  </si>
  <si>
    <t xml:space="preserve"> Invoice A-05847500 Distribuidora Flexi</t>
  </si>
  <si>
    <t xml:space="preserve"> Invoice A-05847504 Distribuidora Flexi</t>
  </si>
  <si>
    <t xml:space="preserve"> Invoice A-05847505 Distribuidora Flexi</t>
  </si>
  <si>
    <t xml:space="preserve"> Invoice A-05847509 Distribuidora Flexi</t>
  </si>
  <si>
    <t xml:space="preserve"> Invoice A-05847506 Distribuidora Flexi</t>
  </si>
  <si>
    <t xml:space="preserve"> Invoice A-05847507 Distribuidora Flexi</t>
  </si>
  <si>
    <t xml:space="preserve"> Invoice A-05847514 Distribuidora Flexi</t>
  </si>
  <si>
    <t xml:space="preserve"> Invoice A-05847508 Distribuidora Flexi</t>
  </si>
  <si>
    <t xml:space="preserve"> Invoice A-05847510 Distribuidora Flexi</t>
  </si>
  <si>
    <t xml:space="preserve"> Invoice A-05847512 Distribuidora Flexi</t>
  </si>
  <si>
    <t xml:space="preserve"> Invoice A-05847515 Distribuidora Flexi</t>
  </si>
  <si>
    <t xml:space="preserve"> Invoice A-05847518 Distribuidora Flexi</t>
  </si>
  <si>
    <t xml:space="preserve"> Invoice A-05847522 Distribuidora Flexi</t>
  </si>
  <si>
    <t xml:space="preserve"> Invoice A-05847511 Distribuidora Flexi</t>
  </si>
  <si>
    <t xml:space="preserve"> Invoice A-05847517 Distribuidora Flexi</t>
  </si>
  <si>
    <t xml:space="preserve"> Invoice A-05847523 Distribuidora Flexi</t>
  </si>
  <si>
    <t xml:space="preserve"> Invoice A-05847519 Distribuidora Flexi</t>
  </si>
  <si>
    <t xml:space="preserve"> Invoice A-05847520 Distribuidora Flexi</t>
  </si>
  <si>
    <t xml:space="preserve"> Invoice A-05847521 Distribuidora Flexi</t>
  </si>
  <si>
    <t xml:space="preserve"> Invoice A-05850307 Distribuidora Flexi</t>
  </si>
  <si>
    <t xml:space="preserve"> Invoice A-05850308 Distribuidora Flexi</t>
  </si>
  <si>
    <t xml:space="preserve"> Invoice A-05850310 Distribuidora Flexi</t>
  </si>
  <si>
    <t xml:space="preserve"> Invoice A-05850309 Distribuidora Flexi</t>
  </si>
  <si>
    <t xml:space="preserve"> Invoice A-05850311 Distribuidora Flexi</t>
  </si>
  <si>
    <t xml:space="preserve"> Invoice A-05850312 Distribuidora Flexi</t>
  </si>
  <si>
    <t xml:space="preserve"> Invoice A-05856970 Distribuidora Flexi</t>
  </si>
  <si>
    <t xml:space="preserve"> Invoice A-05856971 Distribuidora Flexi</t>
  </si>
  <si>
    <t xml:space="preserve"> Invoice A-05856972 Distribuidora Flexi</t>
  </si>
  <si>
    <t xml:space="preserve"> Invoice A-05856980 Distribuidora Flexi</t>
  </si>
  <si>
    <t xml:space="preserve"> Invoice A-05856985 Distribuidora Flexi</t>
  </si>
  <si>
    <t xml:space="preserve"> Invoice A-05856973 Distribuidora Flexi</t>
  </si>
  <si>
    <t xml:space="preserve"> Invoice A-05856978 Distribuidora Flexi</t>
  </si>
  <si>
    <t xml:space="preserve"> Invoice A-05856974 Distribuidora Flexi</t>
  </si>
  <si>
    <t xml:space="preserve"> Invoice A-05856975 Distribuidora Flexi</t>
  </si>
  <si>
    <t xml:space="preserve"> Invoice A-05856981 Distribuidora Flexi</t>
  </si>
  <si>
    <t xml:space="preserve"> Invoice A-05856976 Distribuidora Flexi</t>
  </si>
  <si>
    <t xml:space="preserve"> Invoice A-05856977 Distribuidora Flexi</t>
  </si>
  <si>
    <t xml:space="preserve"> Invoice A-05856982 Distribuidora Flexi</t>
  </si>
  <si>
    <t xml:space="preserve"> Invoice A-05856979 Distribuidora Flexi</t>
  </si>
  <si>
    <t xml:space="preserve"> Invoice A-05856983 Distribuidora Flexi</t>
  </si>
  <si>
    <t xml:space="preserve"> Invoice A-05856984 Distribuidora Flexi</t>
  </si>
  <si>
    <t xml:space="preserve"> Invoice A-05856987 Distribuidora Flexi</t>
  </si>
  <si>
    <t xml:space="preserve"> Invoice A-05856988 Distribuidora Flexi</t>
  </si>
  <si>
    <t xml:space="preserve"> Invoice A-05856989 Distribuidora Flexi</t>
  </si>
  <si>
    <t xml:space="preserve"> Invoice A-05856990 Distribuidora Flexi</t>
  </si>
  <si>
    <t xml:space="preserve"> Invoice A-05856991 Distribuidora Flexi</t>
  </si>
  <si>
    <t xml:space="preserve"> Invoice A-05856993 Distribuidora Flexi</t>
  </si>
  <si>
    <t xml:space="preserve"> Invoice A-05856994 Distribuidora Flexi</t>
  </si>
  <si>
    <t xml:space="preserve"> Invoice A-05856995 Distribuidora Flexi</t>
  </si>
  <si>
    <t xml:space="preserve"> Invoice A-05856996 Distribuidora Flexi</t>
  </si>
  <si>
    <t xml:space="preserve"> Invoice A-05856999 Distribuidora Flexi</t>
  </si>
  <si>
    <t xml:space="preserve"> Invoice A-05857004 Distribuidora Flexi</t>
  </si>
  <si>
    <t xml:space="preserve"> Invoice A-05857006 Distribuidora Flexi</t>
  </si>
  <si>
    <t xml:space="preserve"> Invoice A-05857007 Distribuidora Flexi</t>
  </si>
  <si>
    <t xml:space="preserve"> Invoice A-05857009 Distribuidora Flexi</t>
  </si>
  <si>
    <t xml:space="preserve"> Invoice A-05856992 Distribuidora Flexi</t>
  </si>
  <si>
    <t xml:space="preserve"> Invoice A-05856997 Distribuidora Flexi</t>
  </si>
  <si>
    <t xml:space="preserve"> Invoice A-05857002 Distribuidora Flexi</t>
  </si>
  <si>
    <t xml:space="preserve"> Invoice A-05857003 Distribuidora Flexi</t>
  </si>
  <si>
    <t xml:space="preserve"> Invoice A-05856998 Distribuidora Flexi</t>
  </si>
  <si>
    <t xml:space="preserve"> Invoice A-05857000 Distribuidora Flexi</t>
  </si>
  <si>
    <t xml:space="preserve"> Invoice A-05857001 Distribuidora Flexi</t>
  </si>
  <si>
    <t xml:space="preserve"> Invoice A-05857005 Distribuidora Flexi</t>
  </si>
  <si>
    <t xml:space="preserve"> Invoice A-05857008 Distribuidora Flexi</t>
  </si>
  <si>
    <t xml:space="preserve"> Invoice A-05857010 Distribuidora Flexi</t>
  </si>
  <si>
    <t xml:space="preserve"> Invoice A-05857011 Distribuidora Flexi</t>
  </si>
  <si>
    <t xml:space="preserve"> Invoice A-05857012 Distribuidora Flexi</t>
  </si>
  <si>
    <t xml:space="preserve"> Invoice A-05857013 Distribuidora Flexi</t>
  </si>
  <si>
    <t xml:space="preserve"> Invoice A-05857014 Distribuidora Flexi</t>
  </si>
  <si>
    <t xml:space="preserve"> Invoice A-05857015 Distribuidora Flexi</t>
  </si>
  <si>
    <t xml:space="preserve"> Invoice A-05857016 Distribuidora Flexi</t>
  </si>
  <si>
    <t xml:space="preserve"> Invoice Q-00231460 Quirelli</t>
  </si>
  <si>
    <t xml:space="preserve"> Invoice Q-00232603 Quirelli</t>
  </si>
  <si>
    <t xml:space="preserve"> Invoice Q-00234204 Quirelli</t>
  </si>
  <si>
    <t xml:space="preserve"> Invoice Q-00235855 Quirelli</t>
  </si>
  <si>
    <t xml:space="preserve"> Invoice Q-00237279 Quirelli</t>
  </si>
  <si>
    <t xml:space="preserve"> Invoice Q-00248989 Quirelli</t>
  </si>
  <si>
    <t xml:space="preserve"> Invoice Q-00248991 Quirelli</t>
  </si>
  <si>
    <t xml:space="preserve"> Invoice Q-00248992 Quirelli</t>
  </si>
  <si>
    <t xml:space="preserve"> Invoice Q-00254321 Quirelli</t>
  </si>
  <si>
    <t>Total Quirelli Mexico</t>
  </si>
  <si>
    <t>Amortización VMN Costanera Center 17/60</t>
  </si>
  <si>
    <t>Amortización VMN Florida Center 16/60</t>
  </si>
  <si>
    <t>Fondo Fijo Santiago Centro</t>
  </si>
  <si>
    <t>Fondo Fijo Concepcion Centro</t>
  </si>
  <si>
    <t>Zambon y Zambon F8545  50%FABRICACION, TRASLADO  E INSTALACION ESTANTERIAS</t>
  </si>
  <si>
    <t>Zambon y Zambon F8550  50%FABRICACION, TRASLADO  E INSTALACION ESTANTERIAS</t>
  </si>
  <si>
    <t>Zambon y Zambon F8554  50%FABRICACION, TRASLADO  E INSTALACION ESTANTERIAS</t>
  </si>
  <si>
    <t>Eglo Chile F160569 Lampara tienDA Stgo Centro</t>
  </si>
  <si>
    <t>FONDO FIJO SANTIAGO CENTRO</t>
  </si>
  <si>
    <t>SANTIAGO CENTRO</t>
  </si>
  <si>
    <t>Bap Obras Civiles F/109 anticipo 30% (presupuesto local Flexi Stgo Centro)</t>
  </si>
  <si>
    <t>Bap Obras Civiles F/109 anticipo 30% (presupuesto local Flexi Concepcion Centro)</t>
  </si>
  <si>
    <t>F956 Instalaciones Yimmy, video Wall tienda Stgo entro</t>
  </si>
  <si>
    <t>CANAL DIGITAL</t>
  </si>
  <si>
    <t>GASTOS DE CAPACITACION</t>
  </si>
  <si>
    <t>MULTAS E INTERESES</t>
  </si>
  <si>
    <t>SEGUROS</t>
  </si>
  <si>
    <t>SUMINISTROS COMPUTACIONALES</t>
  </si>
  <si>
    <t>GASTOS LEGALES Y NOTARIALES DIRECTOS</t>
  </si>
  <si>
    <t>Amortización VMN Costanera Center 18/60</t>
  </si>
  <si>
    <t>Amortización VMN Florida Center 17/60</t>
  </si>
  <si>
    <t>Patrimonio!A1</t>
  </si>
  <si>
    <t xml:space="preserve"> Invoice A-05883958 Distribuidora Flexi</t>
  </si>
  <si>
    <t xml:space="preserve"> Invoice A-05903126 Distribuidora Flexi</t>
  </si>
  <si>
    <t xml:space="preserve"> Invoice B-249828 Distribuidora Flexi</t>
  </si>
  <si>
    <t xml:space="preserve"> Invoice A-05918541 Distribuidora Flexi</t>
  </si>
  <si>
    <t>SLK-TL202II Impresora Termica Ticket 3" 180DPI 220 mm/ss Auto Cutte USB/RS232-db9 IMP Y EXP DE PRODUCTOS TECNOLOGICOS S A</t>
  </si>
  <si>
    <t>Bap Obras Civiles F/128 anticipo 20% (presupuesto local Flexi Concepcion Centro)</t>
  </si>
  <si>
    <t>Intereses Ptmo. 02-2023 F4985  Grupo Flexi de León S.A.P.I de CV</t>
  </si>
  <si>
    <t>Intereses Ptmo. 03-2023 F5083  Grupo Flexi de León S.A.P.I de CV</t>
  </si>
  <si>
    <t>Amortización VMN Costanera Center 19/60</t>
  </si>
  <si>
    <t>Amortización VMN Florida Center 18/60</t>
  </si>
  <si>
    <t>Gastos adminitracion 5% Mall del Centro Concepcion</t>
  </si>
  <si>
    <t>Fondo Mini Promosion Mall del Centro Concepcion</t>
  </si>
  <si>
    <t>Valor  Minimo Mall del Centro Concepcion</t>
  </si>
  <si>
    <t>Cuota Arquitectura Mall del Centro Concepcion</t>
  </si>
  <si>
    <t>Amortización VMN Concepcion Centro 1/60</t>
  </si>
  <si>
    <t>ZAMBON Y ZAMBON S A</t>
  </si>
  <si>
    <t>Invoice A5930915 Distribuidora Flexi</t>
  </si>
  <si>
    <t>Invoice A5930918 Distribuidora Flexi</t>
  </si>
  <si>
    <t>Invoice A5930919 Distribuidora Flexi</t>
  </si>
  <si>
    <t>Invoice A5930921 Distribuidora Flexi</t>
  </si>
  <si>
    <t>Invoice A5930922 Distribuidora Flexi</t>
  </si>
  <si>
    <t>Invoice A5930923 Distribuidora Flexi</t>
  </si>
  <si>
    <t>Invoice A5930928 Distribuidora Flexi</t>
  </si>
  <si>
    <t>Invoice A5930929 Distribuidora Flexi</t>
  </si>
  <si>
    <t>Invoice A5930935 Distribuidora Flexi</t>
  </si>
  <si>
    <t>Invoice A5930936 Distribuidora Flexi</t>
  </si>
  <si>
    <t>Invoice A5930937 Distribuidora Flexi</t>
  </si>
  <si>
    <t>Invoice A5930944 Distribuidora Flexi</t>
  </si>
  <si>
    <t>Invoice A5930945 Distribuidora Flexi</t>
  </si>
  <si>
    <t>Invoice A5931316 Distribuidora Flexi</t>
  </si>
  <si>
    <t>Invoice A5931552 Distribuidora Flexi</t>
  </si>
  <si>
    <t>Invoice A5931553 Distribuidora Flexi</t>
  </si>
  <si>
    <t>Invoice A5947997 Distribuidora Flexi</t>
  </si>
  <si>
    <t>Invoice A5965820 Distribuidora Flexi</t>
  </si>
  <si>
    <t>Invoice A5965821 Distribuidora Flexi</t>
  </si>
  <si>
    <t>Invoice A5965822 Distribuidora Flexi</t>
  </si>
  <si>
    <t>Invoice A5965823 Distribuidora Flexi</t>
  </si>
  <si>
    <t>Invoice A5965824 Distribuidora Flexi</t>
  </si>
  <si>
    <t>Invoice A5965825 Distribuidora Flexi</t>
  </si>
  <si>
    <t>Invoice A5965826 Distribuidora Flexi</t>
  </si>
  <si>
    <t>Invoice A5965827 Distribuidora Flexi</t>
  </si>
  <si>
    <t>Invoice A5965828 Distribuidora Flexi</t>
  </si>
  <si>
    <t>Invoice A5965929 Distribuidora Flexi</t>
  </si>
  <si>
    <t>Invoice A5965931 Distribuidora Flexi</t>
  </si>
  <si>
    <t>Invoice A5965933 Distribuidora Flexi</t>
  </si>
  <si>
    <t>Invoice A5965935 Distribuidora Flexi</t>
  </si>
  <si>
    <t>Invoice A5965937 Distribuidora Flexi</t>
  </si>
  <si>
    <t>Invoice A5965939 Distribuidora Flexi</t>
  </si>
  <si>
    <t>Invoice A5965941 Distribuidora Flexi</t>
  </si>
  <si>
    <t>Invoice A5965943 Distribuidora Flexi</t>
  </si>
  <si>
    <t>Invoice A5965946 Distribuidora Flexi</t>
  </si>
  <si>
    <t>Invoice A5965948 Distribuidora Flexi</t>
  </si>
  <si>
    <t>Invoice A5965950 Distribuidora Flexi</t>
  </si>
  <si>
    <t>Invoice A5965952 Distribuidora Flexi</t>
  </si>
  <si>
    <t>Invoice A5965954 Distribuidora Flexi</t>
  </si>
  <si>
    <t>Invoice A5965956 Distribuidora Flexi</t>
  </si>
  <si>
    <t>Invoice A5965958 Distribuidora Flexi</t>
  </si>
  <si>
    <t>Invoice A5965960 Distribuidora Flexi</t>
  </si>
  <si>
    <t>Invoice A5965962 Distribuidora Flexi</t>
  </si>
  <si>
    <t>Invoice A5965963 Distribuidora Flexi</t>
  </si>
  <si>
    <t>Invoice A5965965 Distribuidora Flexi</t>
  </si>
  <si>
    <t>Invoice A5965967 Distribuidora Flexi</t>
  </si>
  <si>
    <t>Invoice A5965968 Distribuidora Flexi</t>
  </si>
  <si>
    <t>Invoice A5965970 Distribuidora Flexi</t>
  </si>
  <si>
    <t>Invoice A5965971 Distribuidora Flexi</t>
  </si>
  <si>
    <t>Invoice A5965973 Distribuidora Flexi</t>
  </si>
  <si>
    <t>Invoice A5965975 Distribuidora Flexi</t>
  </si>
  <si>
    <t>Invoice A5965977 Distribuidora Flexi</t>
  </si>
  <si>
    <t>Invoice A5965979 Distribuidora Flexi</t>
  </si>
  <si>
    <t>Invoice A5965980 Distribuidora Flexi</t>
  </si>
  <si>
    <t>Invoice A5965982 Distribuidora Flexi</t>
  </si>
  <si>
    <t>Invoice A5965984 Distribuidora Flexi</t>
  </si>
  <si>
    <t>Invoice A5965985 Distribuidora Flexi</t>
  </si>
  <si>
    <t>Invoice A5965986 Distribuidora Flexi</t>
  </si>
  <si>
    <t>Invoice A5965987 Distribuidora Flexi</t>
  </si>
  <si>
    <t>Invoice A5965988 Distribuidora Flexi</t>
  </si>
  <si>
    <t>Invoice A5965989 Distribuidora Flexi</t>
  </si>
  <si>
    <t>Invoice A5965990 Distribuidora Flexi</t>
  </si>
  <si>
    <t>Invoice A5965991 Distribuidora Flexi</t>
  </si>
  <si>
    <t>Invoice A5965992 Distribuidora Flexi</t>
  </si>
  <si>
    <t>Invoice A5965993 Distribuidora Flexi</t>
  </si>
  <si>
    <t>Invoice A5965994 Distribuidora Flexi</t>
  </si>
  <si>
    <t>Invoice A5965995 Distribuidora Flexi</t>
  </si>
  <si>
    <t>Invoice A5965996 Distribuidora Flexi</t>
  </si>
  <si>
    <t>Invoice A5965997 Distribuidora Flexi</t>
  </si>
  <si>
    <t>Invoice A5965998 Distribuidora Flexi</t>
  </si>
  <si>
    <t>Invoice A5965999 Distribuidora Flexi</t>
  </si>
  <si>
    <t>Invoice A5966000 Distribuidora Flexi</t>
  </si>
  <si>
    <t>Invoice A5966001 Distribuidora Flexi</t>
  </si>
  <si>
    <t>Invoice A5966002 Distribuidora Flexi</t>
  </si>
  <si>
    <t>Invoice A5966003 Distribuidora Flexi</t>
  </si>
  <si>
    <t>Invoice A5966004 Distribuidora Flexi</t>
  </si>
  <si>
    <t>Invoice A5966005 Distribuidora Flexi</t>
  </si>
  <si>
    <t>Invoice A5966006 Distribuidora Flexi</t>
  </si>
  <si>
    <t>Invoice A5966007 Distribuidora Flexi</t>
  </si>
  <si>
    <t>Invoice A5966008 Distribuidora Flexi</t>
  </si>
  <si>
    <t>Invoice A5966009 Distribuidora Flexi</t>
  </si>
  <si>
    <t>Invoice A5966010 Distribuidora Flexi</t>
  </si>
  <si>
    <t>Invoice A5966011 Distribuidora Flexi</t>
  </si>
  <si>
    <t>Invoice A5966012 Distribuidora Flexi</t>
  </si>
  <si>
    <t>Invoice A5966013 Distribuidora Flexi</t>
  </si>
  <si>
    <t>Invoice A5966015 Distribuidora Flexi</t>
  </si>
  <si>
    <t>Invoice A5966018 Distribuidora Flexi</t>
  </si>
  <si>
    <t>Invoice A5966021 Distribuidora Flexi</t>
  </si>
  <si>
    <t>Invoice A5966023 Distribuidora Flexi</t>
  </si>
  <si>
    <t>Invoice A5966025 Distribuidora Flexi</t>
  </si>
  <si>
    <t>Invoice A5966026 Distribuidora Flexi</t>
  </si>
  <si>
    <t>Invoice A5966027 Distribuidora Flexi</t>
  </si>
  <si>
    <t>Invoice A5966028 Distribuidora Flexi</t>
  </si>
  <si>
    <t>Invoice A5966030 Distribuidora Flexi</t>
  </si>
  <si>
    <t>Invoice A5966031 Distribuidora Flexi</t>
  </si>
  <si>
    <t>Invoice A5966033 Distribuidora Flexi</t>
  </si>
  <si>
    <t>Invoice A5966035 Distribuidora Flexi</t>
  </si>
  <si>
    <t>Invoice A5966036 Distribuidora Flexi</t>
  </si>
  <si>
    <t>Invoice A5966037 Distribuidora Flexi</t>
  </si>
  <si>
    <t>Invoice A5966038 Distribuidora Flexi</t>
  </si>
  <si>
    <t>Invoice A5966039 Distribuidora Flexi</t>
  </si>
  <si>
    <t>Invoice A5966040 Distribuidora Flexi</t>
  </si>
  <si>
    <t>Invoice A5966041 Distribuidora Flexi</t>
  </si>
  <si>
    <t>Invoice A5966042 Distribuidora Flexi</t>
  </si>
  <si>
    <t>Invoice A5966043 Distribuidora Flexi</t>
  </si>
  <si>
    <t>Invoice A5966044 Distribuidora Flexi</t>
  </si>
  <si>
    <t>Invoice A5966045 Distribuidora Flexi</t>
  </si>
  <si>
    <t>Invoice A5966046 Distribuidora Flexi</t>
  </si>
  <si>
    <t>Invoice A5966047 Distribuidora Flexi</t>
  </si>
  <si>
    <t>Invoice A5966048 Distribuidora Flexi</t>
  </si>
  <si>
    <t>Invoice A5966049 Distribuidora Flexi</t>
  </si>
  <si>
    <t>Invoice A5966050 Distribuidora Flexi</t>
  </si>
  <si>
    <t>Invoice A5966051 Distribuidora Flexi</t>
  </si>
  <si>
    <t>Invoice A5966052 Distribuidora Flexi</t>
  </si>
  <si>
    <t>Invoice A5966053 Distribuidora Flexi</t>
  </si>
  <si>
    <t>Invoice A5966054 Distribuidora Flexi</t>
  </si>
  <si>
    <t>Invoice A5966055 Distribuidora Flexi</t>
  </si>
  <si>
    <t>Invoice A5966056 Distribuidora Flexi</t>
  </si>
  <si>
    <t>Invoice A5966057 Distribuidora Flexi</t>
  </si>
  <si>
    <t>Invoice A5966058 Distribuidora Flexi</t>
  </si>
  <si>
    <t>Invoice A5966059 Distribuidora Flexi</t>
  </si>
  <si>
    <t>Invoice A5966060 Distribuidora Flexi</t>
  </si>
  <si>
    <t>Invoice A5966061 Distribuidora Flexi</t>
  </si>
  <si>
    <t>Invoice A5966062 Distribuidora Flexi</t>
  </si>
  <si>
    <t>Invoice A5966063 Distribuidora Flexi</t>
  </si>
  <si>
    <t>Invoice A5966064 Distribuidora Flexi</t>
  </si>
  <si>
    <t>Invoice A5966065 Distribuidora Flexi</t>
  </si>
  <si>
    <t>Invoice A5966066 Distribuidora Flexi</t>
  </si>
  <si>
    <t>Invoice A5966067 Distribuidora Flexi</t>
  </si>
  <si>
    <t>Invoice A5966068 Distribuidora Flexi</t>
  </si>
  <si>
    <t>Invoice A5966069 Distribuidora Flexi</t>
  </si>
  <si>
    <t>Invoice A5966070 Distribuidora Flexi</t>
  </si>
  <si>
    <t>Invoice A5966071 Distribuidora Flexi</t>
  </si>
  <si>
    <t>Invoice A5966072 Distribuidora Flexi</t>
  </si>
  <si>
    <t>Invoice A5966073 Distribuidora Flexi</t>
  </si>
  <si>
    <t>Invoice A5966074 Distribuidora Flexi</t>
  </si>
  <si>
    <t>Invoice A5966075 Distribuidora Flexi</t>
  </si>
  <si>
    <t>Invoice A5966076 Distribuidora Flexi</t>
  </si>
  <si>
    <t>Invoice A5966077 Distribuidora Flexi</t>
  </si>
  <si>
    <t>Invoice A5966078 Distribuidora Flexi</t>
  </si>
  <si>
    <t>Invoice A5966079 Distribuidora Flexi</t>
  </si>
  <si>
    <t>Invoice A5966080 Distribuidora Flexi</t>
  </si>
  <si>
    <t>Invoice A5966081 Distribuidora Flexi</t>
  </si>
  <si>
    <t>Invoice A5966082 Distribuidora Flexi</t>
  </si>
  <si>
    <t>Invoice A5966083 Distribuidora Flexi</t>
  </si>
  <si>
    <t>Invoice A5966084 Distribuidora Flexi</t>
  </si>
  <si>
    <t>Invoice A5966085 Distribuidora Flexi</t>
  </si>
  <si>
    <t>Invoice A5966086 Distribuidora Flexi</t>
  </si>
  <si>
    <t>Invoice A5966087 Distribuidora Flexi</t>
  </si>
  <si>
    <t>Invoice A5966088 Distribuidora Flexi</t>
  </si>
  <si>
    <t>Invoice A5966089 Distribuidora Flexi</t>
  </si>
  <si>
    <t>Invoice A5966090 Distribuidora Flexi</t>
  </si>
  <si>
    <t>Invoice A5966091 Distribuidora Flexi</t>
  </si>
  <si>
    <t>Invoice A5966092 Distribuidora Flexi</t>
  </si>
  <si>
    <t>Invoice A5966093 Distribuidora Flexi</t>
  </si>
  <si>
    <t>Invoice A5966094 Distribuidora Flexi</t>
  </si>
  <si>
    <t>Invoice A5966095 Distribuidora Flexi</t>
  </si>
  <si>
    <t>Invoice A5966096 Distribuidora Flexi</t>
  </si>
  <si>
    <t>Invoice A5966097 Distribuidora Flexi</t>
  </si>
  <si>
    <t>Invoice A5966098 Distribuidora Flexi</t>
  </si>
  <si>
    <t>Invoice A5966099 Distribuidora Flexi</t>
  </si>
  <si>
    <t>Invoice A5966100 Distribuidora Flexi</t>
  </si>
  <si>
    <t>Invoice A5966101 Distribuidora Flexi</t>
  </si>
  <si>
    <t>Invoice A5966102 Distribuidora Flexi</t>
  </si>
  <si>
    <t>Invoice A5966103 Distribuidora Flexi</t>
  </si>
  <si>
    <t>Invoice A5966104 Distribuidora Flexi</t>
  </si>
  <si>
    <t>Invoice A5966105 Distribuidora Flexi</t>
  </si>
  <si>
    <t>Invoice A5966106 Distribuidora Flexi</t>
  </si>
  <si>
    <t>Invoice A5966107 Distribuidora Flexi</t>
  </si>
  <si>
    <t>Invoice A5966108 Distribuidora Flexi</t>
  </si>
  <si>
    <t>Invoice A5966109 Distribuidora Flexi</t>
  </si>
  <si>
    <t>Invoice A5966110 Distribuidora Flexi</t>
  </si>
  <si>
    <t>Invoice A5966111 Distribuidora Flexi</t>
  </si>
  <si>
    <t>Invoice A5966112 Distribuidora Flexi</t>
  </si>
  <si>
    <t>Invoice A5966113 Distribuidora Flexi</t>
  </si>
  <si>
    <t>Invoice A5966114 Distribuidora Flexi</t>
  </si>
  <si>
    <t>Invoice A5966115 Distribuidora Flexi</t>
  </si>
  <si>
    <t>Invoice A5966116 Distribuidora Flexi</t>
  </si>
  <si>
    <t>Invoice A5966117 Distribuidora Flexi</t>
  </si>
  <si>
    <t>Invoice A5966118 Distribuidora Flexi</t>
  </si>
  <si>
    <t>Invoice A5966119 Distribuidora Flexi</t>
  </si>
  <si>
    <t>Invoice A5966120 Distribuidora Flexi</t>
  </si>
  <si>
    <t>Invoice A5966121 Distribuidora Flexi</t>
  </si>
  <si>
    <t>Invoice A5966122 Distribuidora Flexi</t>
  </si>
  <si>
    <t>Invoice A5966123 Distribuidora Flexi</t>
  </si>
  <si>
    <t>Invoice A5966124 Distribuidora Flexi</t>
  </si>
  <si>
    <t>Invoice A5966125 Distribuidora Flexi</t>
  </si>
  <si>
    <t>Invoice A5966126 Distribuidora Flexi</t>
  </si>
  <si>
    <t>Invoice A5966127 Distribuidora Flexi</t>
  </si>
  <si>
    <t>Invoice A5966128 Distribuidora Flexi</t>
  </si>
  <si>
    <t>Invoice A5966129 Distribuidora Flexi</t>
  </si>
  <si>
    <t>Invoice A5966130 Distribuidora Flexi</t>
  </si>
  <si>
    <t>Invoice A5966131 Distribuidora Flexi</t>
  </si>
  <si>
    <t>Invoice A5966132 Distribuidora Flexi</t>
  </si>
  <si>
    <t>Invoice A5966133 Distribuidora Flexi</t>
  </si>
  <si>
    <t>Invoice A5966134 Distribuidora Flexi</t>
  </si>
  <si>
    <t>Invoice A5966135 Distribuidora Flexi</t>
  </si>
  <si>
    <t>Invoice A5966136 Distribuidora Flexi</t>
  </si>
  <si>
    <t>Invoice A5966137 Distribuidora Flexi</t>
  </si>
  <si>
    <t>Invoice A5966138 Distribuidora Flexi</t>
  </si>
  <si>
    <t>Invoice A5966139 Distribuidora Flexi</t>
  </si>
  <si>
    <t>Invoice A5966140 Distribuidora Flexi</t>
  </si>
  <si>
    <t>Invoice A5966141 Distribuidora Flexi</t>
  </si>
  <si>
    <t>Invoice A5966142 Distribuidora Flexi</t>
  </si>
  <si>
    <t>Invoice A5966143 Distribuidora Flexi</t>
  </si>
  <si>
    <t>Invoice A5966144 Distribuidora Flexi</t>
  </si>
  <si>
    <t>Invoice A5966145 Distribuidora Flexi</t>
  </si>
  <si>
    <t>Invoice A5966146 Distribuidora Flexi</t>
  </si>
  <si>
    <t>Invoice A5966147 Distribuidora Flexi</t>
  </si>
  <si>
    <t>Invoice A5966148 Distribuidora Flexi</t>
  </si>
  <si>
    <t>Invoice A5966149 Distribuidora Flexi</t>
  </si>
  <si>
    <t>Invoice A5966151 Distribuidora Flexi</t>
  </si>
  <si>
    <t>Invoice A5966152 Distribuidora Flexi</t>
  </si>
  <si>
    <t>Invoice A5966153 Distribuidora Flexi</t>
  </si>
  <si>
    <t>Invoice A5966154 Distribuidora Flexi</t>
  </si>
  <si>
    <t>Invoice A5966155 Distribuidora Flexi</t>
  </si>
  <si>
    <t>Invoice A5966156 Distribuidora Flexi</t>
  </si>
  <si>
    <t>Invoice A5966157 Distribuidora Flexi</t>
  </si>
  <si>
    <t>Invoice A5966158 Distribuidora Flexi</t>
  </si>
  <si>
    <t>Invoice A5966159 Distribuidora Flexi</t>
  </si>
  <si>
    <t>Invoice A5966160 Distribuidora Flexi</t>
  </si>
  <si>
    <t>Invoice A5966161 Distribuidora Flexi</t>
  </si>
  <si>
    <t>Invoice A5966162 Distribuidora Flexi</t>
  </si>
  <si>
    <t>Invoice A5966163 Distribuidora Flexi</t>
  </si>
  <si>
    <t>Invoice A5966164 Distribuidora Flexi</t>
  </si>
  <si>
    <t>Invoice A5966165 Distribuidora Flexi</t>
  </si>
  <si>
    <t>Invoice A5966166 Distribuidora Flexi</t>
  </si>
  <si>
    <t>Invoice A5966167 Distribuidora Flexi</t>
  </si>
  <si>
    <t>Invoice A5966168 Distribuidora Flexi</t>
  </si>
  <si>
    <t>Invoice A5966169 Distribuidora Flexi</t>
  </si>
  <si>
    <t>Invoice A5966170 Distribuidora Flexi</t>
  </si>
  <si>
    <t>Invoice A5966171 Distribuidora Flexi</t>
  </si>
  <si>
    <t>Invoice A5966172 Distribuidora Flexi</t>
  </si>
  <si>
    <t>Invoice A5966173 Distribuidora Flexi</t>
  </si>
  <si>
    <t>Invoice A5966174 Distribuidora Flexi</t>
  </si>
  <si>
    <t>Invoice A5966175 Distribuidora Flexi</t>
  </si>
  <si>
    <t>Invoice A5966176 Distribuidora Flexi</t>
  </si>
  <si>
    <t>Invoice A5966177 Distribuidora Flexi</t>
  </si>
  <si>
    <t>Invoice A5966178 Distribuidora Flexi</t>
  </si>
  <si>
    <t>Invoice A5966179 Distribuidora Flexi</t>
  </si>
  <si>
    <t>Invoice A5966180 Distribuidora Flexi</t>
  </si>
  <si>
    <t>Invoice A5966181 Distribuidora Flexi</t>
  </si>
  <si>
    <t>Invoice A5966182 Distribuidora Flexi</t>
  </si>
  <si>
    <t>Invoice A5966183 Distribuidora Flexi</t>
  </si>
  <si>
    <t>Invoice A5966184 Distribuidora Flexi</t>
  </si>
  <si>
    <t>Invoice A5966185 Distribuidora Flexi</t>
  </si>
  <si>
    <t>Invoice A5966186 Distribuidora Flexi</t>
  </si>
  <si>
    <t>Invoice A5966187 Distribuidora Flexi</t>
  </si>
  <si>
    <t>Invoice A5966188 Distribuidora Flexi</t>
  </si>
  <si>
    <t>Invoice A5966189 Distribuidora Flexi</t>
  </si>
  <si>
    <t>Invoice A5966190 Distribuidora Flexi</t>
  </si>
  <si>
    <t>Invoice A5966201 Distribuidora Flexi</t>
  </si>
  <si>
    <t>Invoice A5966211 Distribuidora Flexi</t>
  </si>
  <si>
    <t>Invoice A5966950 Distribuidora Flexi</t>
  </si>
  <si>
    <t>Invoice A5966951 Distribuidora Flexi</t>
  </si>
  <si>
    <t>Invoice A5966952 Distribuidora Flexi</t>
  </si>
  <si>
    <t>Invoice A5968196 Distribuidora Flexi</t>
  </si>
  <si>
    <t>Invoice A5968197 Distribuidora Flexi</t>
  </si>
  <si>
    <t>Invoice A5968198 Distribuidora Flexi</t>
  </si>
  <si>
    <t>Invoice A5968199 Distribuidora Flexi</t>
  </si>
  <si>
    <t>Invoice A5968200 Distribuidora Flexi</t>
  </si>
  <si>
    <t>Invoice A5968201 Distribuidora Flexi</t>
  </si>
  <si>
    <t>Invoice A5968202 Distribuidora Flexi</t>
  </si>
  <si>
    <t>Invoice A5968203 Distribuidora Flexi</t>
  </si>
  <si>
    <t>Invoice A5968204 Distribuidora Flexi</t>
  </si>
  <si>
    <t>Invoice A5968205 Distribuidora Flexi</t>
  </si>
  <si>
    <t>Invoice A5968206 Distribuidora Flexi</t>
  </si>
  <si>
    <t>Invoice A5968207 Distribuidora Flexi</t>
  </si>
  <si>
    <t>Invoice A5968208 Distribuidora Flexi</t>
  </si>
  <si>
    <t>Invoice A5968209 Distribuidora Flexi</t>
  </si>
  <si>
    <t>Invoice A5968211 Distribuidora Flexi</t>
  </si>
  <si>
    <t>Invoice A5968213 Distribuidora Flexi</t>
  </si>
  <si>
    <t>Invoice A5968214 Distribuidora Flexi</t>
  </si>
  <si>
    <t>Invoice A5968215 Distribuidora Flexi</t>
  </si>
  <si>
    <t>Invoice A5968216 Distribuidora Flexi</t>
  </si>
  <si>
    <t>Invoice A5968217 Distribuidora Flexi</t>
  </si>
  <si>
    <t>Invoice A5968218 Distribuidora Flexi</t>
  </si>
  <si>
    <t>Invoice A5968219 Distribuidora Flexi</t>
  </si>
  <si>
    <t>Invoice A5968220 Distribuidora Flexi</t>
  </si>
  <si>
    <t>Invoice A5968221 Distribuidora Flexi</t>
  </si>
  <si>
    <t>Invoice A5968222 Distribuidora Flexi</t>
  </si>
  <si>
    <t>Invoice A5968223 Distribuidora Flexi</t>
  </si>
  <si>
    <t>Invoice A5968224 Distribuidora Flexi</t>
  </si>
  <si>
    <t>Invoice A5968225 Distribuidora Flexi</t>
  </si>
  <si>
    <t>Invoice A5968226 Distribuidora Flexi</t>
  </si>
  <si>
    <t>Invoice A5968227 Distribuidora Flexi</t>
  </si>
  <si>
    <t>Invoice A5968229 Distribuidora Flexi</t>
  </si>
  <si>
    <t>Invoice A5968232 Distribuidora Flexi</t>
  </si>
  <si>
    <t>Invoice A5968235 Distribuidora Flexi</t>
  </si>
  <si>
    <t>Invoice A5968238 Distribuidora Flexi</t>
  </si>
  <si>
    <t>Invoice A5968241 Distribuidora Flexi</t>
  </si>
  <si>
    <t>Invoice A5968243 Distribuidora Flexi</t>
  </si>
  <si>
    <t>Invoice A5968245 Distribuidora Flexi</t>
  </si>
  <si>
    <t>Invoice A5968247 Distribuidora Flexi</t>
  </si>
  <si>
    <t>Invoice A5968249 Distribuidora Flexi</t>
  </si>
  <si>
    <t>Invoice A5968251 Distribuidora Flexi</t>
  </si>
  <si>
    <t>Invoice A5968252 Distribuidora Flexi</t>
  </si>
  <si>
    <t>Invoice A5968254 Distribuidora Flexi</t>
  </si>
  <si>
    <t>Invoice A5968256 Distribuidora Flexi</t>
  </si>
  <si>
    <t>Invoice A5968258 Distribuidora Flexi</t>
  </si>
  <si>
    <t>Invoice A5968260 Distribuidora Flexi</t>
  </si>
  <si>
    <t>Invoice A5968262 Distribuidora Flexi</t>
  </si>
  <si>
    <t>Invoice A5968264 Distribuidora Flexi</t>
  </si>
  <si>
    <t>Invoice A5968266 Distribuidora Flexi</t>
  </si>
  <si>
    <t>Invoice A5968269 Distribuidora Flexi</t>
  </si>
  <si>
    <t>Invoice A5968271 Distribuidora Flexi</t>
  </si>
  <si>
    <t>Invoice A5968273 Distribuidora Flexi</t>
  </si>
  <si>
    <t>Invoice A5968275 Distribuidora Flexi</t>
  </si>
  <si>
    <t>Invoice A5968277 Distribuidora Flexi</t>
  </si>
  <si>
    <t>Invoice A5968279 Distribuidora Flexi</t>
  </si>
  <si>
    <t>Invoice A5968281 Distribuidora Flexi</t>
  </si>
  <si>
    <t>Invoice A5968283 Distribuidora Flexi</t>
  </si>
  <si>
    <t>Invoice A5968285 Distribuidora Flexi</t>
  </si>
  <si>
    <t>Invoice A5968287 Distribuidora Flexi</t>
  </si>
  <si>
    <t>Invoice A5968289 Distribuidora Flexi</t>
  </si>
  <si>
    <t>Invoice A5968291 Distribuidora Flexi</t>
  </si>
  <si>
    <t>Invoice A5968293 Distribuidora Flexi</t>
  </si>
  <si>
    <t>Invoice A5968295 Distribuidora Flexi</t>
  </si>
  <si>
    <t>Invoice A5968297 Distribuidora Flexi</t>
  </si>
  <si>
    <t>Invoice A5968299 Distribuidora Flexi</t>
  </si>
  <si>
    <t>Invoice A5968301 Distribuidora Flexi</t>
  </si>
  <si>
    <t>Invoice A5968303 Distribuidora Flexi</t>
  </si>
  <si>
    <t>Invoice A5968306 Distribuidora Flexi</t>
  </si>
  <si>
    <t>Invoice A5968308 Distribuidora Flexi</t>
  </si>
  <si>
    <t>Invoice A5968310 Distribuidora Flexi</t>
  </si>
  <si>
    <t>Invoice A5968312 Distribuidora Flexi</t>
  </si>
  <si>
    <t>Invoice A5968314 Distribuidora Flexi</t>
  </si>
  <si>
    <t>Invoice A5968316 Distribuidora Flexi</t>
  </si>
  <si>
    <t>Invoice A5968318 Distribuidora Flexi</t>
  </si>
  <si>
    <t>Invoice A5968320 Distribuidora Flexi</t>
  </si>
  <si>
    <t>Invoice A5968322 Distribuidora Flexi</t>
  </si>
  <si>
    <t>Invoice A5968324 Distribuidora Flexi</t>
  </si>
  <si>
    <t>Invoice A5968326 Distribuidora Flexi</t>
  </si>
  <si>
    <t>Invoice A5968328 Distribuidora Flexi</t>
  </si>
  <si>
    <t>Invoice A5968330 Distribuidora Flexi</t>
  </si>
  <si>
    <t>Invoice A5968332 Distribuidora Flexi</t>
  </si>
  <si>
    <t>Invoice A5968334 Distribuidora Flexi</t>
  </si>
  <si>
    <t>Invoice A5968336 Distribuidora Flexi</t>
  </si>
  <si>
    <t>Invoice A5968339 Distribuidora Flexi</t>
  </si>
  <si>
    <t>Invoice A5968342 Distribuidora Flexi</t>
  </si>
  <si>
    <t>Invoice A5968345 Distribuidora Flexi</t>
  </si>
  <si>
    <t>Invoice A5968348 Distribuidora Flexi</t>
  </si>
  <si>
    <t>Invoice A5968351 Distribuidora Flexi</t>
  </si>
  <si>
    <t>Invoice A5968354 Distribuidora Flexi</t>
  </si>
  <si>
    <t>Invoice A5968357 Distribuidora Flexi</t>
  </si>
  <si>
    <t>Invoice A5968360 Distribuidora Flexi</t>
  </si>
  <si>
    <t>Invoice A5968362 Distribuidora Flexi</t>
  </si>
  <si>
    <t>Invoice A5968364 Distribuidora Flexi</t>
  </si>
  <si>
    <t>Invoice A5968366 Distribuidora Flexi</t>
  </si>
  <si>
    <t>Invoice A5968368 Distribuidora Flexi</t>
  </si>
  <si>
    <t>Invoice A5968370 Distribuidora Flexi</t>
  </si>
  <si>
    <t>Invoice A5968372 Distribuidora Flexi</t>
  </si>
  <si>
    <t>Invoice A5968375 Distribuidora Flexi</t>
  </si>
  <si>
    <t>Invoice A5968377 Distribuidora Flexi</t>
  </si>
  <si>
    <t>Invoice A5968379 Distribuidora Flexi</t>
  </si>
  <si>
    <t>Invoice A5968381 Distribuidora Flexi</t>
  </si>
  <si>
    <t>Invoice A5968383 Distribuidora Flexi</t>
  </si>
  <si>
    <t>Invoice A5968385 Distribuidora Flexi</t>
  </si>
  <si>
    <t>Invoice A5968388 Distribuidora Flexi</t>
  </si>
  <si>
    <t>Invoice A5968621 Distribuidora Flexi</t>
  </si>
  <si>
    <t>Invoice A5968778 Distribuidora Flexi</t>
  </si>
  <si>
    <t>Invoice A5968779 Distribuidora Flexi</t>
  </si>
  <si>
    <t>Invoice A5968780 Distribuidora Flexi</t>
  </si>
  <si>
    <t>Invoice A5968781 Distribuidora Flexi</t>
  </si>
  <si>
    <t>Invoice A5968782 Distribuidora Flexi</t>
  </si>
  <si>
    <t>Invoice A5968783 Distribuidora Flexi</t>
  </si>
  <si>
    <t>Invoice A5968784 Distribuidora Flexi</t>
  </si>
  <si>
    <t>Invoice A5968785 Distribuidora Flexi</t>
  </si>
  <si>
    <t>IMPORTADORA Y EXPORTADORA LIFS LTDA. PP01-49VL5F MONITOR VIDEOWALL LG 49VL5F</t>
  </si>
  <si>
    <t>MARCIA ALEJANDRA LIZANA GUERRERO SERVICIO DE ASESORIA / JEFE PROYECTO TI</t>
  </si>
  <si>
    <t>KREATINA SPA  trabajos tienda estado  F1839</t>
  </si>
  <si>
    <t>KREATINA SPA  trabajos tienda estado  F1867</t>
  </si>
  <si>
    <t>KREATINA SPA  trabajos tienda estado  F1919</t>
  </si>
  <si>
    <t>KREATINA SPA  trabajos tienda estado  F1933</t>
  </si>
  <si>
    <t>MARCIA LIZANA implementacion nuevo sistema bh56-57-58-59-60</t>
  </si>
  <si>
    <t>VERISURE CHILE SPA  implementacion tienda estado</t>
  </si>
  <si>
    <t>BAP OBRAS CIVILES SPA Obras Estado y Barros Arana</t>
  </si>
  <si>
    <t>Cristian Oyarzun diseño estructural santiago centro actvacion bh247</t>
  </si>
  <si>
    <t>Cristian Oyarzun diseño estructural santiago centro actvacion bh248</t>
  </si>
  <si>
    <t>SUELDOS BARROS ARANA</t>
  </si>
  <si>
    <t>TELEFONICA CHILE S.A.</t>
  </si>
  <si>
    <t>IMP. Y EXP DE PROD TECNOLOGICOS F/109169 AS-8520 Lector CCD Inalambrico 1D BT USB</t>
  </si>
  <si>
    <t>IMPORTADORA Y EXPORTADORA LIFS LTDA F5819</t>
  </si>
  <si>
    <t>MARCIA LIZANA implementacion nuevo sistema bh63</t>
  </si>
  <si>
    <t>DEPARTAMENTAL</t>
  </si>
  <si>
    <t>Invoice A5984828 Distribuidora Flexi</t>
  </si>
  <si>
    <t>Invoice A5985675 Distribuidora Flexi</t>
  </si>
  <si>
    <t>Invoice A6025826 Distribuidora Flexi</t>
  </si>
  <si>
    <t>Invoice A6025827 Distribuidora Flexi</t>
  </si>
  <si>
    <t>Invoice A6025828 Distribuidora Flexi</t>
  </si>
  <si>
    <t>Invoice A6025829 Distribuidora Flexi</t>
  </si>
  <si>
    <t>Invoice A6025830 Distribuidora Flexi</t>
  </si>
  <si>
    <t>Invoice A6025831 Distribuidora Flexi</t>
  </si>
  <si>
    <t>Invoice A6025832 Distribuidora Flexi</t>
  </si>
  <si>
    <t>Invoice A6025833 Distribuidora Flexi</t>
  </si>
  <si>
    <t>Invoice A6025834 Distribuidora Flexi</t>
  </si>
  <si>
    <t>Invoice A6025835 Distribuidora Flexi</t>
  </si>
  <si>
    <t>Invoice A6025836 Distribuidora Flexi</t>
  </si>
  <si>
    <t>Invoice A6026224 Distribuidora Flexi</t>
  </si>
  <si>
    <t>Invoice A6026225 Distribuidora Flexi</t>
  </si>
  <si>
    <t>Invoice A6026226 Distribuidora Flexi</t>
  </si>
  <si>
    <t>Invoice A6026227 Distribuidora Flexi</t>
  </si>
  <si>
    <t>Invoice A6026228 Distribuidora Flexi</t>
  </si>
  <si>
    <t>Invoice A6026229 Distribuidora Flexi</t>
  </si>
  <si>
    <t>Invoice A6026230 Distribuidora Flexi</t>
  </si>
  <si>
    <t>Invoice A6026231 Distribuidora Flexi</t>
  </si>
  <si>
    <t>Invoice A6026232 Distribuidora Flexi</t>
  </si>
  <si>
    <t>Invoice A6026233 Distribuidora Flexi</t>
  </si>
  <si>
    <t>Invoice A6026234 Distribuidora Flexi</t>
  </si>
  <si>
    <t>Invoice A6026235 Distribuidora Flexi</t>
  </si>
  <si>
    <t>Invoice A6026236 Distribuidora Flexi</t>
  </si>
  <si>
    <t>Invoice A6026237 Distribuidora Flexi</t>
  </si>
  <si>
    <t>Invoice A6026238 Distribuidora Flexi</t>
  </si>
  <si>
    <t>Invoice A6026273 Distribuidora Flexi</t>
  </si>
  <si>
    <t>Invoice A6026274 Distribuidora Flexi</t>
  </si>
  <si>
    <t>Invoice A6026275 Distribuidora Flexi</t>
  </si>
  <si>
    <t>Invoice A6026276 Distribuidora Flexi</t>
  </si>
  <si>
    <t>Invoice A6026277 Distribuidora Flexi</t>
  </si>
  <si>
    <t>Invoice A6027909 Distribuidora Flexi</t>
  </si>
  <si>
    <t>Invoice A6027910 Distribuidora Flexi</t>
  </si>
  <si>
    <t>Invoice A6027911 Distribuidora Flexi</t>
  </si>
  <si>
    <t>Invoice A6027912 Distribuidora Flexi</t>
  </si>
  <si>
    <t>Invoice A6027913 Distribuidora Flexi</t>
  </si>
  <si>
    <t>Invoice A6027914 Distribuidora Flexi</t>
  </si>
  <si>
    <t>Invoice A6027915 Distribuidora Flexi</t>
  </si>
  <si>
    <t>Invoice A6027916 Distribuidora Flexi</t>
  </si>
  <si>
    <t>Invoice A6027917 Distribuidora Flexi</t>
  </si>
  <si>
    <t>Invoice A6027918 Distribuidora Flexi</t>
  </si>
  <si>
    <t>Invoice A6027919 Distribuidora Flexi</t>
  </si>
  <si>
    <t>Intereses Ptmo. 04-2023 F5147  Grupo Flexi de León S.A.P.I de CV</t>
  </si>
  <si>
    <t>FONDO FIJO CONCEPCION CENTRO</t>
  </si>
  <si>
    <t>Amortización VMN Costanera Center 20/60</t>
  </si>
  <si>
    <t>Amortización VMN Florida Center 19/60</t>
  </si>
  <si>
    <t>Amortización VMN Concepcion Centro 2/60</t>
  </si>
  <si>
    <t>BAP OBRAS CIVILIE saldo (construccion Local Centro Santiago y centro concepciÃ³n.) F/142</t>
  </si>
  <si>
    <t>COCO DISEÑO Honorarios proyecto de (Arquitectura Flexi Santiago Centro) CAPEX ESTADO F36</t>
  </si>
  <si>
    <t>COCO DISEÑO Honorarios proyecto de (Arquitectura Flexi Santiago Centro) CAPEX ESTADO F35</t>
  </si>
  <si>
    <t>Amortización VMN Costanera Center 21/60</t>
  </si>
  <si>
    <t>Amortización VMN Florida Center 20/60</t>
  </si>
  <si>
    <t>Amortización VMN Concepcion Centro 3/60</t>
  </si>
  <si>
    <t>Intereses Ptmo. 05-2023 F5216  Grupo Flexi de León S.A.P.I de CV</t>
  </si>
  <si>
    <t>Invoice  A-06032276 Distribuidora Flexi</t>
  </si>
  <si>
    <t>Invoice  A-06032277 Distribuidora Flexi</t>
  </si>
  <si>
    <t>Invoice  A-06032278 Distribuidora Flexi</t>
  </si>
  <si>
    <t>Invoice  A-06032279 Distribuidora Flexi</t>
  </si>
  <si>
    <t>Invoice  A-06032280 Distribuidora Flexi</t>
  </si>
  <si>
    <t>Invoice  A-06032281 Distribuidora Flexi</t>
  </si>
  <si>
    <t>Invoice  A-06032282 Distribuidora Flexi</t>
  </si>
  <si>
    <t>Invoice  A-06032283 Distribuidora Flexi</t>
  </si>
  <si>
    <t>Invoice  A-06032284 Distribuidora Flexi</t>
  </si>
  <si>
    <t>Invoice  A-06032285 Distribuidora Flexi</t>
  </si>
  <si>
    <t>Invoice  A-06032286 Distribuidora Flexi</t>
  </si>
  <si>
    <t>Invoice  A-06090872 Distribuidora Flexi</t>
  </si>
  <si>
    <t>Invoice  A-06090873 Distribuidora Flexi</t>
  </si>
  <si>
    <t>Invoice  A-06090874 Distribuidora Flexi</t>
  </si>
  <si>
    <t>Invoice  A-06090875 Distribuidora Flexi</t>
  </si>
  <si>
    <t>Invoice  A-06090876 Distribuidora Flexi</t>
  </si>
  <si>
    <t>Invoice  A-06090877 Distribuidora Flexi</t>
  </si>
  <si>
    <t>Invoice  A-06090878 Distribuidora Flexi</t>
  </si>
  <si>
    <t>Invoice  A-06090879 Distribuidora Flexi</t>
  </si>
  <si>
    <t>Invoice  A-06090882 Distribuidora Flexi</t>
  </si>
  <si>
    <t>Invoice  A-06090922 Distribuidora Flexi</t>
  </si>
  <si>
    <t>Invoice  A-06090926 Distribuidora Flexi</t>
  </si>
  <si>
    <t>Invoice  A-06090927 Distribuidora Flexi</t>
  </si>
  <si>
    <t>Invoice  A-06090928 Distribuidora Flexi</t>
  </si>
  <si>
    <t>Invoice  A-06090929 Distribuidora Flexi</t>
  </si>
  <si>
    <t>Invoice  A-06090933 Distribuidora Flexi</t>
  </si>
  <si>
    <t>Invoice  A-06090937 Distribuidora Flexi</t>
  </si>
  <si>
    <t>Invoice  A-06090942 Distribuidora Flexi</t>
  </si>
  <si>
    <t>Invoice  A-06090949 Distribuidora Flexi</t>
  </si>
  <si>
    <t>Invoice  A-06094597 Distribuidora Flexi</t>
  </si>
  <si>
    <t>Invoice  A-06094627 Distribuidora Flexi</t>
  </si>
  <si>
    <t>Invoice  A-06096303 Distribuidora Flexi</t>
  </si>
  <si>
    <t>Invoice  A-06096304 Distribuidora Flexi</t>
  </si>
  <si>
    <t>Invoice  A-06030112 Distribuidora Flexi</t>
  </si>
  <si>
    <t>Invoice  b-252959 Distribuidora Flexi</t>
  </si>
  <si>
    <t>MERCADERIA EN TRANSITO</t>
  </si>
  <si>
    <t>LICENCIAS SOTWARE RENTAS</t>
  </si>
  <si>
    <t>GASTO VENTA CANAL MAYORISTA</t>
  </si>
  <si>
    <t>GASTOS CEDIS</t>
  </si>
  <si>
    <t>Invoice  A-06126063 Distribuidora Flexi</t>
  </si>
  <si>
    <t>Invoice  A-06126064 Distribuidora Flexi</t>
  </si>
  <si>
    <t>Invoice  A-06126065 Distribuidora Flexi</t>
  </si>
  <si>
    <t>Invoice  A-06126066 Distribuidora Flexi</t>
  </si>
  <si>
    <t>Invoice  A-06126067 Distribuidora Flexi</t>
  </si>
  <si>
    <t>Invoice  A-06126068 Distribuidora Flexi</t>
  </si>
  <si>
    <t>Invoice  A-06126069 Distribuidora Flexi</t>
  </si>
  <si>
    <t>Invoice  A-06126070 Distribuidora Flexi</t>
  </si>
  <si>
    <t>Invoice  A-06126071 Distribuidora Flexi</t>
  </si>
  <si>
    <t>Invoice  A-06126072 Distribuidora Flexi</t>
  </si>
  <si>
    <t>Invoice  A-06126111 Distribuidora Flexi</t>
  </si>
  <si>
    <t>Invoice  A-06126112 Distribuidora Flexi</t>
  </si>
  <si>
    <t>Invoice  A-06126113 Distribuidora Flexi</t>
  </si>
  <si>
    <t>Invoice  A-06126114 Distribuidora Flexi</t>
  </si>
  <si>
    <t>Invoice  A-06126115 Distribuidora Flexi</t>
  </si>
  <si>
    <t>Invoice  A-06126116 Distribuidora Flexi</t>
  </si>
  <si>
    <t>Invoice  A-06126117 Distribuidora Flexi</t>
  </si>
  <si>
    <t>Invoice  A-06126118 Distribuidora Flexi</t>
  </si>
  <si>
    <t>Invoice  A-06126119 Distribuidora Flexi</t>
  </si>
  <si>
    <t>Invoice  A-06126121 Distribuidora Flexi</t>
  </si>
  <si>
    <t>Invoice  A-06126122 Distribuidora Flexi</t>
  </si>
  <si>
    <t>Invoice  A-06126892 Distribuidora Flexi</t>
  </si>
  <si>
    <t>Invoice  A-06126993 Distribuidora Flexi</t>
  </si>
  <si>
    <t>Invoice  A-06126995 Distribuidora Flexi</t>
  </si>
  <si>
    <t>Invoice  A-06130546 Distribuidora Flexi</t>
  </si>
  <si>
    <t>Invoice  A-06130563 Distribuidora Flexi</t>
  </si>
  <si>
    <t>Invoice  A-06130567 Distribuidora Flexi</t>
  </si>
  <si>
    <t>Invoice  A-06140271 Distribuidora Flexi</t>
  </si>
  <si>
    <t>Amortización VMN Florida Center 21/60</t>
  </si>
  <si>
    <t>Amortización VMN Concepcion Centro 4/60</t>
  </si>
  <si>
    <t>Amortización VMN Costanera Center 22/60</t>
  </si>
  <si>
    <t>BODEGA CENTRAL</t>
  </si>
  <si>
    <t>FLEXI ARAUCO MAIPU</t>
  </si>
  <si>
    <t>FLEXI BARROS ARANA</t>
  </si>
  <si>
    <t>FLEXI COSTANERA CENTER</t>
  </si>
  <si>
    <t>FLEXI EL TREBOL</t>
  </si>
  <si>
    <t>FLEXI ESTADO</t>
  </si>
  <si>
    <t>FLEXI FLORIDA CENTER</t>
  </si>
  <si>
    <t>FLEXI PLAZA LOS DOMINICOS</t>
  </si>
  <si>
    <t>FLEXI PLAZA VESPUCIO</t>
  </si>
  <si>
    <t>FLEXI ECOMMERCE</t>
  </si>
  <si>
    <t>COM. Y VTA SART. OFICINA SPA F130</t>
  </si>
  <si>
    <t>MARCIA LIZANA implementacion nuevo sistema bh66 JULIO</t>
  </si>
  <si>
    <t>MARCIA LIZANA implementacion nuevo sistema bh64 JUNIO</t>
  </si>
  <si>
    <t>BAP OBRAS CIVILES SPA F146 asientos (confecciÃ³n de asientos local costanera center</t>
  </si>
  <si>
    <t>BAP OBRAS CIVILES SPA F150 motor (cambio de motor cortina estado)</t>
  </si>
  <si>
    <t>Intereses Ptmo. 06-2023 F5300  Grupo Flexi de León S.A.P.I de CV</t>
  </si>
  <si>
    <t>VENTAS CON FACTURA</t>
  </si>
  <si>
    <t>Amortización VMN Costanera Center 23/60</t>
  </si>
  <si>
    <t>Amortización VMN Florida Center 22/60</t>
  </si>
  <si>
    <t>Amortización VMN Concepcion Centro 5/60</t>
  </si>
  <si>
    <t>ECOMMERCE</t>
  </si>
  <si>
    <t>Ecommerce</t>
  </si>
  <si>
    <t>Invoice  A-06184648 Distribuidora Flexi</t>
  </si>
  <si>
    <t>Invoice  A-06154030 Distribuidora Flexi</t>
  </si>
  <si>
    <t>Invoice  A-06154031 Distribuidora Flexi</t>
  </si>
  <si>
    <t>Invoice  A-06154032 Distribuidora Flexi</t>
  </si>
  <si>
    <t>Invoice  A-06154033 Distribuidora Flexi</t>
  </si>
  <si>
    <t>Invoice  A-06154034 Distribuidora Flexi</t>
  </si>
  <si>
    <t>Invoice  A-06154035 Distribuidora Flexi</t>
  </si>
  <si>
    <t>Invoice  A-06154036 Distribuidora Flexi</t>
  </si>
  <si>
    <t>Invoice  A-06154037 Distribuidora Flexi</t>
  </si>
  <si>
    <t>Invoice  A-06154038 Distribuidora Flexi</t>
  </si>
  <si>
    <t>Invoice  A-06154039 Distribuidora Flexi</t>
  </si>
  <si>
    <t>Invoice  A-06154040 Distribuidora Flexi</t>
  </si>
  <si>
    <t>Invoice  A-06154052 Distribuidora Flexi</t>
  </si>
  <si>
    <t>Invoice  A-06154053 Distribuidora Flexi</t>
  </si>
  <si>
    <t>Invoice  A-06154055 Distribuidora Flexi</t>
  </si>
  <si>
    <t>Invoice  A-06154056 Distribuidora Flexi</t>
  </si>
  <si>
    <t>Invoice  A-06154057 Distribuidora Flexi</t>
  </si>
  <si>
    <t>Invoice  A-06154058 Distribuidora Flexi</t>
  </si>
  <si>
    <t>Invoice  A-06154060 Distribuidora Flexi</t>
  </si>
  <si>
    <t>Invoice  A-06154062 Distribuidora Flexi</t>
  </si>
  <si>
    <t>Invoice  A-06154063 Distribuidora Flexi</t>
  </si>
  <si>
    <t>Invoice  A-06186631 Distribuidora Flexi</t>
  </si>
  <si>
    <t>Invoice  A-06186633 Distribuidora Flexi</t>
  </si>
  <si>
    <t>Invoice  A-06186634 Distribuidora Flexi</t>
  </si>
  <si>
    <t>Invoice  A-06186635 Distribuidora Flexi</t>
  </si>
  <si>
    <t>Invoice  A-06186636 Distribuidora Flexi</t>
  </si>
  <si>
    <t>Invoice  A-06186637 Distribuidora Flexi</t>
  </si>
  <si>
    <t>Invoice  A-06186638 Distribuidora Flexi</t>
  </si>
  <si>
    <t>Invoice  A-06186639 Distribuidora Flexi</t>
  </si>
  <si>
    <t>Invoice  A-06186640 Distribuidora Flexi</t>
  </si>
  <si>
    <t>Invoice  A-06186641 Distribuidora Flexi</t>
  </si>
  <si>
    <t>Invoice  A-06186642 Distribuidora Flexi</t>
  </si>
  <si>
    <t>Invoice  A-06186702 Distribuidora Flexi</t>
  </si>
  <si>
    <t>Invoice  A-06186703 Distribuidora Flexi</t>
  </si>
  <si>
    <t>Invoice  A-06186704 Distribuidora Flexi</t>
  </si>
  <si>
    <t>Invoice  A-06186705 Distribuidora Flexi</t>
  </si>
  <si>
    <t>Invoice  A-06186706 Distribuidora Flexi</t>
  </si>
  <si>
    <t>Invoice  A-06186707 Distribuidora Flexi</t>
  </si>
  <si>
    <t>Invoice  A-06186708 Distribuidora Flexi</t>
  </si>
  <si>
    <t>Invoice  A-06186709 Distribuidora Flexi</t>
  </si>
  <si>
    <t>Invoice  A-06186710 Distribuidora Flexi</t>
  </si>
  <si>
    <t>Invoice  A-06186711 Distribuidora Flexi</t>
  </si>
  <si>
    <t>Invoice  A-06186712 Distribuidora Flexi</t>
  </si>
  <si>
    <t>MARCIA LIZANA implementacion nuevo sistema bh67 AGOSTO</t>
  </si>
  <si>
    <t>Intereses Ptmo. 07-2023 F5390  Grupo Flexi de León S.A.P.I de CV</t>
  </si>
  <si>
    <t>SUMINISTROS VISUAL</t>
  </si>
  <si>
    <t>Análisis y Detalle de Cuentas suministros Visual</t>
  </si>
  <si>
    <t>TOTAL SUMINISTROS VISUAL</t>
  </si>
  <si>
    <t>1.1.01.101</t>
  </si>
  <si>
    <t>EFECTIVO EN TRANSITO</t>
  </si>
  <si>
    <t>1.1.01.203</t>
  </si>
  <si>
    <t>1.1.01.204</t>
  </si>
  <si>
    <t>1.1.01.205</t>
  </si>
  <si>
    <t>1.1.01.206</t>
  </si>
  <si>
    <t>1.1.01.207</t>
  </si>
  <si>
    <t>1.1.01.208</t>
  </si>
  <si>
    <t>1.1.01.209</t>
  </si>
  <si>
    <t>1.1.01.301</t>
  </si>
  <si>
    <t>1.1.01.302</t>
  </si>
  <si>
    <t>1.1.02.106</t>
  </si>
  <si>
    <t>1.1.03.201</t>
  </si>
  <si>
    <t>1.1.04.102</t>
  </si>
  <si>
    <t>1.1.04.104</t>
  </si>
  <si>
    <t>1.1.04.105</t>
  </si>
  <si>
    <t>1.1.04.106</t>
  </si>
  <si>
    <t>1.1.04.109</t>
  </si>
  <si>
    <t>1.1.05.403</t>
  </si>
  <si>
    <t>1.1.05.405</t>
  </si>
  <si>
    <t>1.1.06.401</t>
  </si>
  <si>
    <t>1.1.06.801</t>
  </si>
  <si>
    <t>1.1.06.802</t>
  </si>
  <si>
    <t>1.1.09.101</t>
  </si>
  <si>
    <t>1.1.09.103</t>
  </si>
  <si>
    <t>1.2.02.101</t>
  </si>
  <si>
    <t>1.2.02.401</t>
  </si>
  <si>
    <t>1.2.02.402</t>
  </si>
  <si>
    <t>1.2.02.904</t>
  </si>
  <si>
    <t>1.2.02.905</t>
  </si>
  <si>
    <t>2.1.01.203</t>
  </si>
  <si>
    <t>PRESTAMOS NO BANCARIOS MONTO A</t>
  </si>
  <si>
    <t>2.1.01.601</t>
  </si>
  <si>
    <t>2.1.02.102</t>
  </si>
  <si>
    <t>2.1.02.103</t>
  </si>
  <si>
    <t>2.1.02.401</t>
  </si>
  <si>
    <t>2.1.02.503</t>
  </si>
  <si>
    <t>2.1.02.604</t>
  </si>
  <si>
    <t>2.1.02.605</t>
  </si>
  <si>
    <t>2.1.05.101</t>
  </si>
  <si>
    <t>2.1.05.102</t>
  </si>
  <si>
    <t>2.1.05.103</t>
  </si>
  <si>
    <t>2.1.05.106</t>
  </si>
  <si>
    <t>2.1.06.103</t>
  </si>
  <si>
    <t>2.3.01.101</t>
  </si>
  <si>
    <t>2.3.02.101</t>
  </si>
  <si>
    <t>3.1.02.101</t>
  </si>
  <si>
    <t>3.1.02.102</t>
  </si>
  <si>
    <t>3.1.02.103</t>
  </si>
  <si>
    <t>3.1.02.104</t>
  </si>
  <si>
    <t>3.1.02.105</t>
  </si>
  <si>
    <t>3.1.02.108</t>
  </si>
  <si>
    <t>3.1.02.113</t>
  </si>
  <si>
    <t>COSTOS OPERATIVOS - INTERNACIO</t>
  </si>
  <si>
    <t>3.1.05.101</t>
  </si>
  <si>
    <t>3.1.05.102</t>
  </si>
  <si>
    <t>3.1.05.103</t>
  </si>
  <si>
    <t>3.1.05.104</t>
  </si>
  <si>
    <t>3.1.05.107</t>
  </si>
  <si>
    <t>3.1.05.110</t>
  </si>
  <si>
    <t>3.1.05.111</t>
  </si>
  <si>
    <t>3.1.05.114</t>
  </si>
  <si>
    <t>HORAS EXTRAS DOMINICAL</t>
  </si>
  <si>
    <t>3.1.05.119</t>
  </si>
  <si>
    <t>3.1.05.121</t>
  </si>
  <si>
    <t>3.1.05.122</t>
  </si>
  <si>
    <t>3.1.05.124</t>
  </si>
  <si>
    <t>3.1.05.125</t>
  </si>
  <si>
    <t>3.1.05.126</t>
  </si>
  <si>
    <t>3.1.05.127</t>
  </si>
  <si>
    <t>3.1.05.128</t>
  </si>
  <si>
    <t>3.1.05.129</t>
  </si>
  <si>
    <t>3.1.05.130</t>
  </si>
  <si>
    <t>RE HORAS EXTRAS DOMINICAL</t>
  </si>
  <si>
    <t>3.1.05.132</t>
  </si>
  <si>
    <t>3.1.05.133</t>
  </si>
  <si>
    <t>3.1.05.134</t>
  </si>
  <si>
    <t>3.1.05.406</t>
  </si>
  <si>
    <t>GASTOS DE TELEFONIA MOVIL</t>
  </si>
  <si>
    <t>3.1.05.818</t>
  </si>
  <si>
    <t>3.1.05.834</t>
  </si>
  <si>
    <t>3.1.05.835</t>
  </si>
  <si>
    <t>3.1.06.108</t>
  </si>
  <si>
    <t>3.1.06.109</t>
  </si>
  <si>
    <t>3.1.06.112</t>
  </si>
  <si>
    <t>3.1.06.116</t>
  </si>
  <si>
    <t>3.1.06.130</t>
  </si>
  <si>
    <t>3.1.06.131</t>
  </si>
  <si>
    <t>3.1.06.201</t>
  </si>
  <si>
    <t>3.1.06.206</t>
  </si>
  <si>
    <t>3.1.06.209</t>
  </si>
  <si>
    <t>3.1.06.210</t>
  </si>
  <si>
    <t>3.1.06.301</t>
  </si>
  <si>
    <t>3.1.06.302</t>
  </si>
  <si>
    <t>3.1.06.303</t>
  </si>
  <si>
    <t>3.1.06.401</t>
  </si>
  <si>
    <t>3.1.06.403</t>
  </si>
  <si>
    <t>3.1.06.501</t>
  </si>
  <si>
    <t>3.1.06.505</t>
  </si>
  <si>
    <t>3.1.06.506</t>
  </si>
  <si>
    <t>3.1.06.601</t>
  </si>
  <si>
    <t>3.1.06.801</t>
  </si>
  <si>
    <t>3.1.06.802</t>
  </si>
  <si>
    <t>3.1.06.803</t>
  </si>
  <si>
    <t>3.1.06.805</t>
  </si>
  <si>
    <t>3.1.06.806</t>
  </si>
  <si>
    <t>3.1.06.809</t>
  </si>
  <si>
    <t>3.1.06.812</t>
  </si>
  <si>
    <t>3.1.06.815</t>
  </si>
  <si>
    <t>3.1.06.817</t>
  </si>
  <si>
    <t>3.1.06.830</t>
  </si>
  <si>
    <t>3.1.06.831</t>
  </si>
  <si>
    <t>3.1.07.822</t>
  </si>
  <si>
    <t>3.1.07.833</t>
  </si>
  <si>
    <t xml:space="preserve">SUMINISTROS VISUAL </t>
  </si>
  <si>
    <t>3.1.08.701</t>
  </si>
  <si>
    <t>3.2.08.105</t>
  </si>
  <si>
    <t>3.2.08.114</t>
  </si>
  <si>
    <t>INTERESES DEVENGADOS FONDOS MU</t>
  </si>
  <si>
    <t>3.2.08.116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</si>
  <si>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</si>
  <si>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</si>
  <si>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</si>
  <si>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</si>
  <si>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</si>
  <si>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</si>
  <si>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</si>
  <si>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</si>
  <si>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</si>
  <si>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3.2.13.101</t>
  </si>
  <si>
    <t>3.2.13.109</t>
  </si>
  <si>
    <t>3.1.01.101</t>
  </si>
  <si>
    <t>3.1.01.102</t>
  </si>
  <si>
    <t>3.1.01.103</t>
  </si>
  <si>
    <t>3.1.01.104</t>
  </si>
  <si>
    <t>Deposito a  Plazo</t>
  </si>
  <si>
    <t>3.1.05.116</t>
  </si>
  <si>
    <t xml:space="preserve">Invoice A-06198355 Distribuidora Flexi SA de CV </t>
  </si>
  <si>
    <t xml:space="preserve">Invoice A-06219967 Distribuidora Flexi SA de CV </t>
  </si>
  <si>
    <t xml:space="preserve">Invoice A-06219968 Distribuidora Flexi SA de CV </t>
  </si>
  <si>
    <t xml:space="preserve">Invoice A-06209247 Distribuidora Flexi SA de CV </t>
  </si>
  <si>
    <t xml:space="preserve">Invoice A-06209539 Distribuidora Flexi SA de CV </t>
  </si>
  <si>
    <t>Amortización VMN Costanera Center 24/60</t>
  </si>
  <si>
    <t>Amortización VMN Florida Center 23/60</t>
  </si>
  <si>
    <t>Amortización VMN Concepcion Centro 6/60</t>
  </si>
  <si>
    <t>Intereses Ptmo. 08-2023 F5464  Grupo Flexi de León S.A.P.I de CV</t>
  </si>
  <si>
    <t>Invoice Q-00321286 Distribuidora QLI SAPI de CV</t>
  </si>
  <si>
    <t>Invoice Q-00321287 Distribuidora QLI SAPI de CV</t>
  </si>
  <si>
    <t>Invoice Q-00321295 Distribuidora QLI SAPI de CV</t>
  </si>
  <si>
    <t>Invoice Q-00321296 Distribuidora QLI SAPI de CV</t>
  </si>
  <si>
    <t>Invoice Q-00321297 Distribuidora QLI SAPI de CV</t>
  </si>
  <si>
    <t>Invoice Q-00321298 Distribuidora QLI SAPI de CV</t>
  </si>
  <si>
    <t>FINIQUITOS POR PAGAR</t>
  </si>
  <si>
    <t>CUENTA POR COBRAR</t>
  </si>
  <si>
    <t>CUENTAS POR COBRAR</t>
  </si>
  <si>
    <t>Juan Ataya</t>
  </si>
  <si>
    <t>1.1.04.200</t>
  </si>
  <si>
    <t>Tipo Cambio de Cierre $ 895,60</t>
  </si>
  <si>
    <t>Invoice A-06248560 Distribuidora Flexi SA de CV</t>
  </si>
  <si>
    <t>Invoice A-06249418 Distribuidora Flexi SA de CV</t>
  </si>
  <si>
    <t>Invoice A-06249419 Distribuidora Flexi SA de CV</t>
  </si>
  <si>
    <t>Invoice A-06249420 Distribuidora Flexi SA de CV</t>
  </si>
  <si>
    <t>Invoice A-06250190 Distribuidora Flexi SA de CV</t>
  </si>
  <si>
    <t>Invoice A-06251766 Distribuidora Flexi SA de CV</t>
  </si>
  <si>
    <t>Invoice A-06251784 Distribuidora Flexi SA de CV</t>
  </si>
  <si>
    <t>Invoice A-06251785 Distribuidora Flexi SA de CV</t>
  </si>
  <si>
    <t>Invoice A-06252541 Distribuidora Flexi SA de CV</t>
  </si>
  <si>
    <t>Invoice A-06252542 Distribuidora Flexi SA de CV</t>
  </si>
  <si>
    <t>Invoice A-06256919 Distribuidora Flexi SA de CV</t>
  </si>
  <si>
    <t>Invoice A-06257097 Distribuidora Flexi SA de CV</t>
  </si>
  <si>
    <t>Invoice Q-00322370 Distribuidora QLI SAPI de CV</t>
  </si>
  <si>
    <t>Invoice Q-00322371 Distribuidora QLI SAPI de CV</t>
  </si>
  <si>
    <t>Invoice Q-00322373 Distribuidora QLI SAPI de CV</t>
  </si>
  <si>
    <t>Invoice Q-00322374 Distribuidora QLI SAPI de CV</t>
  </si>
  <si>
    <t>Invoice Q-00322376 Distribuidora QLI SAPI de CV</t>
  </si>
  <si>
    <t>Invoice Q-00322377 Distribuidora QLI SAPI de CV</t>
  </si>
  <si>
    <t>Invoice Q-00322379 Distribuidora QLI SAPI de CV</t>
  </si>
  <si>
    <t>Invoice Q-00322380 Distribuidora QLI SAPI de CV</t>
  </si>
  <si>
    <t>Invoice Q-00322381 Distribuidora QLI SAPI de CV</t>
  </si>
  <si>
    <t>Invoice Q-00322382 Distribuidora QLI SAPI de CV</t>
  </si>
  <si>
    <t>Invoice Q-00322383 Distribuidora QLI SAPI de CV</t>
  </si>
  <si>
    <t>Invoice Q-00322384 Distribuidora QLI SAPI de CV</t>
  </si>
  <si>
    <t>Invoice Q-00323445 Distribuidora QLI SAPI de CV</t>
  </si>
  <si>
    <t>Invoice Q-00323680 Distribuidora QLI SAPI de CV</t>
  </si>
  <si>
    <t>Invoice Q-00323681 Distribuidora QLI SAPI de CV</t>
  </si>
  <si>
    <t>Invoice Q-00323682 Distribuidora QLI SAPI de CV</t>
  </si>
  <si>
    <t>Invoice Q-00323683 Distribuidora QLI SAPI de CV</t>
  </si>
  <si>
    <t>Invoice Q-00323684 Distribuidora QLI SAPI de CV</t>
  </si>
  <si>
    <t>Invoice Q-00323685 Distribuidora QLI SAPI de CV</t>
  </si>
  <si>
    <t>Invoice Q-00323686 Distribuidora QLI SAPI de CV</t>
  </si>
  <si>
    <t>Invoice Q-00324132 Distribuidora QLI SAPI de CV</t>
  </si>
  <si>
    <t>Invoice Q-00324133 Distribuidora QLI SAPI de CV</t>
  </si>
  <si>
    <t>Invoice Q-00324134 Distribuidora QLI SAPI de CV</t>
  </si>
  <si>
    <t>Invoice Q-00324135 Distribuidora QLI SAPI de CV</t>
  </si>
  <si>
    <t>Invoice Q-00324136 Distribuidora QLI SAPI de CV</t>
  </si>
  <si>
    <t>Invoice Q-00324137 Distribuidora QLI SAPI de CV</t>
  </si>
  <si>
    <t>Invoice Q-00324138 Distribuidora QLI SAPI de CV</t>
  </si>
  <si>
    <t>Intereses Ptmo. 09-2023 F5553  Grupo Flexi de León S.A.P.I de CV</t>
  </si>
  <si>
    <t>Amortización VMN Costanera Center 25/60</t>
  </si>
  <si>
    <t>Amortización VMN Florida Center 24/60</t>
  </si>
  <si>
    <t>Amortización VMN Concepcion Centro 7/60</t>
  </si>
  <si>
    <t>invoice A-06279448Distribuidora Flexi SA de CV TC871.38</t>
  </si>
  <si>
    <t>invoice A-06278574Distribuidora Flexi SA de CV TC873.7</t>
  </si>
  <si>
    <t>invoice A-06278575Distribuidora Flexi SA de CV TC873.7</t>
  </si>
  <si>
    <t>invoice A-06278576Distribuidora Flexi SA de CV TC873.7</t>
  </si>
  <si>
    <t>invoice A-06278577Distribuidora Flexi SA de CV TC873.7</t>
  </si>
  <si>
    <t>invoice A-06278578Distribuidora Flexi SA de CV TC873.7</t>
  </si>
  <si>
    <t>invoice A-06278579Distribuidora Flexi SA de CV TC873.7</t>
  </si>
  <si>
    <t>invoice A-06278580Distribuidora Flexi SA de CV TC873.7</t>
  </si>
  <si>
    <t>invoice A-06278581Distribuidora Flexi SA de CV TC873.7</t>
  </si>
  <si>
    <t>invoice A-06278582Distribuidora Flexi SA de CV TC873.7</t>
  </si>
  <si>
    <t>invoice A-06278588Distribuidora Flexi SA de CV TC873.7</t>
  </si>
  <si>
    <t>invoice A-06278589Distribuidora Flexi SA de CV TC873.7</t>
  </si>
  <si>
    <t>invoice A-06278590Distribuidora Flexi SA de CV TC873.7</t>
  </si>
  <si>
    <t>invoice A-06278591Distribuidora Flexi SA de CV TC873.7</t>
  </si>
  <si>
    <t>invoice A-06278592Distribuidora Flexi SA de CV TC873.7</t>
  </si>
  <si>
    <t>invoice A-06278593Distribuidora Flexi SA de CV TC873.7</t>
  </si>
  <si>
    <t>invoice A-06278594Distribuidora Flexi SA de CV TC873.7</t>
  </si>
  <si>
    <t>invoice A-06278595Distribuidora Flexi SA de CV TC873.7</t>
  </si>
  <si>
    <t>invoice A-06278596Distribuidora Flexi SA de CV TC873.7</t>
  </si>
  <si>
    <t>invoice A-06278597Distribuidora Flexi SA de CV TC873.7</t>
  </si>
  <si>
    <t>invoice A-06278598Distribuidora Flexi SA de CV TC873.7</t>
  </si>
  <si>
    <t>invoice A-06278599Distribuidora Flexi SA de CV TC873.7</t>
  </si>
  <si>
    <t>invoice Q-00324473Distribuidora QLI SAPI de CV TC899.44</t>
  </si>
  <si>
    <t>invoice Q-00324474Distribuidora QLI SAPI de CV TC899.44</t>
  </si>
  <si>
    <t>invoice Q-00325658Distribuidora QLI SAPI de CV TC921.65</t>
  </si>
  <si>
    <t>invoice Q-00325659Distribuidora QLI SAPI de CV TC921.65</t>
  </si>
  <si>
    <t>invoice Q-00325660Distribuidora QLI SAPI de CV TC921.65</t>
  </si>
  <si>
    <t>invoice Q-00325661Distribuidora QLI SAPI de CV TC921.65</t>
  </si>
  <si>
    <t>invoice Q-00325662Distribuidora QLI SAPI de CV TC921.65</t>
  </si>
  <si>
    <t>invoice Q-00325663Distribuidora QLI SAPI de CV TC921.65</t>
  </si>
  <si>
    <t>invoice Q-00325664Distribuidora QLI SAPI de CV TC921.65</t>
  </si>
  <si>
    <t>invoice Q-00325665Distribuidora QLI SAPI de CV TC921.65</t>
  </si>
  <si>
    <t>invoice Q-00325666Distribuidora QLI SAPI de CV TC921.65</t>
  </si>
  <si>
    <t>invoice Q-00325667Distribuidora QLI SAPI de CV TC921.65</t>
  </si>
  <si>
    <t>invoice Q-00325668Distribuidora QLI SAPI de CV TC921.65</t>
  </si>
  <si>
    <t>invoice Q-00325669Distribuidora QLI SAPI de CV TC921.65</t>
  </si>
  <si>
    <t>invoice Q-00326550Distribuidora QLI SAPI de CV TC874.86</t>
  </si>
  <si>
    <t>invoice Q-00326551Distribuidora QLI SAPI de CV TC874.86</t>
  </si>
  <si>
    <t>invoice Q-00326552Distribuidora QLI SAPI de CV TC874.86</t>
  </si>
  <si>
    <t>invoice Q-00326553Distribuidora QLI SAPI de CV TC874.86</t>
  </si>
  <si>
    <t>invoice Q-00326554Distribuidora QLI SAPI de CV TC874.86</t>
  </si>
  <si>
    <t>invoice Q-00326558Distribuidora QLI SAPI de CV TC874.86</t>
  </si>
  <si>
    <t>invoice Q-00326597Distribuidora QLI SAPI de CV TC874.86</t>
  </si>
  <si>
    <t>invoice Q-00326598Distribuidora QLI SAPI de CV TC874.86</t>
  </si>
  <si>
    <t>invoice Q-00326599Distribuidora QLI SAPI de CV TC874.86</t>
  </si>
  <si>
    <t>invoice Q-00326600Distribuidora QLI SAPI de CV TC874.86</t>
  </si>
  <si>
    <t>invoice Q-00326601Distribuidora QLI SAPI de CV TC874.86</t>
  </si>
  <si>
    <t>invoice Q-00326602Distribuidora QLI SAPI de CV TC874.86</t>
  </si>
  <si>
    <t>invoice Q-00326603Distribuidora QLI SAPI de CV TC874.86</t>
  </si>
  <si>
    <t>Intereses Ptmo. 10-2023 F5624  Grupo Flexi de León S.A.P.I de CV</t>
  </si>
  <si>
    <t>Amortización VMN Costanera Center 26/60</t>
  </si>
  <si>
    <t>Amortización VMN Florida Center 25/60</t>
  </si>
  <si>
    <t>Amortización VMN Concepcion Centro 8/60</t>
  </si>
  <si>
    <t>CLIENTES BOLETAS Total</t>
  </si>
  <si>
    <t>Intereses Ptmo. 11-2023 F5708  Grupo Flexi de León S.A.P.I de CV</t>
  </si>
  <si>
    <t>Intereses Ptmo. 12-2023 F5760  Grupo Flexi de León S.A.P.I de CV</t>
  </si>
  <si>
    <t>Invoice A-06294382 Distribuidora Flexi SA de CV tc876.77</t>
  </si>
  <si>
    <t>Invoice A-06287725 Distribuidora Flexi SA de CV tc862.86</t>
  </si>
  <si>
    <t>Invoice A-06287726 Distribuidora Flexi SA de CV tc862.86</t>
  </si>
  <si>
    <t>Invoice A-06287727 Distribuidora Flexi SA de CV tc862.86</t>
  </si>
  <si>
    <t>Invoice A-06287728 Distribuidora Flexi SA de CV tc862.86</t>
  </si>
  <si>
    <t>Invoice A-06287729 Distribuidora Flexi SA de CV tc862.86</t>
  </si>
  <si>
    <t>Invoice A-06287730 Distribuidora Flexi SA de CV tc862.86</t>
  </si>
  <si>
    <t>Invoice A-06289044 Distribuidora Flexi SA de CV tc874.25</t>
  </si>
  <si>
    <t>Invoice A-06289045 Distribuidora Flexi SA de CV tc874.25</t>
  </si>
  <si>
    <t>Invoice A-06289046 Distribuidora Flexi SA de CV tc874.25</t>
  </si>
  <si>
    <t>Invoice A-06289047 Distribuidora Flexi SA de CV tc874.25</t>
  </si>
  <si>
    <t>Invoice A-06289050 Distribuidora Flexi SA de CV tc874.25</t>
  </si>
  <si>
    <t>Invoice A-06289051 Distribuidora Flexi SA de CV tc874.25</t>
  </si>
  <si>
    <t>Invoice A-06289052 Distribuidora Flexi SA de CV tc874.25</t>
  </si>
  <si>
    <t>Invoice A-06289053 Distribuidora Flexi SA de CV tc874.25</t>
  </si>
  <si>
    <t>Invoice A-06289054 Distribuidora Flexi SA de CV tc874.25</t>
  </si>
  <si>
    <t>Invoice A-06289055 Distribuidora Flexi SA de CV tc874.25</t>
  </si>
  <si>
    <t>Invoice A-06289056 Distribuidora Flexi SA de CV tc874.25</t>
  </si>
  <si>
    <t>Invoice A-06289057 Distribuidora Flexi SA de CV tc874.25</t>
  </si>
  <si>
    <t>Invoice A-06289058 Distribuidora Flexi SA de CV tc874.25</t>
  </si>
  <si>
    <t>Invoice A-06096304 Distribuidora Flexi SA de CV tc886.34</t>
  </si>
  <si>
    <t>Amortización VMN Costanera Center 27/60</t>
  </si>
  <si>
    <t>Amortización VMN Florida Center 26/60</t>
  </si>
  <si>
    <t>Amortización VMN Concepcion Centro 9/60</t>
  </si>
  <si>
    <t>COCO DISEÑO F43</t>
  </si>
  <si>
    <t>COCO DISEÑO F44</t>
  </si>
  <si>
    <t>COCO DISEÑO F42</t>
  </si>
  <si>
    <t>Intereses Ptmo. 09-2021 F3983</t>
  </si>
  <si>
    <t>Intereses Ptmo. 10-2021 F4018</t>
  </si>
  <si>
    <t>Intereses Ptmo. 11-2021 F4089</t>
  </si>
  <si>
    <t>Intereses Ptmo. 01-2021 F4081</t>
  </si>
  <si>
    <t>Intereses Ptmo. 02-2021 F4082</t>
  </si>
  <si>
    <t>Intereses Ptmo. 03-2021 F4083</t>
  </si>
  <si>
    <t>Intereses Ptmo. 04-2021 F4084</t>
  </si>
  <si>
    <t>Intereses Ptmo. 05-2021 F4085</t>
  </si>
  <si>
    <t>Intereses Ptmo. 06-2021 F4086</t>
  </si>
  <si>
    <t>Intereses Ptmo. 07-2021 F4087</t>
  </si>
  <si>
    <t>Grupo Flexi de León, S A P I de C V F4088 NTERESES AL 31/08/2021</t>
  </si>
  <si>
    <t>Intereses Ptmo. 01-2022 F4209</t>
  </si>
  <si>
    <t>Intereses Ptmo. 02-2022 F4257</t>
  </si>
  <si>
    <t>Intereses Ptmo. 03-2022 F4313</t>
  </si>
  <si>
    <t>Intereses Ptmo. 04-2022 F4362</t>
  </si>
  <si>
    <t>Intereses Ptmo. 05-2022 F4404</t>
  </si>
  <si>
    <t>Intereses Ptmo. 06-2022 F4451</t>
  </si>
  <si>
    <t>dif,cambio</t>
  </si>
  <si>
    <t>Intereses Ptmo. 12-2021 F4128</t>
  </si>
  <si>
    <t>ARTE IMPRESO LIMITADA</t>
  </si>
  <si>
    <t>Invoice A-06307260 Distribuidora Flexi SA de CV tc918.62</t>
  </si>
  <si>
    <t>BODEGA DEPARTAMENTAL (Mayorista)</t>
  </si>
  <si>
    <t>FLEXI PLAZA EGANA</t>
  </si>
  <si>
    <t>FLEXI ECOMMERCE (Casa matriz)</t>
  </si>
  <si>
    <t>Amortización VMN Costanera Center 28/60</t>
  </si>
  <si>
    <t>Amortización VMN Florida Center 27/60</t>
  </si>
  <si>
    <t>Amortización VMN Concepcion Centro 10/60</t>
  </si>
  <si>
    <t>dif</t>
  </si>
  <si>
    <t>Aportes por Capitalizar</t>
  </si>
  <si>
    <t>53.2 UF PAGARE</t>
  </si>
  <si>
    <t xml:space="preserve">5 CUOTAS </t>
  </si>
  <si>
    <t>BUSCRA CUOTA PAGADA</t>
  </si>
  <si>
    <t>MERCADO LIBRE</t>
  </si>
  <si>
    <t>BOLETA DE GARANTIA- renovacion Plaza Egaña UF452,56</t>
  </si>
  <si>
    <t>BOLETA DE GARANTIA- renovacion Trebol UF407.54</t>
  </si>
  <si>
    <t>Amortización VMN Costanera Center 29/60</t>
  </si>
  <si>
    <t>Amortización VMN Florida Center 28/60</t>
  </si>
  <si>
    <t>Amortización VMN Concepcion Centro 11/60</t>
  </si>
  <si>
    <t>Centralizacion Imposiciones del mes</t>
  </si>
  <si>
    <t>Invoice A-06317617 Distribuidora Flexi SA de CV TC936.01 USD24208.8</t>
  </si>
  <si>
    <t>Invoice A-06318248 Distribuidora Flexi SA de CV TC936.01 USD29377.2</t>
  </si>
  <si>
    <t>Invoice A-06319310 Distribuidora Flexi SA de CV TC955.73 USD51189.4</t>
  </si>
  <si>
    <t>Invoice A-06324028 Distribuidora Flexi SA de CV TC968.73 USD36929.54</t>
  </si>
  <si>
    <t>Invoice A-06324926 Distribuidora Flexi SA de CV TC972.22 USD4215</t>
  </si>
  <si>
    <t>Invoice A-06324927 Distribuidora Flexi SA de CV TC972.22 USD6146</t>
  </si>
  <si>
    <t>Invoice A-06324928 Distribuidora Flexi SA de CV TC972.22 USD5624</t>
  </si>
  <si>
    <t>Invoice A-06324930 Distribuidora Flexi SA de CV TC972.22 USD7842.5</t>
  </si>
  <si>
    <t>Invoice A-06324931 Distribuidora Flexi SA de CV TC972.22 USD9838</t>
  </si>
  <si>
    <t>Invoice A-06325391 Distribuidora Flexi SA de CV TC971.56 USD10505</t>
  </si>
  <si>
    <t>Invoice A-06325397 Distribuidora Flexi SA de CV TC971.56 USD7250</t>
  </si>
  <si>
    <t>Invoice A-06325562 Distribuidora Flexi SA de CV TC971.56 USD6659.5</t>
  </si>
  <si>
    <t>Invoice A-06325563 Distribuidora Flexi SA de CV TC971.56 USD3696.5</t>
  </si>
  <si>
    <t>Invoice A-06326654 Distribuidora Flexi SA de CV TC959.86 USD5391.5</t>
  </si>
  <si>
    <t>Invoice A-06326655 Distribuidora Flexi SA de CV TC959.86 USD5346</t>
  </si>
  <si>
    <t>Invoice A-06326656 Distribuidora Flexi SA de CV TC959.86 USD9043.5</t>
  </si>
  <si>
    <t>Invoice A-06326657 Distribuidora Flexi SA de CV TC959.86 USD9778.5</t>
  </si>
  <si>
    <t>Invoice A-06326827 Distribuidora Flexi SA de CV TC959.86 USD5391.5</t>
  </si>
  <si>
    <t>Invoice A-06326828 Distribuidora Flexi SA de CV TC959.86 USD6659.5</t>
  </si>
  <si>
    <t>Invoice A-06326843 Distribuidora Flexi SA de CV TC959.86 USD9053.5</t>
  </si>
  <si>
    <t>Invoice A-06326847 Distribuidora Flexi SA de CV TC959.86 USD10137.5</t>
  </si>
  <si>
    <t>Invoice A-06326849 Distribuidora Flexi SA de CV TC959.86 USD367.5</t>
  </si>
  <si>
    <t>Invoice A-06326850 Distribuidora Flexi SA de CV TC959.86 USD3843.72</t>
  </si>
  <si>
    <t>Invoice A-06326851 Distribuidora Flexi SA de CV TC959.86 USD28417.5</t>
  </si>
  <si>
    <t>Invoice A-06326852 Distribuidora Flexi SA de CV TC959.86 USD532</t>
  </si>
  <si>
    <t>Invoice N-00000065 Distribuidora Flexi SA de CV TC971.56 USD-220.25</t>
  </si>
  <si>
    <t>Invoice Q-00331796 Quirelli TC957.86 USD1501.8</t>
  </si>
  <si>
    <t>Invoice Q-00331797 Quirelli TC957.86 USD1501.8</t>
  </si>
  <si>
    <t>Invoice Q-00331798 Quirelli TC957.86 USD1501.8</t>
  </si>
  <si>
    <t>Invoice Q-00331799 Quirelli TC957.86 USD1021.2</t>
  </si>
  <si>
    <t>Invoice Q-00331800 Quirelli TC957.86 USD1021.2</t>
  </si>
  <si>
    <t>Invoice Q-00331801 Quirelli TC957.86 USD1021.2</t>
  </si>
  <si>
    <t>Invoice Q-00331802 Quirelli TC957.86 USD1021.2</t>
  </si>
  <si>
    <t>Invoice Q-00331803 Quirelli TC957.86 USD1021.2</t>
  </si>
  <si>
    <t>Invoice Q-00331804 Quirelli TC957.86 USD1021.2</t>
  </si>
  <si>
    <t>Invoice Q-00332918 Quirelli TC972.77 USD1021.2</t>
  </si>
  <si>
    <t>Invoice Q-00332919 Quirelli TC972.77 USD1021.2</t>
  </si>
  <si>
    <t>Invoice Q-00332920 Quirelli TC972.77 USD1021.2</t>
  </si>
  <si>
    <t>Invoice Q-00332921 Quirelli TC972.77 USD1501.8</t>
  </si>
  <si>
    <t>Invoice Q-00332922 Quirelli TC972.77 USD510.6</t>
  </si>
  <si>
    <t>Invoice Q-00332923 Quirelli TC972.77 USD510.6</t>
  </si>
  <si>
    <t>Invoice Q-00332924 Quirelli TC972.77 USD510.6</t>
  </si>
  <si>
    <t>Invoice Q-00332925 Quirelli TC972.77 USD510.6</t>
  </si>
  <si>
    <t>Invoice A-06324932 Distribuidora Flexi SA de CV TC972.22 USD9958</t>
  </si>
  <si>
    <t>Amortización VMN Costanera Center 30/60</t>
  </si>
  <si>
    <t>Amortización VMN Florida Center 29/60</t>
  </si>
  <si>
    <t>Amortización VMN Concepcion Centro 12/60</t>
  </si>
  <si>
    <t>Invoice  Q-00334560 Quirelli TC983.8 USD2046.9</t>
  </si>
  <si>
    <t>Invoice  Q-00334561 Quirelli TC983.8 USD1137.2</t>
  </si>
  <si>
    <t>Invoice  Q-00334570 Quirelli TC983.8 USD3127.2</t>
  </si>
  <si>
    <t>Invoice  Q-00334571 Quirelli TC983.8 USD3127.2</t>
  </si>
  <si>
    <t>Invoice  Q-00334572 Quirelli TC983.8 USD2173</t>
  </si>
  <si>
    <t>Invoice  Q-00334573 Quirelli TC983.8 USD2770</t>
  </si>
  <si>
    <t>Invoice  Q-00334574 Quirelli TC983.8 USD1775</t>
  </si>
  <si>
    <t>Invoice  Q-00334575 Quirelli TC983.8 USD2473.5</t>
  </si>
  <si>
    <t>Invoice  Q-00334576 Quirelli TC983.8 USD357.2</t>
  </si>
  <si>
    <t>Invoice  Q-00334577 Quirelli TC983.8 USD357.2</t>
  </si>
  <si>
    <t>Invoice  Q-00334578 Quirelli TC983.8 USD267.9</t>
  </si>
  <si>
    <t>Invoice  Q-00334579 Quirelli TC983.8 USD357.2</t>
  </si>
  <si>
    <t>Invoice  Q-00334959 Quirelli TC965.18 USD255.3</t>
  </si>
  <si>
    <t>Invoice  Q-00334960 Quirelli TC965.18 USD255.3</t>
  </si>
  <si>
    <t>Invoice  Q-00334961 Quirelli TC965.18 USD340.4</t>
  </si>
  <si>
    <t>Invoice  Q-00334962 Quirelli TC965.18 USD340.4</t>
  </si>
  <si>
    <t>Invoice  Q-00334963 Quirelli TC965.18 USD340.4</t>
  </si>
  <si>
    <t>Invoice  Q-00334964 Quirelli TC965.18 USD340.4</t>
  </si>
  <si>
    <t>Invoice  Q-00334965 Quirelli TC965.18 USD255.3</t>
  </si>
  <si>
    <t>Invoice  Q-00334966 Quirelli TC965.18 USD18591.9</t>
  </si>
  <si>
    <t>Invoice  Q-00334967 Quirelli TC965.18 USD255.3</t>
  </si>
  <si>
    <t>Invoice  Q-00334968 Quirelli TC965.18 USD340.4</t>
  </si>
  <si>
    <t>Invoice  Q-00334969 Quirelli TC965.18 USD298.5</t>
  </si>
  <si>
    <t>Invoice  Q-00334970 Quirelli TC965.18 USD298.5</t>
  </si>
  <si>
    <t>Invoice  Q-00334971 Quirelli TC965.18 USD425.5</t>
  </si>
  <si>
    <t>Invoice  Q-00334972 Quirelli TC965.18 USD510.6</t>
  </si>
  <si>
    <t>Invoice  Q-00334973 Quirelli TC965.18 USD398</t>
  </si>
  <si>
    <t>Invoice  Q-00334974 Quirelli TC965.18 USD5623.5</t>
  </si>
  <si>
    <t>Invoice  Q-00334975 Quirelli TC965.18 USD298.5</t>
  </si>
  <si>
    <t>Invoice  Q-00334976 Quirelli TC965.18 USD398</t>
  </si>
  <si>
    <t>Invoice  Q-00334977 Quirelli TC965.18 USD510.6</t>
  </si>
  <si>
    <t>Invoice  Q-00334978 Quirelli TC965.18 USD340.4</t>
  </si>
  <si>
    <t>Invoice  Q-00334979 Quirelli TC965.18 USD298.5</t>
  </si>
  <si>
    <t>Invoice  A-06349906 Distribuidora Flexi TC964.95 USD1260</t>
  </si>
  <si>
    <t>Invoice  A-06344896 Distribuidora Flexi TC976.36 USD2531.5</t>
  </si>
  <si>
    <t>Invoice  A-06344897 Distribuidora Flexi TC976.36 USD3323</t>
  </si>
  <si>
    <t>Invoice  A-06344898 Distribuidora Flexi TC976.36 USD3186</t>
  </si>
  <si>
    <t>Invoice  A-06344899 Distribuidora Flexi TC976.36 USD3837.5</t>
  </si>
  <si>
    <t>Invoice  A-06344900 Distribuidora Flexi TC976.36 USD8762.58</t>
  </si>
  <si>
    <t>Invoice  A-06344901 Distribuidora Flexi TC976.36 USD64072.5</t>
  </si>
  <si>
    <t>Invoice  A-06345556 Distribuidora Flexi TC976.36 USD3331.5</t>
  </si>
  <si>
    <t>Invoice  A-06345557 Distribuidora Flexi TC976.36 USD1954.5</t>
  </si>
  <si>
    <t>Invoice  A-06345558 Distribuidora Flexi TC976.36 USD2967.5</t>
  </si>
  <si>
    <t>Invoice  A-06345559 Distribuidora Flexi TC976.36 USD3837.5</t>
  </si>
  <si>
    <t>Invoice  A-06345560 Distribuidora Flexi TC976.36 USD4374</t>
  </si>
  <si>
    <t>Invoice  A-06345561 Distribuidora Flexi TC976.36 USD2967.5</t>
  </si>
  <si>
    <t>Invoice  A-06345562 Distribuidora Flexi TC976.36 USD3186</t>
  </si>
  <si>
    <t>Invoice  A-06345571 Distribuidora Flexi TC976.36 USD2790.5</t>
  </si>
  <si>
    <t>Invoice  A-06345572 Distribuidora Flexi TC976.36 USD3080</t>
  </si>
  <si>
    <t>Invoice  A-06345573 Distribuidora Flexi TC976.36 USD3551</t>
  </si>
  <si>
    <t>Invoice  A-06345574 Distribuidora Flexi TC976.36 USD3474.5</t>
  </si>
  <si>
    <t>Invoice  A-06345575 Distribuidora Flexi TC976.36 USD32799.78</t>
  </si>
  <si>
    <t>Invoice  A-06345576 Distribuidora Flexi TC976.36 USD4444.5</t>
  </si>
  <si>
    <t>Invoice  A-06347190 Distribuidora Flexi TC983.8 USD2925</t>
  </si>
  <si>
    <t>Invoice  A-06347191 Distribuidora Flexi TC983.8 USD3080.5</t>
  </si>
  <si>
    <t>Invoice  A-06347192 Distribuidora Flexi TC983.8 USD3797</t>
  </si>
  <si>
    <t>Invoice  A-06347193 Distribuidora Flexi TC983.8 USD5985</t>
  </si>
  <si>
    <t>Invoice  A-06347194 Distribuidora Flexi TC983.8 USD3203.5</t>
  </si>
  <si>
    <t>Invoice  A-06347195 Distribuidora Flexi TC983.8 USD3450</t>
  </si>
  <si>
    <t>Invoice  A-06347197 Distribuidora Flexi TC983.8 USD9146.5</t>
  </si>
  <si>
    <t>Invoice  A-06347225 Distribuidora Flexi TC983.8 USD76738.5</t>
  </si>
  <si>
    <t>Invoice  A-06347440 Distribuidora Flexi TC983.8 USD44191.5</t>
  </si>
  <si>
    <t>Invoice  A-06347517 Distribuidora Flexi TC983.8 USD178.5</t>
  </si>
  <si>
    <t>Invoice  A-06349901 Distribuidora Flexi TC964.95 USD93.4</t>
  </si>
  <si>
    <t>Invoice  A-06350745 Distribuidora Flexi TC965.18 USD128.01</t>
  </si>
  <si>
    <t>10.853.224-6</t>
  </si>
  <si>
    <t>Total del mes</t>
  </si>
  <si>
    <t>INVOICE A-06363753  Distribuidora Flexi SA de CV TC957.03 USD3300</t>
  </si>
  <si>
    <t>INVOICE Q-00338569 Distribuidora QLI SAPI DE CVde tc968.44 USD2000.4</t>
  </si>
  <si>
    <t>INVOICE Q-00338570 Distribuidora QLI SAPI DE CVde tc968.44 USD2000.4</t>
  </si>
  <si>
    <t>INVOICE Q-00338571 Distribuidora QLI SAPI DE CVde tc968.44 USD2000.4</t>
  </si>
  <si>
    <t>INVOICE Q-00338572 Distribuidora QLI SAPI DE CVde tc968.44 USD2000.4</t>
  </si>
  <si>
    <t>INVOICE Q-00338573 Distribuidora QLI SAPI DE CVde tc968.44 USD2481</t>
  </si>
  <si>
    <t>INVOICE Q-00338574 Distribuidora QLI SAPI DE CVde tc968.44 USD2991.6</t>
  </si>
  <si>
    <t>INVOICE Q-00338575 Distribuidora QLI SAPI DE CVde tc968.44 USD2481</t>
  </si>
  <si>
    <t>INVOICE Q-00338576 Distribuidora QLI SAPI DE CVde tc968.44 USD2481</t>
  </si>
  <si>
    <t>INVOICE Q-00338577 Distribuidora QLI SAPI DE CVde tc968.44 USD1970.4</t>
  </si>
  <si>
    <t>INVOICE A-06373348 Distribuidora Flexi SA de CV tc953.75 USD810</t>
  </si>
  <si>
    <t>INVOICE A-06373349 Distribuidora Flexi SA de CV tc953.75 USD1080</t>
  </si>
  <si>
    <t>INVOICE A-06373350 Distribuidora Flexi SA de CV tc953.75 USD1080</t>
  </si>
  <si>
    <t>INVOICE A-06373351 Distribuidora Flexi SA de CV tc953.75 USD2277.36</t>
  </si>
  <si>
    <t>INVOICE A-06373352 Distribuidora Flexi SA de CV tc953.75 USD36502.5</t>
  </si>
  <si>
    <t>INVOICE A-06373353 Distribuidora Flexi SA de CV tc953.75 USD178.5</t>
  </si>
  <si>
    <t>INVOICE A-06373354 Distribuidora Flexi SA de CV tc953.75 USD1080</t>
  </si>
  <si>
    <t>INVOICE A-06373355 Distribuidora Flexi SA de CV tc953.75 USD1080</t>
  </si>
  <si>
    <t>INVOICE A-06373356 Distribuidora Flexi SA de CV tc953.75 USD745</t>
  </si>
  <si>
    <t>INVOICE A-06373357 Distribuidora Flexi SA de CV tc953.75 USD810</t>
  </si>
  <si>
    <t>INVOICE A-06373358 Distribuidora Flexi SA de CV tc953.75 USD1080</t>
  </si>
  <si>
    <t>INVOICE A-06373359 Distribuidora Flexi SA de CV tc953.75 USD7317</t>
  </si>
  <si>
    <t>INVOICE A-06373360 Distribuidora Flexi SA de CV tc953.75 USD1080</t>
  </si>
  <si>
    <t>INVOICE A-06373361 Distribuidora Flexi SA de CV tc953.75 USD1803</t>
  </si>
  <si>
    <t>INVOICE A-06373362 Distribuidora Flexi SA de CV tc953.75 USD1861</t>
  </si>
  <si>
    <t>INVOICE A-06373363 Distribuidora Flexi SA de CV tc953.75 USD3096.5</t>
  </si>
  <si>
    <t>INVOICE A-06373364 Distribuidora Flexi SA de CV tc953.75 USD2008.5</t>
  </si>
  <si>
    <t>INVOICE A-06373365 Distribuidora Flexi SA de CV tc953.75 USD10324.68</t>
  </si>
  <si>
    <t>INVOICE A-06373366 Distribuidora Flexi SA de CV tc953.75 USD1081.5</t>
  </si>
  <si>
    <t>INVOICE A-06373367 Distribuidora Flexi SA de CV tc953.75 USD1522.5</t>
  </si>
  <si>
    <t>INVOICE A-06373368 Distribuidora Flexi SA de CV tc953.75 USD1861</t>
  </si>
  <si>
    <t>INVOICE A-06373369 Distribuidora Flexi SA de CV tc953.75 USD1783</t>
  </si>
  <si>
    <t>INVOICE A-06373370 Distribuidora Flexi SA de CV tc953.75 USD1686</t>
  </si>
  <si>
    <t>INVOICE A-06373371 Distribuidora Flexi SA de CV tc953.75 USD3378</t>
  </si>
  <si>
    <t>INVOICE A-06373372 Distribuidora Flexi SA de CV tc953.75 USD1783</t>
  </si>
  <si>
    <t>INVOICE A-06373373 Distribuidora Flexi SA de CV tc953.75 USD2664</t>
  </si>
  <si>
    <t>INVOICE A-06373374 Distribuidora Flexi SA de CV tc953.75 USD2920</t>
  </si>
  <si>
    <t>INVOICE A-06373375 Distribuidora Flexi SA de CV tc953.75 USD1686</t>
  </si>
  <si>
    <t>INVOICE A-06373376 Distribuidora Flexi SA de CV tc953.75 USD2734.5</t>
  </si>
  <si>
    <t>INVOICE A-06374811 Distribuidora Flexi SA de CV tc954.58 USD44907</t>
  </si>
  <si>
    <t>INVOICE A-06375366 Distribuidora Flexi SA de CV tc954.58 USD408</t>
  </si>
  <si>
    <t>INVOICE A-06377345 Distribuidora Flexi SA de CV tc948.61 USD38799</t>
  </si>
  <si>
    <t>INVOICE A-06377346 Distribuidora Flexi SA de CV tc948.61 USD15351</t>
  </si>
  <si>
    <t>INVOICE A-06380579 Distribuidora Flexi SA de CV tc943.62 USD3316.5</t>
  </si>
  <si>
    <t>INVOICE A-06380580 Distribuidora Flexi SA de CV tc943.62 USD1783</t>
  </si>
  <si>
    <t>INVOICE A-06380581 Distribuidora Flexi SA de CV tc943.62 USD1944</t>
  </si>
  <si>
    <t>INVOICE A-06380582 Distribuidora Flexi SA de CV tc943.62 USD3192.5</t>
  </si>
  <si>
    <t>INVOICE A-06380583 Distribuidora Flexi SA de CV tc943.62 USD28274</t>
  </si>
  <si>
    <t>INVOICE A-06380584 Distribuidora Flexi SA de CV tc943.62 USD2096</t>
  </si>
  <si>
    <t>INVOICE A-06380585 Distribuidora Flexi SA de CV tc943.62 USD2438</t>
  </si>
  <si>
    <t>TALCA</t>
  </si>
  <si>
    <t>MARCIA LIZANA implementacion CEDIS BH68</t>
  </si>
  <si>
    <t>Amortización VMN Costanera Center 31/60</t>
  </si>
  <si>
    <t>Amortización VMN Florida Center 30/60</t>
  </si>
  <si>
    <t>Amortización VMN Concepcion Centro 13/60</t>
  </si>
  <si>
    <t>Sum. Visual'!A1</t>
  </si>
  <si>
    <t>Pago Imposiciones abril (duplicado)/sin devolucion aun</t>
  </si>
  <si>
    <t>Aportes por Enterar</t>
  </si>
  <si>
    <t>perdida del periodo</t>
  </si>
  <si>
    <t>MAULE TALCA</t>
  </si>
  <si>
    <t>INVOICE Q-00340971 Q-00340971USD922</t>
  </si>
  <si>
    <t>INVOICE Q-00340972 Q-00340972USD922</t>
  </si>
  <si>
    <t>INVOICE Q-00340973 Q-00340973USD922</t>
  </si>
  <si>
    <t>INVOICE Q-00340974 Q-00340974USD922</t>
  </si>
  <si>
    <t>INVOICE Q-00340975 Q-00340975USD922</t>
  </si>
  <si>
    <t>INVOICE Q-00340976 Q-00340976USD922</t>
  </si>
  <si>
    <t>INVOICE Q-00340977 Q-00340977USD922</t>
  </si>
  <si>
    <t>INVOICE Q-00340978 Q-00340978USD922</t>
  </si>
  <si>
    <t>INVOICE Q-00340979 Q-00340979USD922</t>
  </si>
  <si>
    <t>INVOICE A-06402064 A-06402064USD904.67</t>
  </si>
  <si>
    <t>Amortización VMN Costanera Center 32/60</t>
  </si>
  <si>
    <t>Amortización VMN Florida Center 31/60</t>
  </si>
  <si>
    <t>Amortización VMN Concepcion Centro 14/60</t>
  </si>
  <si>
    <t>NUEVOS DESARROLLOS S.A.</t>
  </si>
  <si>
    <t>FLEXI TALCA</t>
  </si>
  <si>
    <t>3.1.06.602</t>
  </si>
  <si>
    <t>BOLSA IMPRESA</t>
  </si>
  <si>
    <t>3.1.06.305</t>
  </si>
  <si>
    <t>GASTOS DIVERSOS</t>
  </si>
  <si>
    <t>3.1.06.406</t>
  </si>
  <si>
    <t>3.1.06.507</t>
  </si>
  <si>
    <t>SERVICIO DE VIGILANCIA</t>
  </si>
  <si>
    <t>3.1.06.818</t>
  </si>
  <si>
    <t>3.1.06.837</t>
  </si>
  <si>
    <t>MONITOREO COMERCIAL</t>
  </si>
  <si>
    <t>Resultados acumulados</t>
  </si>
  <si>
    <t>3.1.05.117</t>
  </si>
  <si>
    <t>DOMINGOS Y FESTIVOS</t>
  </si>
  <si>
    <t>Fondo Fijo Talca</t>
  </si>
  <si>
    <t>Amortización VMN Costanera Center 33/60</t>
  </si>
  <si>
    <t>Amortización VMN Florida Center 32/60</t>
  </si>
  <si>
    <t>Amortización VMN Concepcion Centro 15/60</t>
  </si>
  <si>
    <t>Equipos y soluciones F36952 apilador</t>
  </si>
  <si>
    <t>CETRIK SPA F129  implementacion ecomerce Vtex</t>
  </si>
  <si>
    <t>KREATINA SPA F2425 Router</t>
  </si>
  <si>
    <t>INVOICE A-06410799Distribuidora Flexi SA de CV TC905.37</t>
  </si>
  <si>
    <t>INVOICE A-06410800Distribuidora Flexi SA de CV TC905.37</t>
  </si>
  <si>
    <t>INVOICE A-06410801Distribuidora Flexi SA de CV TC905.37</t>
  </si>
  <si>
    <t>INVOICE A-06410802Distribuidora Flexi SA de CV TC905.37</t>
  </si>
  <si>
    <t>INVOICE A-06410803Distribuidora Flexi SA de CV TC905.37</t>
  </si>
  <si>
    <t>INVOICE A-06412082Distribuidora Flexi SA de CV TC906.25</t>
  </si>
  <si>
    <t>INVOICE A-06412083Distribuidora Flexi SA de CV TC906.25</t>
  </si>
  <si>
    <t>INVOICE A-06412084Distribuidora Flexi SA de CV TC906.25</t>
  </si>
  <si>
    <t>INVOICE A-06412085Distribuidora Flexi SA de CV TC906.25</t>
  </si>
  <si>
    <t>INVOICE A-06412086Distribuidora Flexi SA de CV TC906.25</t>
  </si>
  <si>
    <t>INVOICE A-06412087Distribuidora Flexi SA de CV TC906.25</t>
  </si>
  <si>
    <t>INVOICE A-06412088Distribuidora Flexi SA de CV TC906.25</t>
  </si>
  <si>
    <t>INVOICE A-06413155Distribuidora Flexi SA de CV TC910.45</t>
  </si>
  <si>
    <t>INVOICE A-06413156Distribuidora Flexi SA de CV TC910.45</t>
  </si>
  <si>
    <t>INVOICE A-06413157Distribuidora Flexi SA de CV TC910.45</t>
  </si>
  <si>
    <t>INVOICE A-06413158Distribuidora Flexi SA de CV TC910.45</t>
  </si>
  <si>
    <t>INVOICE A-06413159Distribuidora Flexi SA de CV TC910.45</t>
  </si>
  <si>
    <t>INVOICE A-06413160Distribuidora Flexi SA de CV TC910.45</t>
  </si>
  <si>
    <t>INVOICE A-06413161Distribuidora Flexi SA de CV TC910.45</t>
  </si>
  <si>
    <t>INVOICE A-06413162Distribuidora Flexi SA de CV TC910.45</t>
  </si>
  <si>
    <t>INVOICE A-06413163Distribuidora Flexi SA de CV TC910.45</t>
  </si>
  <si>
    <t>INVOICE A-06413164Distribuidora Flexi SA de CV TC910.45</t>
  </si>
  <si>
    <t>INVOICE A-06413165Distribuidora Flexi SA de CV TC910.45</t>
  </si>
  <si>
    <t>INVOICE A-06413166Distribuidora Flexi SA de CV TC910.45</t>
  </si>
  <si>
    <t>INVOICE A-06413167Distribuidora Flexi SA de CV TC910.45</t>
  </si>
  <si>
    <t>INVOICE A-06413168Distribuidora Flexi SA de CV TC910.45</t>
  </si>
  <si>
    <t>INVOICE A-06414933Distribuidora Flexi SA de CV TC923.24</t>
  </si>
  <si>
    <t>INVOICE A-06414934Distribuidora Flexi SA de CV TC923.24</t>
  </si>
  <si>
    <t>INVOICE A-06415766Distribuidora Flexi SA de CV TC924.18</t>
  </si>
  <si>
    <t>INVOICE A-06417766Distribuidora Flexi SA de CV TC919.49</t>
  </si>
  <si>
    <t>INVOICE A-06418006Distribuidora Flexi SA de CV TC919.49</t>
  </si>
  <si>
    <t>172573584</t>
  </si>
  <si>
    <t>FONDO FIJO TALCA</t>
  </si>
  <si>
    <t>1.1.01.210</t>
  </si>
  <si>
    <t>Abono en mercado Libre marzo 2024</t>
  </si>
  <si>
    <t>primera cuota 53.2 uf marzo 2024</t>
  </si>
  <si>
    <t>Caso Juan Araya 5 cuotas 53.2 uf septiembre 2023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</si>
  <si>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</si>
  <si>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</si>
  <si>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</si>
  <si>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</si>
  <si>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</si>
  <si>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</si>
  <si>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</si>
  <si>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</si>
  <si>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</si>
  <si>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</si>
  <si>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</t>
  </si>
  <si>
    <t>Rem Anterior</t>
  </si>
  <si>
    <t>reajuste</t>
  </si>
  <si>
    <t>ICF/IDF</t>
  </si>
  <si>
    <t>Saldo Reman</t>
  </si>
  <si>
    <t>original declarado</t>
  </si>
  <si>
    <t>diferencia</t>
  </si>
  <si>
    <t>INVOICE A-06449658 Distribuidora Flexi SA de CV tc 940.15</t>
  </si>
  <si>
    <t>INVOICE A-06449659 Distribuidora Flexi SA de CV tc 940.15</t>
  </si>
  <si>
    <t>INVOICE A-06449660 Distribuidora Flexi SA de CV tc 940.15</t>
  </si>
  <si>
    <t>INVOICE A-06449661 Distribuidora Flexi SA de CV tc 940.15</t>
  </si>
  <si>
    <t>INVOICE A-06449662 Distribuidora Flexi SA de CV tc 940.15</t>
  </si>
  <si>
    <t>INVOICE A-06449663 Distribuidora Flexi SA de CV tc 940.15</t>
  </si>
  <si>
    <t>INVOICE A-06449664 Distribuidora Flexi SA de CV tc 940.15</t>
  </si>
  <si>
    <t>INVOICE A-06449665 Distribuidora Flexi SA de CV tc 940.15</t>
  </si>
  <si>
    <t>INVOICE A-06449666 Distribuidora Flexi SA de CV tc 940.15</t>
  </si>
  <si>
    <t>INVOICE A-06449667 Distribuidora Flexi SA de CV tc 940.15</t>
  </si>
  <si>
    <t>INVOICE A-06449668 Distribuidora Flexi SA de CV tc 940.15</t>
  </si>
  <si>
    <t>INVOICE A-06449669 Distribuidora Flexi SA de CV tc 940.15</t>
  </si>
  <si>
    <t>INVOICE A-06449670 Distribuidora Flexi SA de CV tc 940.15</t>
  </si>
  <si>
    <t>INVOICE A-06449671 Distribuidora Flexi SA de CV tc 940.15</t>
  </si>
  <si>
    <t>INVOICE A-06449672 Distribuidora Flexi SA de CV tc 940.15</t>
  </si>
  <si>
    <t>INVOICE A-06449673 Distribuidora Flexi SA de CV tc 940.15</t>
  </si>
  <si>
    <t>INVOICE A-06449674 Distribuidora Flexi SA de CV tc 940.15</t>
  </si>
  <si>
    <t>INVOICE A-06449675 Distribuidora Flexi SA de CV tc 940.15</t>
  </si>
  <si>
    <t>INVOICE A-06449676 Distribuidora Flexi SA de CV tc 940.15</t>
  </si>
  <si>
    <t>INVOICE A-06449677 Distribuidora Flexi SA de CV tc 940.15</t>
  </si>
  <si>
    <t>INVOICE A-06449678 Distribuidora Flexi SA de CV tc 940.15</t>
  </si>
  <si>
    <t>INVOICE A-06449679 Distribuidora Flexi SA de CV tc 940.15</t>
  </si>
  <si>
    <t>INVOICE A-06449680 Distribuidora Flexi SA de CV tc 940.15</t>
  </si>
  <si>
    <t>INVOICE A-06449681 Distribuidora Flexi SA de CV tc 940.15</t>
  </si>
  <si>
    <t>INVOICE A-06449682 Distribuidora Flexi SA de CV tc 940.15</t>
  </si>
  <si>
    <t>INVOICE A-06450252 Distribuidora Flexi SA de CV tc 940.15</t>
  </si>
  <si>
    <t>INVOICE A-06450253 Distribuidora Flexi SA de CV tc 940.15</t>
  </si>
  <si>
    <t>INVOICE A-06450254 Distribuidora Flexi SA de CV tc 940.15</t>
  </si>
  <si>
    <t>INVOICE A-06450255 Distribuidora Flexi SA de CV tc 940.15</t>
  </si>
  <si>
    <t>INVOICE A-06450256 Distribuidora Flexi SA de CV tc 940.15</t>
  </si>
  <si>
    <t>INVOICE A-06450257 Distribuidora Flexi SA de CV tc 940.15</t>
  </si>
  <si>
    <t>INVOICE A-06450258 Distribuidora Flexi SA de CV tc 940.15</t>
  </si>
  <si>
    <t>INVOICE A-06450259 Distribuidora Flexi SA de CV tc 940.15</t>
  </si>
  <si>
    <t>INVOICE A-06450260 Distribuidora Flexi SA de CV tc 940.15</t>
  </si>
  <si>
    <t>INVOICE A-06450262 Distribuidora Flexi SA de CV tc 940.15</t>
  </si>
  <si>
    <t>INVOICE A-06450263 Distribuidora Flexi SA de CV tc 940.15</t>
  </si>
  <si>
    <t>INVOICE A-06450264 Distribuidora Flexi SA de CV tc 940.15</t>
  </si>
  <si>
    <t>INVOICE A-06451987 Distribuidora Flexi SA de CV tc 940.15</t>
  </si>
  <si>
    <t>INVOICE A-06451988 Distribuidora Flexi SA de CV tc 940.15</t>
  </si>
  <si>
    <t>INVOICE A-06451989 Distribuidora Flexi SA de CV tc 940.15</t>
  </si>
  <si>
    <t>INVOICE A-06451990 Distribuidora Flexi SA de CV tc 940.15</t>
  </si>
  <si>
    <t>INVOICE A-06452600 Distribuidora Flexi SA de CV tc 943.77</t>
  </si>
  <si>
    <t>INVOICE A-06452601 Distribuidora Flexi SA de CV tc 943.77</t>
  </si>
  <si>
    <t>INVOICE A-06452602 Distribuidora Flexi SA de CV tc 943.77</t>
  </si>
  <si>
    <t>INVOICE A-06452603 Distribuidora Flexi SA de CV tc 943.77</t>
  </si>
  <si>
    <t>INVOICE A-06452604 Distribuidora Flexi SA de CV tc 943.77</t>
  </si>
  <si>
    <t>INVOICE A-06452605 Distribuidora Flexi SA de CV tc 943.77</t>
  </si>
  <si>
    <t>INVOICE A-06452606 Distribuidora Flexi SA de CV tc 943.77</t>
  </si>
  <si>
    <t>INVOICE A-06452607 Distribuidora Flexi SA de CV tc 943.77</t>
  </si>
  <si>
    <t>INVOICE A-06452608 Distribuidora Flexi SA de CV tc 943.77</t>
  </si>
  <si>
    <t>INVOICE A-06452609 Distribuidora Flexi SA de CV tc 943.77</t>
  </si>
  <si>
    <t>INVOICE A-06452610 Distribuidora Flexi SA de CV tc 943.77</t>
  </si>
  <si>
    <t>INVOICE A-06452611 Distribuidora Flexi SA de CV tc 943.77</t>
  </si>
  <si>
    <t>INVOICE A-06452612 Distribuidora Flexi SA de CV tc 943.77</t>
  </si>
  <si>
    <t>INVOICE A-06453412 Distribuidora Flexi SA de CV tc 946.69</t>
  </si>
  <si>
    <t>INVOICE A-06453415 Distribuidora Flexi SA de CV tc 946.69</t>
  </si>
  <si>
    <t>INVOICE A-06453416 Distribuidora Flexi SA de CV tc 946.69</t>
  </si>
  <si>
    <t>INVOICE A-06453417 Distribuidora Flexi SA de CV tc 946.69</t>
  </si>
  <si>
    <t>INVOICE A-06453513 Distribuidora Flexi SA de CV tc 948.79</t>
  </si>
  <si>
    <t>INVOICE A-06453516 Distribuidora Flexi SA de CV tc 948.79</t>
  </si>
  <si>
    <t>INVOICE A-06453517 Distribuidora Flexi SA de CV tc 948.79</t>
  </si>
  <si>
    <t>Amortización VMN Costanera Center 34/60</t>
  </si>
  <si>
    <t>Amortización VMN Florida Center 33/60</t>
  </si>
  <si>
    <t>Amortización VMN Concepcion Centro 16/60</t>
  </si>
  <si>
    <t>16.089.318-4</t>
  </si>
  <si>
    <t>ABRAHAM PINO factura solicitada</t>
  </si>
  <si>
    <t>Amortización VMN Costanera Center 35/60</t>
  </si>
  <si>
    <t>Amortización VMN Florida Center 34/60</t>
  </si>
  <si>
    <t>Amortización VMN Concepcion Centro 17/60</t>
  </si>
  <si>
    <t>BAP OBRAS CIVILES F199</t>
  </si>
  <si>
    <t>INVOICE A-06482149 Distribuidora Flexi SA de CV TC 918.97</t>
  </si>
  <si>
    <t>INVOICE A-06482150 Distribuidora Flexi SA de CV TC 918.97</t>
  </si>
  <si>
    <t>INVOICE A-06482226 Distribuidora Flexi SA de CV TC 918.97</t>
  </si>
  <si>
    <t>INVOICE A-06482227 Distribuidora Flexi SA de CV TC 918.97</t>
  </si>
  <si>
    <t>INVOICE A-06482228 Distribuidora Flexi SA de CV TC 918.97</t>
  </si>
  <si>
    <t>INVOICE A-06482229 Distribuidora Flexi SA de CV TC 918.97</t>
  </si>
  <si>
    <t>INVOICE A-06484579 Distribuidora Flexi SA de CV TC 919.94</t>
  </si>
  <si>
    <t>INVOICE A-06484580 Distribuidora Flexi SA de CV TC 919.94</t>
  </si>
  <si>
    <t>INVOICE A-06484581 Distribuidora Flexi SA de CV TC 919.94</t>
  </si>
  <si>
    <t>INVOICE A-06484582 Distribuidora Flexi SA de CV TC 919.94</t>
  </si>
  <si>
    <t>INVOICE A-06484583 Distribuidora Flexi SA de CV TC 919.94</t>
  </si>
  <si>
    <t>INVOICE A-06484584 Distribuidora Flexi SA de CV TC 919.94</t>
  </si>
  <si>
    <t>INVOICE A-06484585 Distribuidora Flexi SA de CV TC 919.94</t>
  </si>
  <si>
    <t>INVOICE A-06484586 Distribuidora Flexi SA de CV TC 919.94</t>
  </si>
  <si>
    <t>INVOICE A-06484587 Distribuidora Flexi SA de CV TC 919.94</t>
  </si>
  <si>
    <t>INVOICE A-06484588 Distribuidora Flexi SA de CV TC 919.94</t>
  </si>
  <si>
    <t>INVOICE A-06484589 Distribuidora Flexi SA de CV TC 919.94</t>
  </si>
  <si>
    <t>INVOICE A-06484590 Distribuidora Flexi SA de CV TC 919.94</t>
  </si>
  <si>
    <t>INVOICE A-06484591 Distribuidora Flexi SA de CV TC 919.94</t>
  </si>
  <si>
    <t>INVOICE A-06484592 Distribuidora Flexi SA de CV TC 919.94</t>
  </si>
  <si>
    <t>INVOICE A-06484593 Distribuidora Flexi SA de CV TC 919.94</t>
  </si>
  <si>
    <t>INVOICE A-06484594 Distribuidora Flexi SA de CV TC 919.94</t>
  </si>
  <si>
    <t>INVOICE A-06484595 Distribuidora Flexi SA de CV TC 919.94</t>
  </si>
  <si>
    <t>INVOICE A-06484596 Distribuidora Flexi SA de CV TC 919.94</t>
  </si>
  <si>
    <t>INVOICE A-06484597 Distribuidora Flexi SA de CV TC 919.94</t>
  </si>
  <si>
    <t>INVOICE A-06484598 Distribuidora Flexi SA de CV TC 919.94</t>
  </si>
  <si>
    <t>INVOICE A-06484599 Distribuidora Flexi SA de CV TC 919.94</t>
  </si>
  <si>
    <t>INVOICE A-06484600 Distribuidora Flexi SA de CV TC 919.94</t>
  </si>
  <si>
    <t>INVOICE A-06484601 Distribuidora Flexi SA de CV TC 919.94</t>
  </si>
  <si>
    <t>INVOICE A-06485469 Distribuidora Flexi SA de CV TC 919.94</t>
  </si>
  <si>
    <t>INVOICE A-06485470 Distribuidora Flexi SA de CV TC 919.94</t>
  </si>
  <si>
    <t>INVOICE A-06485471 Distribuidora Flexi SA de CV TC 919.94</t>
  </si>
  <si>
    <t>INVOICE A-06485472 Distribuidora Flexi SA de CV TC 919.94</t>
  </si>
  <si>
    <t>INVOICE A-06485562 Distribuidora Flexi SA de CV TC 919.94</t>
  </si>
  <si>
    <t>INVOICE A-06485567 Distribuidora Flexi SA de CV TC 919.94</t>
  </si>
  <si>
    <t>INVOICE A-06485568 Distribuidora Flexi SA de CV TC 919.94</t>
  </si>
  <si>
    <t>INVOICE A-06485569 Distribuidora Flexi SA de CV TC 919.94</t>
  </si>
  <si>
    <t>INVOICE A-06485570 Distribuidora Flexi SA de CV TC 919.94</t>
  </si>
  <si>
    <t>INVOICE A-06485571 Distribuidora Flexi SA de CV TC 919.94</t>
  </si>
  <si>
    <t>INVOICE A-06485572 Distribuidora Flexi SA de CV TC 919.94</t>
  </si>
  <si>
    <t>INVOICE A-06485573 Distribuidora Flexi SA de CV TC 919.94</t>
  </si>
  <si>
    <t>INVOICE A-06485574 Distribuidora Flexi SA de CV TC 919.94</t>
  </si>
  <si>
    <t>INVOICE A-06485575 Distribuidora Flexi SA de CV TC 919.94</t>
  </si>
  <si>
    <t>INVOICE A-06485576 Distribuidora Flexi SA de CV TC 919.94</t>
  </si>
  <si>
    <t>INVOICE A-06485577 Distribuidora Flexi SA de CV TC 919.94</t>
  </si>
  <si>
    <t>INVOICE A-06485580 Distribuidora Flexi SA de CV TC 919.94</t>
  </si>
  <si>
    <t>COMERCIALIZADORA AVYMAQ SPA F/2251 MESAS PLEGABLES REINSTALACION CEDIS</t>
  </si>
  <si>
    <t>ZAMBON Y ZAMBON F9132 50% Infraestructura Cedis 2.0 (Rack Pallet-Altillo)</t>
  </si>
  <si>
    <t>ZAMBON Y ZAMBON F9133 50% Infraestructura Cedis 2.0 (Rack Pallet-Altillo)</t>
  </si>
  <si>
    <t>ZAMBON Y ZAMBON FAC. NRO.9190 saldo  Infraestructura Cedis Zona Racks</t>
  </si>
  <si>
    <t>COCO DISEÑO FAC. NRO.46 50% Soporte tecnico y administrativo proyecto Tienda Talca</t>
  </si>
  <si>
    <t>BAP OBRAS CIVILES FAC. NRO.186 1er Anticipo Obras Tienda Mall Plaza Maule</t>
  </si>
  <si>
    <t>ESTRUCTURAS Y MONTAJES RAUL V. FAC. NRO.84 SALDO Carros Ecommerce-Mesones de trabajo</t>
  </si>
  <si>
    <t>ZAMBON Y ZAMBON FAC. NRO.9219 Saldo final Infraestructura Cedis Zona Altillo</t>
  </si>
  <si>
    <t>GRUPO DERZA SPA FAC. NRO.430 50% Anticipo Sistema Electrico General</t>
  </si>
  <si>
    <t>KREATINA SPA FAC. NRO.2359 Implementacion redes--datos- camaras Talca</t>
  </si>
  <si>
    <t>BAP OBRAS CIVILES SPA FAC. NRO.187 2do anticipo construcion oficina Cedis</t>
  </si>
  <si>
    <t>BAP OBRAS CIVILES SPA FAC. NRO.188 saldo tienda Talca</t>
  </si>
  <si>
    <t>BAP OBRAS CIVILES SPA FAC. NRO.190 2do anticipo construcion oficina Cedis</t>
  </si>
  <si>
    <t>ACCIONA FACILITY FAC. NRO.1200  Mantencion Electrica y Muebles Trebol Concepcion</t>
  </si>
  <si>
    <t>ACCIONA FACILITY  FAC. NRO.1201 Mantencion Electrica y Muebles Trebol Concepcion</t>
  </si>
  <si>
    <t>BAP OBRAS CIVILES SPA FAC. NRO.191 20% anticipo construccion  Tienda Talca(Bap Constructora)</t>
  </si>
  <si>
    <t>GRUPO DERZA SPA F439 proyecto elelctrico bodega</t>
  </si>
  <si>
    <t>COCO DISEÑO F49 proyecto Talca 50% final  Proyecto Arquitecto Talca</t>
  </si>
  <si>
    <t>BAP OBRAS CIVILES F193 avance</t>
  </si>
  <si>
    <t>BAP OBRAS CIVILES F195 Saldo obras tienda Talca (85%)</t>
  </si>
  <si>
    <t>BAP OBRAS CIVILES F196 asaldo obras Cedis</t>
  </si>
  <si>
    <t>BAP OBRAS CIVILES F197 Adicionales</t>
  </si>
  <si>
    <t>BAP OBRAS CIVILES F200 PERCHERAS BODEGA</t>
  </si>
  <si>
    <t>BAP OBRAS CIVILES F201 TRABAJO BODEGA</t>
  </si>
  <si>
    <t>Cetrik SPA F106 implementacion Vtex</t>
  </si>
  <si>
    <t>PERSONAL COMPUTER FACTORY S.A. F5111403 equipos cedis reinstalacion</t>
  </si>
  <si>
    <t>COM. VENTA AL POR MAYOR F338 Impresoras y equipos varios CEDIS</t>
  </si>
  <si>
    <t>Souther Technology F35877 Saldo Final sistema y redes Cedis</t>
  </si>
  <si>
    <t>EDAPI FAC. NRO.1478036 Saldo Final sistema y redes Cedis</t>
  </si>
  <si>
    <t xml:space="preserve">SOUTHERN TECNOLOGY FAC. NRO.36335 Hand hell bodega </t>
  </si>
  <si>
    <t>MARCIA LIZANA implementacion TALCA</t>
  </si>
  <si>
    <t>F1477287 EDAPI Sistema de redes Ceid</t>
  </si>
  <si>
    <t>CHANNELS MEDIA F13042 Pantalla Led fachada</t>
  </si>
  <si>
    <t>FOLLOWING F687 Impresora Termica/Impresora Multifuncional cedis 2023</t>
  </si>
  <si>
    <t>Amortización VMN Costanera Center 36/60</t>
  </si>
  <si>
    <t>Amortización VMN Florida Center 35/60</t>
  </si>
  <si>
    <t>Amortización VMN Concepcion Centro 18/60</t>
  </si>
  <si>
    <t>COCO DISEÑO FAC. 51 90%proyecto arq. Plaza norte</t>
  </si>
  <si>
    <t>BAP OBRAS CIVILES F204  ANTICIPO PLAZA NORTE</t>
  </si>
  <si>
    <t>BAP OBRAS CIVILES F205  ANTICIPO PLAZA NORTE</t>
  </si>
  <si>
    <t>EDAPI F1481562 aio lenovo neo 50a</t>
  </si>
  <si>
    <t xml:space="preserve">KREATINA SPA F2511 </t>
  </si>
  <si>
    <t>INVOICE A-06497597 Distribuidora Flexi SA de CV tc 948.85</t>
  </si>
  <si>
    <t>INVOICE A-06509361 Distribuidora Flexi SA de CV tc 911.51</t>
  </si>
  <si>
    <t>INVOICE A-06503829 Distribuidora Flexi SA de CV tc 923.37</t>
  </si>
  <si>
    <t>INVOICE A-06503830 Distribuidora Flexi SA de CV tc 923.37</t>
  </si>
  <si>
    <t>INVOICE A-06503831 Distribuidora Flexi SA de CV tc 923.37</t>
  </si>
  <si>
    <t>INVOICE A-06503832 Distribuidora Flexi SA de CV tc 923.37</t>
  </si>
  <si>
    <t>INVOICE A-06503833 Distribuidora Flexi SA de CV tc 923.37</t>
  </si>
  <si>
    <t>INVOICE A-06503834 Distribuidora Flexi SA de CV tc 923.37</t>
  </si>
  <si>
    <t>INVOICE A-06503835 Distribuidora Flexi SA de CV tc 923.37</t>
  </si>
  <si>
    <t>INVOICE A-06503836 Distribuidora Flexi SA de CV tc 923.37</t>
  </si>
  <si>
    <t>INVOICE A-06503837 Distribuidora Flexi SA de CV tc 923.37</t>
  </si>
  <si>
    <t>INVOICE A-06503839 Distribuidora Flexi SA de CV tc 923.37</t>
  </si>
  <si>
    <t>INVOICE A-06503840 Distribuidora Flexi SA de CV tc 923.37</t>
  </si>
  <si>
    <t>INVOICE A-06503841 Distribuidora Flexi SA de CV tc 923.37</t>
  </si>
  <si>
    <t>INVOICE A-06503842 Distribuidora Flexi SA de CV tc 923.37</t>
  </si>
  <si>
    <t>INVOICE A-06503843 Distribuidora Flexi SA de CV tc 923.37</t>
  </si>
  <si>
    <t>INVOICE A-06503844 Distribuidora Flexi SA de CV tc 923.37</t>
  </si>
  <si>
    <t>INVOICE A-06503845 Distribuidora Flexi SA de CV tc 923.37</t>
  </si>
  <si>
    <t>INVOICE A-06503846 Distribuidora Flexi SA de CV tc 923.37</t>
  </si>
  <si>
    <t>INVOICE A-06504452 Distribuidora Flexi SA de CV tc 923.37</t>
  </si>
  <si>
    <t>INVOICE A-06504453 Distribuidora Flexi SA de CV tc 923.37</t>
  </si>
  <si>
    <t>INVOICE A-06504454 Distribuidora Flexi SA de CV tc 923.37</t>
  </si>
  <si>
    <t>INVOICE A-06504455 Distribuidora Flexi SA de CV tc 923.37</t>
  </si>
  <si>
    <t>INVOICE A-06504456 Distribuidora Flexi SA de CV tc 923.37</t>
  </si>
  <si>
    <t>INVOICE A-06504457 Distribuidora Flexi SA de CV tc 923.37</t>
  </si>
  <si>
    <t>INVOICE A-06504458 Distribuidora Flexi SA de CV tc 923.37</t>
  </si>
  <si>
    <t>INVOICE A-06504459 Distribuidora Flexi SA de CV tc 923.37</t>
  </si>
  <si>
    <t>INVOICE A-06504460 Distribuidora Flexi SA de CV tc 923.37</t>
  </si>
  <si>
    <t>INVOICE A-06504461 Distribuidora Flexi SA de CV tc 923.37</t>
  </si>
  <si>
    <t>INVOICE A-06504462 Distribuidora Flexi SA de CV tc 923.37</t>
  </si>
  <si>
    <t>INVOICE A-06504463 Distribuidora Flexi SA de CV tc 923.37</t>
  </si>
  <si>
    <t>INVOICE A-06504464 Distribuidora Flexi SA de CV tc 923.37</t>
  </si>
  <si>
    <t>INVOICE A-06504465 Distribuidora Flexi SA de CV tc 923.37</t>
  </si>
  <si>
    <t>INVOICE A-06504466 Distribuidora Flexi SA de CV tc 923.37</t>
  </si>
  <si>
    <t>INVOICE A-06504467 Distribuidora Flexi SA de CV tc 923.37</t>
  </si>
  <si>
    <t>INVOICE A-06504468 Distribuidora Flexi SA de CV tc 923.37</t>
  </si>
  <si>
    <t>INVOICE A-06504469 Distribuidora Flexi SA de CV tc 923.37</t>
  </si>
  <si>
    <t>INVOICE A-06504470 Distribuidora Flexi SA de CV tc 923.37</t>
  </si>
  <si>
    <t>INVOICE A-06504471 Distribuidora Flexi SA de CV tc 923.37</t>
  </si>
  <si>
    <t>INVOICE A-06504472 Distribuidora Flexi SA de CV tc 923.37</t>
  </si>
  <si>
    <t>INVOICE A-06504473 Distribuidora Flexi SA de CV tc 923.37</t>
  </si>
  <si>
    <t>INVOICE A-06504474 Distribuidora Flexi SA de CV tc 923.37</t>
  </si>
  <si>
    <t>INVOICE A-06504475 Distribuidora Flexi SA de CV tc 923.37</t>
  </si>
  <si>
    <t>INVOICE A-06504476 Distribuidora Flexi SA de CV tc 923.37</t>
  </si>
  <si>
    <t>INVOICE A-06505596 Distribuidora Flexi SA de CV tc 923.37</t>
  </si>
  <si>
    <t>INVOICE A-06505597 Distribuidora Flexi SA de CV tc 923.37</t>
  </si>
  <si>
    <t>INVOICE A-06505625 Distribuidora Flexi SA de CV tc 923.37</t>
  </si>
  <si>
    <t>INVOICE A-06505626 Distribuidora Flexi SA de CV tc 923.37</t>
  </si>
  <si>
    <t>INVOICE A-06505627 Distribuidora Flexi SA de CV tc 923.37</t>
  </si>
  <si>
    <t>INVOICE A-06505628 Distribuidora Flexi SA de CV tc 923.37</t>
  </si>
  <si>
    <t>INVOICE A-06505629 Distribuidora Flexi SA de CV tc 923.37</t>
  </si>
  <si>
    <t>INVOICE A-06505630 Distribuidora Flexi SA de CV tc 923.37</t>
  </si>
  <si>
    <t>INVOICE A-06505631 Distribuidora Flexi SA de CV tc 923.37</t>
  </si>
  <si>
    <t>INVOICE A-06505632 Distribuidora Flexi SA de CV tc 923.37</t>
  </si>
  <si>
    <t>INVOICE A-06505633 Distribuidora Flexi SA de CV tc 923.37</t>
  </si>
  <si>
    <t>INVOICE A-06505634 Distribuidora Flexi SA de CV tc 923.37</t>
  </si>
  <si>
    <t>INVOICE A-06505635 Distribuidora Flexi SA de CV tc 923.37</t>
  </si>
  <si>
    <t>INVOICE A-06505636 Distribuidora Flexi SA de CV tc 923.37</t>
  </si>
  <si>
    <t>INVOICE A-06505637 Distribuidora Flexi SA de CV tc 923.37</t>
  </si>
  <si>
    <t>INVOICE A-06505638 Distribuidora Flexi SA de CV tc 923.37</t>
  </si>
  <si>
    <t>INVOICE A-06505639 Distribuidora Flexi SA de CV tc 923.37</t>
  </si>
  <si>
    <t>INVOICE A-06505663 Distribuidora Flexi SA de CV tc 923.37</t>
  </si>
  <si>
    <t>INVOICE A-06506216 Distribuidora Flexi SA de CV tc 923.37</t>
  </si>
  <si>
    <t>periodo Cierre</t>
  </si>
  <si>
    <t>periodo cierre</t>
  </si>
  <si>
    <t>Fondo Fijo Plaza Norte</t>
  </si>
  <si>
    <t>Amortización VMN Costanera Center 37/60</t>
  </si>
  <si>
    <t>Amortización VMN Florida Center 36/60</t>
  </si>
  <si>
    <t>Amortización VMN Concepcion Centro 19/60</t>
  </si>
  <si>
    <t>NORTE</t>
  </si>
  <si>
    <t>ALAN SMITH E.I.R.L. F1711 Ventiladores</t>
  </si>
  <si>
    <t>BAP OBRAS CIVILES F207  ANTICIPO PLAZA NORTE</t>
  </si>
  <si>
    <t>BAP OBRAS CIVILES F208  ANTICIPO PLAZA OESTE</t>
  </si>
  <si>
    <t>OESTE</t>
  </si>
  <si>
    <t>COCO DISEÑO FAC. 53</t>
  </si>
  <si>
    <t>COCO DISEÑO FAC. 55</t>
  </si>
  <si>
    <t>EDAPI F1481701</t>
  </si>
  <si>
    <t>EDAPI F1482167</t>
  </si>
  <si>
    <t>Efectivo en transito</t>
  </si>
  <si>
    <t>Clientes Boletas</t>
  </si>
  <si>
    <t>Detalle/Fecha</t>
  </si>
  <si>
    <t>BAP CONSTRUCTORA</t>
  </si>
  <si>
    <t>FLEXI PLAZA NORTE</t>
  </si>
  <si>
    <t>INVOICE A-06532203 Distribuidora Flexi SA de CV TC 923.74</t>
  </si>
  <si>
    <t>INVOICE A-06531208 Distribuidora Flexi SA de CV TC M329</t>
  </si>
  <si>
    <t>INVOICE A-06531209 Distribuidora Flexi SA de CV TC M329</t>
  </si>
  <si>
    <t>INVOICE A-06531210 Distribuidora Flexi SA de CV TC M329</t>
  </si>
  <si>
    <t>INVOICE A-06531211 Distribuidora Flexi SA de CV TC M329</t>
  </si>
  <si>
    <t>INVOICE A-06531212 Distribuidora Flexi SA de CV TC M329</t>
  </si>
  <si>
    <t>INVOICE A-06531213 Distribuidora Flexi SA de CV TC M329</t>
  </si>
  <si>
    <t>INVOICE A-06531214 Distribuidora Flexi SA de CV TC M329</t>
  </si>
  <si>
    <t>INVOICE A-06531215 Distribuidora Flexi SA de CV TC M329</t>
  </si>
  <si>
    <t>INVOICE A-06531216 Distribuidora Flexi SA de CV TC M329</t>
  </si>
  <si>
    <t>INVOICE A-06532203 Distribuidora Flexi SA de CV TC M329</t>
  </si>
  <si>
    <t>INVOICE A-06532204 Distribuidora Flexi SA de CV TC M329</t>
  </si>
  <si>
    <t>INVOICE A-06532206 Distribuidora Flexi SA de CV TC M329</t>
  </si>
  <si>
    <t>INVOICE A-06532207 Distribuidora Flexi SA de CV TC M329</t>
  </si>
  <si>
    <t>INVOICE A-06532208 Distribuidora Flexi SA de CV TC M329</t>
  </si>
  <si>
    <t>INVOICE A-06532284 Distribuidora Flexi SA de CV TC M329</t>
  </si>
  <si>
    <t>INVOICE A-06532285 Distribuidora Flexi SA de CV TC M329</t>
  </si>
  <si>
    <t>INVOICE A-06532286 Distribuidora Flexi SA de CV TC M329</t>
  </si>
  <si>
    <t>INVOICE A-06532288 Distribuidora Flexi SA de CV TC M329</t>
  </si>
  <si>
    <t>INVOICE A-06533573 Distribuidora Flexi SA de CV TC M329</t>
  </si>
  <si>
    <t>INVOICE A-06533574 Distribuidora Flexi SA de CV TC M329</t>
  </si>
  <si>
    <t>INVOICE A-06534331 Distribuidora Flexi SA de CV TC M329</t>
  </si>
  <si>
    <t>1.1.01.211</t>
  </si>
  <si>
    <t>FONSO FIJO PLAZA NORTE</t>
  </si>
  <si>
    <t>Resultado por siniestros</t>
  </si>
  <si>
    <t>PLAZA NORTE</t>
  </si>
  <si>
    <t>PLAZA OESTE</t>
  </si>
  <si>
    <t>Amortización VMN Costanera Center 38/60</t>
  </si>
  <si>
    <t>Amortización VMN Florida Center 37/60</t>
  </si>
  <si>
    <t>Amortización VMN Concepcion Centro 20/60</t>
  </si>
  <si>
    <t xml:space="preserve">BAP OBRAS CIVILES F212 </t>
  </si>
  <si>
    <t>CHANNELS MEDIA F13138</t>
  </si>
  <si>
    <t>KREATINA SPA F2556</t>
  </si>
  <si>
    <t>KREATINA SPA F2561</t>
  </si>
  <si>
    <t>KREATINA SPA F2572</t>
  </si>
  <si>
    <t>INVOICEA-06535901Distribuidora Flexi SA de CV USD 15961.8 TC961.29</t>
  </si>
  <si>
    <t>INVOICEA-06536647Distribuidora Flexi SA de CV USD 1002.9 TC956.54</t>
  </si>
  <si>
    <t>INVOICEA-06536648Distribuidora Flexi SA de CV USD 45300.6 TC956.54</t>
  </si>
  <si>
    <t>INVOICEA-06542689Distribuidora Flexi SA de CV USD 315 TC950.99</t>
  </si>
  <si>
    <t>INVOICEA-06546459Distribuidora Flexi SA de CV USD 4634.4 TC981.61</t>
  </si>
  <si>
    <t>INVOICEA-06551410Distribuidora Flexi SA de CV USD 67954.6 TC973.21</t>
  </si>
  <si>
    <t>INVOICEA-06555473Distribuidora Flexi SA de CV USD 419.4 TC976.89</t>
  </si>
  <si>
    <t>INVOICEA-06555474Distribuidora Flexi SA de CV USD 979.2 TC976.89</t>
  </si>
  <si>
    <t>INVOICEA-06555475Distribuidora Flexi SA de CV USD 1224 TC976.89</t>
  </si>
  <si>
    <t>INVOICEA-06555476Distribuidora Flexi SA de CV USD 979.2 TC976.89</t>
  </si>
  <si>
    <t>INVOICEA-06555477Distribuidora Flexi SA de CV USD 1224 TC976.89</t>
  </si>
  <si>
    <t>INVOICEA-06555478Distribuidora Flexi SA de CV USD 979.2 TC976.89</t>
  </si>
  <si>
    <t>INVOICEA-06555479Distribuidora Flexi SA de CV USD 979.2 TC976.89</t>
  </si>
  <si>
    <t>INVOICEA-06555481Distribuidora Flexi SA de CV USD 3232 TC976.89</t>
  </si>
  <si>
    <t>INVOICEA-06555482Distribuidora Flexi SA de CV USD 872 TC976.89</t>
  </si>
  <si>
    <t>INVOICEA-06555483Distribuidora Flexi SA de CV USD 1090 TC976.89</t>
  </si>
  <si>
    <t>INVOICEA-06555484Distribuidora Flexi SA de CV USD 707.1 TC976.89</t>
  </si>
  <si>
    <t>INVOICEA-06555485Distribuidora Flexi SA de CV USD 872 TC976.89</t>
  </si>
  <si>
    <t>INVOICEA-06555486Distribuidora Flexi SA de CV USD 6295.2 TC976.89</t>
  </si>
  <si>
    <t>INVOICEA-06555487Distribuidora Flexi SA de CV USD 6329.4 TC976.89</t>
  </si>
  <si>
    <t>INVOICEA-06555488Distribuidora Flexi SA de CV USD 4193.4 TC976.89</t>
  </si>
  <si>
    <t>INVOICEA-06555489Distribuidora Flexi SA de CV USD 872 TC976.89</t>
  </si>
  <si>
    <t>INVOICEA-06555490Distribuidora Flexi SA de CV USD 872 TC976.89</t>
  </si>
  <si>
    <t>INVOICEA-06556706Distribuidora Flexi SA de CV USD 30735.9 TC975.06</t>
  </si>
  <si>
    <t>INVOICEA-06557502Distribuidora Flexi SA de CV USD 472.8 TC975.41</t>
  </si>
  <si>
    <t>INVOICEA-06557503Distribuidora Flexi SA de CV USD 726 TC975.41</t>
  </si>
  <si>
    <t>INVOICEA-06557504Distribuidora Flexi SA de CV USD 1224 TC975.41</t>
  </si>
  <si>
    <t>INVOICEA-06557505Distribuidora Flexi SA de CV USD 1224 TC975.41</t>
  </si>
  <si>
    <t>INVOICEA-06557506Distribuidora Flexi SA de CV USD 4194.9 TC975.41</t>
  </si>
  <si>
    <t>INVOICEA-06557507Distribuidora Flexi SA de CV USD 648.4 TC975.41</t>
  </si>
  <si>
    <t>INVOICEA-06557508Distribuidora Flexi SA de CV USD 872 TC975.41</t>
  </si>
  <si>
    <t>INVOICEA-06557509Distribuidora Flexi SA de CV USD 872 TC975.41</t>
  </si>
  <si>
    <t>INVOICEA-06557510Distribuidora Flexi SA de CV USD 872 TC975.41</t>
  </si>
  <si>
    <t>INVOICEA-06557511Distribuidora Flexi SA de CV USD 1734.9 TC975.41</t>
  </si>
  <si>
    <t>INVOICEA-06557512Distribuidora Flexi SA de CV USD 1153.5 TC975.41</t>
  </si>
  <si>
    <t>INVOICEA-06557513Distribuidora Flexi SA de CV USD 10502.6 TC975.41</t>
  </si>
  <si>
    <t>INVOICEA-06557514Distribuidora Flexi SA de CV USD 7239.6 TC975.41</t>
  </si>
  <si>
    <t>INVOICEA-06558182Distribuidora Flexi SA de CV USD 13885.8 TC977.32</t>
  </si>
  <si>
    <t>INVOICEA-06558183Distribuidora Flexi SA de CV USD 2043 TC977.32</t>
  </si>
  <si>
    <t>INVOICEA-06558187Distribuidora Flexi SA de CV USD 1710 TC977.32</t>
  </si>
  <si>
    <t>INVOICEA-06558188Distribuidora Flexi SA de CV USD 8217 TC977.32</t>
  </si>
  <si>
    <t>INVOICEA-06558189Distribuidora Flexi SA de CV USD 6191.04 TC977.32</t>
  </si>
  <si>
    <t>INVOICEA-06558190Distribuidora Flexi SA de CV USD 10754.1 TC977.32</t>
  </si>
  <si>
    <t>INVOICEA-06558191Distribuidora Flexi SA de CV USD 2946.6 TC977.32</t>
  </si>
  <si>
    <t>Invoice AB-29289 Distribuidora Alyc TC 881.3</t>
  </si>
  <si>
    <t>Invoice AB-27900 Distribuidora Alyc TC 927.15</t>
  </si>
  <si>
    <t>Invoice AB-27227 Distribuidora Alyc TC 911.01</t>
  </si>
  <si>
    <t>Invoice AB-25820 Distribuidora Alyc TC 943.77</t>
  </si>
  <si>
    <t>Invoice AB-24417 Distribuidora Alyc TC 914.86</t>
  </si>
  <si>
    <t>Invoice AB-24416 Distribuidora Alyc TC 914.86</t>
  </si>
  <si>
    <t>Invoice AB-22119 Distribuidora Alyc TC 950.77</t>
  </si>
  <si>
    <t>Invoice AB-22118 Distribuidora Alyc TC 950.77</t>
  </si>
  <si>
    <t>Invoice AB-20340 Distribuidora Alyc TC 945.56</t>
  </si>
  <si>
    <t>Invoice AB-19777 Distribuidora Alyc TC 971.92</t>
  </si>
  <si>
    <t>Invoice AB-19776 Distribuidora Alyc TC 971.92</t>
  </si>
  <si>
    <t>Invoice AB-17154 Distribuidora Alyc TC 874.42</t>
  </si>
  <si>
    <t>Socios</t>
  </si>
  <si>
    <t>Grupo Calzado Flexi, S.A.P.I de C.V</t>
  </si>
  <si>
    <t>acciones</t>
  </si>
  <si>
    <t>%</t>
  </si>
  <si>
    <t>Monto USD</t>
  </si>
  <si>
    <t>Monto CLP</t>
  </si>
  <si>
    <t>Flexi Retail International, S.L.,</t>
  </si>
  <si>
    <t>MARIA ISABEL SANTANA MOLINA</t>
  </si>
  <si>
    <t>periodo de cierre</t>
  </si>
  <si>
    <t>Fondo Fijo Plaza Oeste</t>
  </si>
  <si>
    <t>INVOICEA-06572513 Distribuidora Flexi SA de CV USD 1260 TC983.25</t>
  </si>
  <si>
    <t>INVOICEA-06573381 Distribuidora Flexi SA de CV USD 1260 TC990.87</t>
  </si>
  <si>
    <t>INVOICEA-XXX Distribuidora Flexi SA de CV USD 237.10 TC996.35</t>
  </si>
  <si>
    <t>INVOICEA-06573061 Distribuidora Flexi SA de CV USD 8936 TC989.93</t>
  </si>
  <si>
    <t>INVOICEA-06573062 Distribuidora Flexi SA de CV USD 19531.20 TC989.93</t>
  </si>
  <si>
    <t>INVOICEA-06573230 Distribuidora Flexi SA de CV USD 8496.40 TC989.93</t>
  </si>
  <si>
    <t>INVOICEA-06573231 Distribuidora Flexi SA de CV USD 15842.80 TC989.93</t>
  </si>
  <si>
    <t>FLEXI PLAZA OESTE</t>
  </si>
  <si>
    <t>Amortización VMN Costanera Center 39/60</t>
  </si>
  <si>
    <t>Amortización VMN Florida Center 38/60</t>
  </si>
  <si>
    <t>Amortización VMN Concepcion Centro 21/60</t>
  </si>
  <si>
    <t>BAP OBRAS CIVILES SPA F215</t>
  </si>
  <si>
    <t>BAP OBRAS CIVILES SPA F216</t>
  </si>
  <si>
    <t>COCO DISEÑO FAC. 56</t>
  </si>
  <si>
    <t xml:space="preserve">KREATINA SPA F2614 </t>
  </si>
  <si>
    <t>CHANNELS MEDIA F13168</t>
  </si>
  <si>
    <t>CHANNELS MEDIA F13169</t>
  </si>
  <si>
    <t>Diferencia cobranza</t>
  </si>
  <si>
    <t>Bonificación intereses Diciembre 2023 N-65  USD220.25</t>
  </si>
  <si>
    <t>BOLETA DE GARANTIA- Plaza Maule UF140.4</t>
  </si>
  <si>
    <t>BOLETA DE GARANTIA- Santiago Centro UF400</t>
  </si>
  <si>
    <t>BOLETA DE GARANTIA- Concepcion Centro UF 127.06</t>
  </si>
  <si>
    <t>PROVISION ABRAHAM PINO (espejos talca)</t>
  </si>
  <si>
    <t>PROVISION ANTCIIOS BAP CONSTRUCTORA PLAZA OESTE</t>
  </si>
  <si>
    <t>1.2.02.405</t>
  </si>
  <si>
    <t>1.1.01.212</t>
  </si>
  <si>
    <t>FONDO FIJO PLAZA OESTE</t>
  </si>
  <si>
    <t>ACTIVO EN CONSTRUCCION</t>
  </si>
  <si>
    <t>Saldo al cierre</t>
  </si>
  <si>
    <t>Movimientos de patrimonio durante el ejercicio 2025 - Moneda Dólar</t>
  </si>
  <si>
    <t>Invoice A-06579900 Distribuidora Flexi SA de Cv USD 588.3 T/C 1007.51</t>
  </si>
  <si>
    <t>Invoice A-06579901 Distribuidora Flexi SA de Cv USD 194.7 T/C 1007.51</t>
  </si>
  <si>
    <t>Invoice A-06579902 Distribuidora Flexi SA de Cv USD 1464 T/C 1007.51</t>
  </si>
  <si>
    <t>Invoice A-06579903 Distribuidora Flexi SA de Cv USD 259.6 T/C 1007.51</t>
  </si>
  <si>
    <t>Invoice A-06579904 Distribuidora Flexi SA de Cv USD 1764 T/C 1007.51</t>
  </si>
  <si>
    <t>Invoice A-06579905 Distribuidora Flexi SA de Cv USD 259.6 T/C 1007.51</t>
  </si>
  <si>
    <t>Invoice A-06579906 Distribuidora Flexi SA de Cv USD 1764 T/C 1007.51</t>
  </si>
  <si>
    <t>Invoice A-06579908 Distribuidora Flexi SA de Cv USD 8235.3 T/C 1007.51</t>
  </si>
  <si>
    <t>Invoice A-06579911 Distribuidora Flexi SA de Cv USD 5322.24 T/C 1007.51</t>
  </si>
  <si>
    <t>Invoice A-06579916 Distribuidora Flexi SA de Cv USD 8379 T/C 1007.51</t>
  </si>
  <si>
    <t>Invoice A-06579919 Distribuidora Flexi SA de Cv USD 955.5 T/C 1007.51</t>
  </si>
  <si>
    <t>Invoice A-06579921 Distribuidora Flexi SA de Cv USD 259.6 T/C 1007.51</t>
  </si>
  <si>
    <t>Invoice A-06579923 Distribuidora Flexi SA de Cv USD 1394.5 T/C 1007.51</t>
  </si>
  <si>
    <t>Invoice A-06579925 Distribuidora Flexi SA de Cv USD 259.6 T/C 1007.51</t>
  </si>
  <si>
    <t>Invoice A-06579926 Distribuidora Flexi SA de Cv USD 1694.5 T/C 1007.51</t>
  </si>
  <si>
    <t>Invoice A-06579927 Distribuidora Flexi SA de Cv USD 194.7 T/C 1007.51</t>
  </si>
  <si>
    <t>Invoice A-06579928 Distribuidora Flexi SA de Cv USD 1394.5 T/C 1007.51</t>
  </si>
  <si>
    <t>Invoice A-06579929 Distribuidora Flexi SA de Cv USD 259.6 T/C 1007.51</t>
  </si>
  <si>
    <t>Invoice A-06579930 Distribuidora Flexi SA de Cv USD 1394.5 T/C 1007.51</t>
  </si>
  <si>
    <t>Invoice A-06579931 Distribuidora Flexi SA de Cv USD 868.8 T/C 1007.51</t>
  </si>
  <si>
    <t>Invoice A-06579932 Distribuidora Flexi SA de Cv USD 259.6 T/C 1007.51</t>
  </si>
  <si>
    <t>Invoice A-06579933 Distribuidora Flexi SA de Cv USD 1394.5 T/C 1007.51</t>
  </si>
  <si>
    <t>Invoice A-06579934 Distribuidora Flexi SA de Cv USD 784.4 T/C 1007.51</t>
  </si>
  <si>
    <t>Invoice A-06579935 Distribuidora Flexi SA de Cv USD 1764 T/C 1007.51</t>
  </si>
  <si>
    <t>Invoice A-06579936 Distribuidora Flexi SA de Cv USD 1394.5 T/C 1007.51</t>
  </si>
  <si>
    <t>Invoice A-06579970 Distribuidora Flexi SA de Cv USD 3487.6 T/C 1007.51</t>
  </si>
  <si>
    <t>Invoice A-06579971 Distribuidora Flexi SA de Cv USD 3487.6 T/C 1007.51</t>
  </si>
  <si>
    <t>Invoice A-06579972 Distribuidora Flexi SA de Cv USD 3487.6 T/C 1007.51</t>
  </si>
  <si>
    <t>Invoice A-06579977 Distribuidora Flexi SA de Cv USD 24414.3 T/C 1007.51</t>
  </si>
  <si>
    <t>Invoice A-06579980 Distribuidora Flexi SA de Cv USD 4594.08 T/C 1007.51</t>
  </si>
  <si>
    <t>Invoice A-06579981 Distribuidora Flexi SA de Cv USD 7220.8 T/C 1007.51</t>
  </si>
  <si>
    <t>Invoice A-06579982 Distribuidora Flexi SA de Cv USD 6648 T/C 1007.51</t>
  </si>
  <si>
    <t>Invoice A-06579983 Distribuidora Flexi SA de Cv USD 4163.4 T/C 1007.51</t>
  </si>
  <si>
    <t>Invoice A-06579984 Distribuidora Flexi SA de Cv USD 210.8 T/C 1007.51</t>
  </si>
  <si>
    <t>Invoice A-06579985 Distribuidora Flexi SA de Cv USD 210.8 T/C 1007.51</t>
  </si>
  <si>
    <t>Invoice A-06579986 Distribuidora Flexi SA de Cv USD 2795.9 T/C 1007.51</t>
  </si>
  <si>
    <t>Invoice A-06579987 Distribuidora Flexi SA de Cv USD 263.5 T/C 1007.51</t>
  </si>
  <si>
    <t>Invoice A-06579988 Distribuidora Flexi SA de Cv USD 3487.6 T/C 1007.51</t>
  </si>
  <si>
    <t>Invoice A-06579989 Distribuidora Flexi SA de Cv USD 210.8 T/C 1007.51</t>
  </si>
  <si>
    <t>Invoice A-06579990 Distribuidora Flexi SA de Cv USD 2858.6 T/C 1007.51</t>
  </si>
  <si>
    <t>Invoice A-06579991 Distribuidora Flexi SA de Cv USD 210.8 T/C 1007.51</t>
  </si>
  <si>
    <t>Invoice A-06579992 Distribuidora Flexi SA de Cv USD 3297.9 T/C 1007.51</t>
  </si>
  <si>
    <t>Invoice A-06579993 Distribuidora Flexi SA de Cv USD 5244 T/C 1007.51</t>
  </si>
  <si>
    <t>Invoice A-06579994 Distribuidora Flexi SA de Cv USD 579.8 T/C 1007.51</t>
  </si>
  <si>
    <t>Invoice A-06579995 Distribuidora Flexi SA de Cv USD 4874.4 T/C 1007.51</t>
  </si>
  <si>
    <t>Invoice A-06579996 Distribuidora Flexi SA de Cv USD 2858.6 T/C 1007.51</t>
  </si>
  <si>
    <t>Invoice A-06579997 Distribuidora Flexi SA de Cv USD 206.8 T/C 1007.51</t>
  </si>
  <si>
    <t>Invoice A-06579998 Distribuidora Flexi SA de Cv USD 3487.6 T/C 1007.51</t>
  </si>
  <si>
    <t>Invoice A-06579999 Distribuidora Flexi SA de Cv USD 2795.9 T/C 1007.51</t>
  </si>
  <si>
    <t>Invoice A-06595148 Distribuidora Flexi SA de Cv USD 8398 T/C 985.64</t>
  </si>
  <si>
    <t>Invoice A-06595149 Distribuidora Flexi SA de Cv USD 22738.6 T/C 985.64</t>
  </si>
  <si>
    <t>Invoice A-06595777 Distribuidora Flexi SA de Cv USD 4096.8 T/C 992.07</t>
  </si>
  <si>
    <t>Invoice A-06595778 Distribuidora Flexi SA de Cv USD 10722 T/C 992.07</t>
  </si>
  <si>
    <t>Amortización VMN Costanera Center 40/60</t>
  </si>
  <si>
    <t>Amortización VMN Florida Center 39/60</t>
  </si>
  <si>
    <t>Amortización VMN Concepcion Centro 22/60</t>
  </si>
  <si>
    <t>77.227.317-7</t>
  </si>
  <si>
    <t>Anticipo Honorarios Total</t>
  </si>
  <si>
    <t>Anticipo Proveedores Total</t>
  </si>
  <si>
    <t>Fondos por Rendir Total</t>
  </si>
  <si>
    <t>BAP OBRAS CIVILES SPA F218</t>
  </si>
  <si>
    <t>BAP OBRAS CIVILES SPA F219</t>
  </si>
  <si>
    <t xml:space="preserve">Latam fit </t>
  </si>
  <si>
    <t>ok</t>
  </si>
  <si>
    <t>Invoice A-06610153Distribuidora Flexi S de CV  USD 1260 TC 961.89</t>
  </si>
  <si>
    <t>Invoice A-06609290Distribuidora Flexi S de CV  USD 4625.8 TC 961.89</t>
  </si>
  <si>
    <t>Invoice A-06609291Distribuidora Flexi S de CV  USD 1032 TC 961.89</t>
  </si>
  <si>
    <t>Invoice A-06609292Distribuidora Flexi S de CV  USD 5085 TC 961.89</t>
  </si>
  <si>
    <t>Invoice A-06609293Distribuidora Flexi S de CV  USD 1032 TC 961.89</t>
  </si>
  <si>
    <t>Invoice A-06609294Distribuidora Flexi S de CV  USD 5212 TC 961.89</t>
  </si>
  <si>
    <t>Invoice A-06609295Distribuidora Flexi S de CV  USD 1032 TC 961.89</t>
  </si>
  <si>
    <t>Invoice A-06609296Distribuidora Flexi S de CV  USD 2830.2 TC 961.89</t>
  </si>
  <si>
    <t>Invoice A-06609297Distribuidora Flexi S de CV  USD 8681.1 TC 961.89</t>
  </si>
  <si>
    <t>Invoice A-06609298Distribuidora Flexi S de CV  USD 424.2 TC 961.89</t>
  </si>
  <si>
    <t>Invoice A-06609299Distribuidora Flexi S de CV  USD 1572 TC 961.89</t>
  </si>
  <si>
    <t>Invoice A-06609300Distribuidora Flexi S de CV  USD 3942 TC 961.89</t>
  </si>
  <si>
    <t>Invoice A-06609301Distribuidora Flexi S de CV  USD 9056.8 TC 961.89</t>
  </si>
  <si>
    <t>Invoice A-06609302Distribuidora Flexi S de CV  USD 1032 TC 961.89</t>
  </si>
  <si>
    <t>Invoice A-06609303Distribuidora Flexi S de CV  USD 4988.9 TC 961.89</t>
  </si>
  <si>
    <t>Invoice A-06609304Distribuidora Flexi S de CV  USD 9129.1 TC 961.89</t>
  </si>
  <si>
    <t>Invoice A-06609305Distribuidora Flexi S de CV  USD 1032 TC 961.89</t>
  </si>
  <si>
    <t>Invoice A-06609306Distribuidora Flexi S de CV  USD 4231 TC 961.89</t>
  </si>
  <si>
    <t>Invoice A-06609309Distribuidora Flexi S de CV  USD 7136 TC 961.89</t>
  </si>
  <si>
    <t>Invoice A-06609311Distribuidora Flexi S de CV  USD 1032 TC 961.89</t>
  </si>
  <si>
    <t>Invoice A-06609314Distribuidora Flexi S de CV  USD 3942 TC 961.89</t>
  </si>
  <si>
    <t>Invoice A-06609316Distribuidora Flexi S de CV  USD 8185.6 TC 961.89</t>
  </si>
  <si>
    <t>Invoice A-06609318Distribuidora Flexi S de CV  USD 1032 TC 961.89</t>
  </si>
  <si>
    <t>Invoice A-06609319Distribuidora Flexi S de CV  USD 4423.3 TC 961.89</t>
  </si>
  <si>
    <t>Invoice A-06609320Distribuidora Flexi S de CV  USD 6081.8 TC 961.89</t>
  </si>
  <si>
    <t>Invoice A-06609321Distribuidora Flexi S de CV  USD 1032 TC 961.89</t>
  </si>
  <si>
    <t>Invoice A-06609322Distribuidora Flexi S de CV  USD 5212 TC 961.89</t>
  </si>
  <si>
    <t>Invoice A-06609323Distribuidora Flexi S de CV  USD 7394.6 TC 961.89</t>
  </si>
  <si>
    <t>Invoice A-06609324Distribuidora Flexi S de CV  USD 1032 TC 961.89</t>
  </si>
  <si>
    <t>Invoice A-06609325Distribuidora Flexi S de CV  USD 4154.1 TC 961.89</t>
  </si>
  <si>
    <t>Invoice A-06609326Distribuidora Flexi S de CV  USD 1032 TC 961.89</t>
  </si>
  <si>
    <t>Invoice A-06609327Distribuidora Flexi S de CV  USD 7353.7 TC 961.89</t>
  </si>
  <si>
    <t>Invoice A-06609328Distribuidora Flexi S de CV  USD 8825.3 TC 961.89</t>
  </si>
  <si>
    <t>Invoice A-06609329Distribuidora Flexi S de CV  USD 5740.1 TC 961.89</t>
  </si>
  <si>
    <t>Invoice A-06609335Distribuidora Flexi S de CV  USD 1913.7 TC 961.89</t>
  </si>
  <si>
    <t>Invoice A-06609336Distribuidora Flexi S de CV  USD 7434.6 TC 961.89</t>
  </si>
  <si>
    <t>Invoice A-06609337Distribuidora Flexi S de CV  USD 1524 TC 961.89</t>
  </si>
  <si>
    <t>Invoice A-06609498Distribuidora Flexi S de CV  USD 84903.9 TC 961.89</t>
  </si>
  <si>
    <t>Invoice A-06609507Distribuidora Flexi S de CV  USD 2396.1 TC 961.89</t>
  </si>
  <si>
    <t>Invoice A-06609519Distribuidora Flexi S de CV  USD 29883.9 TC 961.89</t>
  </si>
  <si>
    <t>Invoice A-06609879Distribuidora Flexi S de CV  USD 187.5 TC 961.89</t>
  </si>
  <si>
    <t>Invoice A-06609880Distribuidora Flexi S de CV  USD 210.3 TC 961.89</t>
  </si>
  <si>
    <t>Amortización VMN Costanera Center 41/60</t>
  </si>
  <si>
    <t>Amortización VMN Florida Center 40/60</t>
  </si>
  <si>
    <t>Amortización VMN Concepcion Centro 23/60</t>
  </si>
  <si>
    <t>PANORAMICA3D SPA, TARIMAS VITRINAS</t>
  </si>
  <si>
    <t>ANTICIPO CLIENTES</t>
  </si>
  <si>
    <t>ANGELO MEDINA</t>
  </si>
  <si>
    <t>ALVARO GONZALEZ SALINAS</t>
  </si>
  <si>
    <t>97.036.000-k</t>
  </si>
  <si>
    <t>96.689.310-9</t>
  </si>
  <si>
    <t>10.980.520-3</t>
  </si>
  <si>
    <t>17.257.358-4</t>
  </si>
  <si>
    <t>Anticipo Agente de  Aduaba Total</t>
  </si>
  <si>
    <t>enero y feb</t>
  </si>
  <si>
    <t>HIDALGO DIC 2.521.008 ENE 2.819.732 FEB 3.040.000</t>
  </si>
  <si>
    <t>Invoice A-06643219 Distribuidora Flexi S de CV   USD 27950 TC 926.52</t>
  </si>
  <si>
    <t>Invoice A-06643220 Distribuidora Flexi S de CV   USD 44237.6 TC 926.52</t>
  </si>
  <si>
    <t>Invoice A-06646499 Distribuidora Flexi S de CV   USD 1414.1 TC 937.45</t>
  </si>
  <si>
    <t>Invoice A-06646500 Distribuidora Flexi S de CV   USD 3204 TC 937.45</t>
  </si>
  <si>
    <t>Invoice A-06646501 Distribuidora Flexi S de CV   USD 10509 TC 937.45</t>
  </si>
  <si>
    <t>Invoice A-06646502 Distribuidora Flexi S de CV   USD 4302 TC 937.45</t>
  </si>
  <si>
    <t>Invoice A-06646503 Distribuidora Flexi S de CV   USD 1384.2 TC 937.45</t>
  </si>
  <si>
    <t>Invoice A-06646504 Distribuidora Flexi S de CV   USD 15785 TC 937.45</t>
  </si>
  <si>
    <t>Invoice A-06646510 Distribuidora Flexi S de CV   USD 1439.4 TC 937.45</t>
  </si>
  <si>
    <t>Invoice A-06646511 Distribuidora Flexi S de CV   USD 984.6 TC 937.45</t>
  </si>
  <si>
    <t>Invoice A-06646513 Distribuidora Flexi S de CV   USD 547 TC 937.45</t>
  </si>
  <si>
    <t>Invoice A-06646514 Distribuidora Flexi S de CV   USD 3163.2 TC 937.45</t>
  </si>
  <si>
    <t>Invoice A-06646518 Distribuidora Flexi S de CV   USD 1787.2 TC 937.45</t>
  </si>
  <si>
    <t>Invoice A-06646519 Distribuidora Flexi S de CV   USD 3204 TC 937.45</t>
  </si>
  <si>
    <t>Invoice A-06646520 Distribuidora Flexi S de CV   USD 1787.2 TC 937.45</t>
  </si>
  <si>
    <t>Invoice A-06646521 Distribuidora Flexi S de CV   USD 3204 TC 937.45</t>
  </si>
  <si>
    <t>Invoice A-06646522 Distribuidora Flexi S de CV   USD 863.4 TC 937.45</t>
  </si>
  <si>
    <t>Invoice A-06646523 Distribuidora Flexi S de CV   USD 3204 TC 937.45</t>
  </si>
  <si>
    <t>Invoice A-06646524 Distribuidora Flexi S de CV   USD 1414.1 TC 937.45</t>
  </si>
  <si>
    <t>Invoice A-06646525 Distribuidora Flexi S de CV   USD 3204 TC 937.45</t>
  </si>
  <si>
    <t>Invoice A-06646526 Distribuidora Flexi S de CV   USD 266.8 TC 937.45</t>
  </si>
  <si>
    <t>Invoice A-06646527 Distribuidora Flexi S de CV   USD 1414.1 TC 937.45</t>
  </si>
  <si>
    <t>Invoice A-06646528 Distribuidora Flexi S de CV   USD 3204 TC 937.45</t>
  </si>
  <si>
    <t>Invoice A-06646529 Distribuidora Flexi S de CV   USD 863.4 TC 937.45</t>
  </si>
  <si>
    <t>Invoice A-06646530 Distribuidora Flexi S de CV   USD 3204 TC 937.45</t>
  </si>
  <si>
    <t>Invoice A-06646531 Distribuidora Flexi S de CV   USD 1414.1 TC 937.45</t>
  </si>
  <si>
    <t>Invoice A-06646532 Distribuidora Flexi S de CV   USD 3204 TC 937.45</t>
  </si>
  <si>
    <t>Invoice A-06646533 Distribuidora Flexi S de CV   USD 1787.2 TC 937.45</t>
  </si>
  <si>
    <t>Invoice A-06646534 Distribuidora Flexi S de CV   USD 3204 TC 937.45</t>
  </si>
  <si>
    <t>Invoice A-06646535 Distribuidora Flexi S de CV   USD 1340.4 TC 937.45</t>
  </si>
  <si>
    <t>Invoice A-06646536 Distribuidora Flexi S de CV   USD 3204 TC 937.45</t>
  </si>
  <si>
    <t>Invoice A-06646537 Distribuidora Flexi S de CV   USD 9446.25 TC 937.45</t>
  </si>
  <si>
    <t>Invoice A-06646538 Distribuidora Flexi S de CV   USD 2938.5 TC 937.45</t>
  </si>
  <si>
    <t>Invoice A-06646549 Distribuidora Flexi S de CV   USD 82606.8 TC 937.45</t>
  </si>
  <si>
    <t>Invoice A-06646550 Distribuidora Flexi S de CV   USD 8618.4 TC 937.45</t>
  </si>
  <si>
    <t>Invoice A-06646551 Distribuidora Flexi S de CV   USD 14176.5 TC 937.45</t>
  </si>
  <si>
    <t>Invoice A-06646554 Distribuidora Flexi S de CV   USD 2670 TC 937.45</t>
  </si>
  <si>
    <t>Invoice A-06646555 Distribuidora Flexi S de CV   USD 8925.45 TC 937.45</t>
  </si>
  <si>
    <t>Invoice A-06646556 Distribuidora Flexi S de CV   USD 2938.5 TC 937.45</t>
  </si>
  <si>
    <t>Invoice A-06646557 Distribuidora Flexi S de CV   USD 8335.5 TC 937.45</t>
  </si>
  <si>
    <t>Invoice A-06646558 Distribuidora Flexi S de CV   USD 2938.5 TC 937.45</t>
  </si>
  <si>
    <t>Invoice A-06646559 Distribuidora Flexi S de CV   USD 6829.85 TC 937.45</t>
  </si>
  <si>
    <t>Invoice A-06646560 Distribuidora Flexi S de CV   USD 2396 TC 937.45</t>
  </si>
  <si>
    <t>Invoice A-06646562 Distribuidora Flexi S de CV   USD 8335.5 TC 937.45</t>
  </si>
  <si>
    <t>Invoice A-06646563 Distribuidora Flexi S de CV   USD 2938.5 TC 937.45</t>
  </si>
  <si>
    <t>Invoice A-06646564 Distribuidora Flexi S de CV   USD 7078.95 TC 937.45</t>
  </si>
  <si>
    <t>Invoice A-06646565 Distribuidora Flexi S de CV   USD 2634 TC 937.45</t>
  </si>
  <si>
    <t>Invoice A-06646566 Distribuidora Flexi S de CV   USD 7514.1 TC 937.45</t>
  </si>
  <si>
    <t>Invoice A-06646567 Distribuidora Flexi S de CV   USD 2634 TC 937.45</t>
  </si>
  <si>
    <t>Invoice A-06646568 Distribuidora Flexi S de CV   USD 2037 TC 937.45</t>
  </si>
  <si>
    <t>Invoice A-06646569 Distribuidora Flexi S de CV   USD 6880.75 TC 937.45</t>
  </si>
  <si>
    <t>Invoice A-06646570 Distribuidora Flexi S de CV   USD 2634 TC 937.45</t>
  </si>
  <si>
    <t>Invoice A-06646572 Distribuidora Flexi S de CV   USD 7258.25 TC 937.45</t>
  </si>
  <si>
    <t>Invoice A-06646573 Distribuidora Flexi S de CV   USD 2938.5 TC 937.45</t>
  </si>
  <si>
    <t>Invoice A-06646574 Distribuidora Flexi S de CV   USD 6267.45 TC 937.45</t>
  </si>
  <si>
    <t>Invoice A-06646575 Distribuidora Flexi S de CV   USD 2634 TC 937.45</t>
  </si>
  <si>
    <t>Invoice A-06646887 Distribuidora Flexi S de CV   USD 178.5 TC 937.45</t>
  </si>
  <si>
    <t>Invoice A-06646888 Distribuidora Flexi S de CV   USD 238 TC 937.45</t>
  </si>
  <si>
    <t>Invoice A-06646889 Distribuidora Flexi S de CV   USD 1445.1 TC 937.45</t>
  </si>
  <si>
    <t>Invoice A-06644716 Distribuidora Flexi S de CV   USD 1260 TC 928.25</t>
  </si>
  <si>
    <t>Invoice A-06671425 Distribuidora Flexi S de CV   USD 1260 TC 946.1</t>
  </si>
  <si>
    <t>Amortización VMN Costanera Center 42/60</t>
  </si>
  <si>
    <t>Amortización VMN Florida Center 41/60</t>
  </si>
  <si>
    <t>Amortización VMN Concepcion Centro 24/60</t>
  </si>
  <si>
    <t>BAP OBRAS CIVILES SPA F227 OESTE</t>
  </si>
  <si>
    <t>BAP OBRAS CIVILES SPA F228</t>
  </si>
  <si>
    <t>BAP OBRAS CIVILES SPA F229</t>
  </si>
  <si>
    <t>BAP OBRAS CIVILES SPA F231</t>
  </si>
  <si>
    <t>SUELDOS EGAÑA</t>
  </si>
  <si>
    <t>SUELDOS TREBOL</t>
  </si>
  <si>
    <t>SUELDOS COSTANERA</t>
  </si>
  <si>
    <t>SUELDOS FLORIDA CENTER</t>
  </si>
  <si>
    <t>SUELDOS ESTADO</t>
  </si>
  <si>
    <t>SUELDOS TALCA</t>
  </si>
  <si>
    <t>SUELDOS PLAZA NORTE</t>
  </si>
  <si>
    <t>76.976.740-1</t>
  </si>
  <si>
    <t>3.2.08.117</t>
  </si>
  <si>
    <t>INTERES GANADOS FONDOS MUTUOS</t>
  </si>
  <si>
    <t>DESCUENTOS GIFTCARD</t>
  </si>
  <si>
    <t>INTERES GANADO FONDOS MUTUOS</t>
  </si>
  <si>
    <t>3.1.02.109</t>
  </si>
  <si>
    <t>GETTY IMAGES</t>
  </si>
  <si>
    <t>Amortización VMN Costanera Center 43/60</t>
  </si>
  <si>
    <t>Amortización VMN Florida Center 42/60</t>
  </si>
  <si>
    <t>Amortización VMN Concepcion Centro 25/60</t>
  </si>
  <si>
    <t>IMP Y EXP DE PRODUCTOS TEC. F119765 LECTOR DVD</t>
  </si>
  <si>
    <t>ADAN ENRIQUE LOPEZ GALLARDO F497 ROUTER</t>
  </si>
  <si>
    <t>ADAN ENRIQUE LOPEZ GALLARDO F496 ROUTER</t>
  </si>
  <si>
    <t>Bolsas impresas</t>
  </si>
  <si>
    <t>Invoice A-06686288 Distribuidora Flexi S de CV  USD 2280 TC968.71</t>
  </si>
  <si>
    <t>Invoice A-06675516 Distribuidora Flexi S de CV  USD 216.9 TC946.59</t>
  </si>
  <si>
    <t>Invoice A-06675517 Distribuidora Flexi S de CV  USD 751.2 TC946.59</t>
  </si>
  <si>
    <t>Invoice A-06675518 Distribuidora Flexi S de CV  USD 190.5 TC946.59</t>
  </si>
  <si>
    <t>Invoice A-06675519 Distribuidora Flexi S de CV  USD 2164.2 TC946.59</t>
  </si>
  <si>
    <t>Invoice A-06680430 Distribuidora Flexi S de CV  USD 8618.4 TC939.89</t>
  </si>
  <si>
    <t>Intereses Ptmo. 11-2020 F3573 pesos mexicanos 12942.80</t>
  </si>
  <si>
    <t>Intereses Ptmo. 12-2020 F3574 pesos mexicanos 22819.40</t>
  </si>
  <si>
    <t>Invoice A-00003650 Distribuidora Global Accesorios  USD10079.12 TC939.54</t>
  </si>
  <si>
    <t>Invoice A-00007165 Distribuidora Global Accesorios  USD3150 tc926.41</t>
  </si>
  <si>
    <t>Invoice A-00012747 Distribuidora Global Accesorios  USD2230.08 TC945.42</t>
  </si>
  <si>
    <t>Total Distribuidora Global de accesorios FQC</t>
  </si>
  <si>
    <t>3.1.01.300</t>
  </si>
  <si>
    <t>OTROS INGRESOS</t>
  </si>
  <si>
    <t>27-04-2025</t>
  </si>
  <si>
    <t>185687-512-513</t>
  </si>
  <si>
    <t>BODEGA CENTRAL MAYORISTA</t>
  </si>
  <si>
    <t>BODEGA CENTRAL Notas de credito</t>
  </si>
  <si>
    <t>TDC ENERO</t>
  </si>
  <si>
    <t>TDC</t>
  </si>
  <si>
    <t>3.1.02.110</t>
  </si>
  <si>
    <t>DESCUENTOS CLUB FLEXI</t>
  </si>
  <si>
    <t>3.1.06.306</t>
  </si>
  <si>
    <t>SEGURIDAD INDUSTRIAL</t>
  </si>
  <si>
    <t>3.1.06.603</t>
  </si>
  <si>
    <t>NEURALIS SPA</t>
  </si>
  <si>
    <t>Amortización VMN Costanera Center 44/60</t>
  </si>
  <si>
    <t>Amortización VMN Florida Center 43/60</t>
  </si>
  <si>
    <t>Amortización VMN Concepcion Centro 26/60</t>
  </si>
  <si>
    <t xml:space="preserve">Remanente Acumulado al cierre </t>
  </si>
  <si>
    <t>METALPLASTIC SPA F1231</t>
  </si>
  <si>
    <t>ADAN ENRIQUE LOPEZ GALLARDO F499 ROUTER</t>
  </si>
  <si>
    <t>Invoice A-00013690 Distribuidora Global Accesorios  USD10889.28 TC939.67</t>
  </si>
  <si>
    <t>Invoice  A-06713146  Distribuidora Flexi S de CV  USD 1260 TC936.69</t>
  </si>
  <si>
    <t>Invoice  A-06702164  Distribuidora Flexi S de CV  USD 264 TC940.18</t>
  </si>
  <si>
    <t>Invoice  A-06702165  Distribuidora Flexi S de CV  USD 652 TC940.18</t>
  </si>
  <si>
    <t>Invoice  A-06702166  Distribuidora Flexi S de CV  USD 264 TC940.18</t>
  </si>
  <si>
    <t>Invoice  A-06702167  Distribuidora Flexi S de CV  USD 652 TC940.18</t>
  </si>
  <si>
    <t>Invoice  A-06702168  Distribuidora Flexi S de CV  USD 1072.5 TC940.18</t>
  </si>
  <si>
    <t>Invoice  A-06702169  Distribuidora Flexi S de CV  USD 9867.3 TC940.18</t>
  </si>
  <si>
    <t>Invoice  A-06702170  Distribuidora Flexi S de CV  USD 5430 TC940.18</t>
  </si>
  <si>
    <t>Invoice  A-06702171  Distribuidora Flexi S de CV  USD 4881 TC940.18</t>
  </si>
  <si>
    <t>Invoice  A-06702172  Distribuidora Flexi S de CV  USD 2050.2 TC940.18</t>
  </si>
  <si>
    <t>Invoice  A-06702173  Distribuidora Flexi S de CV  USD 1188 TC940.18</t>
  </si>
  <si>
    <t>Invoice  A-06702174  Distribuidora Flexi S de CV  USD 3912 TC940.18</t>
  </si>
  <si>
    <t>Invoice  A-06702175  Distribuidora Flexi S de CV  USD 198 TC940.18</t>
  </si>
  <si>
    <t>Invoice  A-06702176  Distribuidora Flexi S de CV  USD 652 TC940.18</t>
  </si>
  <si>
    <t>Invoice  A-06702177  Distribuidora Flexi S de CV  USD 264 TC940.18</t>
  </si>
  <si>
    <t>Invoice  A-06702178  Distribuidora Flexi S de CV  USD 652 TC940.18</t>
  </si>
  <si>
    <t>Invoice  A-06702179  Distribuidora Flexi S de CV  USD 396 TC940.18</t>
  </si>
  <si>
    <t>Invoice  A-06702180  Distribuidora Flexi S de CV  USD 652 TC940.18</t>
  </si>
  <si>
    <t>Invoice  A-06702181  Distribuidora Flexi S de CV  USD 264 TC940.18</t>
  </si>
  <si>
    <t>Invoice  A-06702182  Distribuidora Flexi S de CV  USD 652 TC940.18</t>
  </si>
  <si>
    <t>Invoice  A-06702183  Distribuidora Flexi S de CV  USD 762 TC940.18</t>
  </si>
  <si>
    <t>Invoice  A-06702184  Distribuidora Flexi S de CV  USD 198 TC940.18</t>
  </si>
  <si>
    <t>Invoice  A-06702185  Distribuidora Flexi S de CV  USD 652 TC940.18</t>
  </si>
  <si>
    <t>Invoice  A-06702186  Distribuidora Flexi S de CV  USD 264 TC940.18</t>
  </si>
  <si>
    <t>Invoice  A-06702187  Distribuidora Flexi S de CV  USD 652 TC940.18</t>
  </si>
  <si>
    <t>Invoice  A-06702188  Distribuidora Flexi S de CV  USD 652 TC940.18</t>
  </si>
  <si>
    <t>Invoice  A-06702189  Distribuidora Flexi S de CV  USD 164.1 TC940.18</t>
  </si>
  <si>
    <t>Invoice  A-06702190  Distribuidora Flexi S de CV  USD 614 TC940.18</t>
  </si>
  <si>
    <t>Invoice  A-06702191  Distribuidora Flexi S de CV  USD 1926.5 TC940.18</t>
  </si>
  <si>
    <t>Invoice  A-06702192  Distribuidora Flexi S de CV  USD 667.5 TC940.18</t>
  </si>
  <si>
    <t>Invoice  A-06702193  Distribuidora Flexi S de CV  USD 1926.5 TC940.18</t>
  </si>
  <si>
    <t>Invoice  A-06702194  Distribuidora Flexi S de CV  USD 783 TC940.18</t>
  </si>
  <si>
    <t>Invoice  A-06702195  Distribuidora Flexi S de CV  USD 712.5 TC940.18</t>
  </si>
  <si>
    <t>Invoice  A-06702196  Distribuidora Flexi S de CV  USD 5742.3 TC940.18</t>
  </si>
  <si>
    <t>Invoice  A-06702197  Distribuidora Flexi S de CV  USD 10976.7 TC940.18</t>
  </si>
  <si>
    <t>Invoice  A-06702198  Distribuidora Flexi S de CV  USD 27933.6 TC940.18</t>
  </si>
  <si>
    <t>Invoice  A-06702199  Distribuidora Flexi S de CV  USD 582 TC940.18</t>
  </si>
  <si>
    <t>Invoice  A-06702200  Distribuidora Flexi S de CV  USD 9302.4 TC940.18</t>
  </si>
  <si>
    <t>Invoice  A-06702201  Distribuidora Flexi S de CV  USD 4605 TC940.18</t>
  </si>
  <si>
    <t>Invoice  A-06702202  Distribuidora Flexi S de CV  USD 9697.5 TC940.18</t>
  </si>
  <si>
    <t>Invoice  A-06702203  Distribuidora Flexi S de CV  USD 514 TC940.18</t>
  </si>
  <si>
    <t>Invoice  A-06702204  Distribuidora Flexi S de CV  USD 1680 TC940.18</t>
  </si>
  <si>
    <t>Invoice  A-06702205  Distribuidora Flexi S de CV  USD 667.5 TC940.18</t>
  </si>
  <si>
    <t>Invoice  A-06702206  Distribuidora Flexi S de CV  USD 1926.5 TC940.18</t>
  </si>
  <si>
    <t>Invoice  A-06702207  Distribuidora Flexi S de CV  USD 1028 TC940.18</t>
  </si>
  <si>
    <t>Invoice  A-06702208  Distribuidora Flexi S de CV  USD 1680 TC940.18</t>
  </si>
  <si>
    <t>Invoice  A-06702209  Distribuidora Flexi S de CV  USD 614 TC940.18</t>
  </si>
  <si>
    <t>Invoice  A-06702210  Distribuidora Flexi S de CV  USD 1777 TC940.18</t>
  </si>
  <si>
    <t>Invoice  A-06702211  Distribuidora Flexi S de CV  USD 12069.6 TC940.18</t>
  </si>
  <si>
    <t>Invoice  A-06702212  Distribuidora Flexi S de CV  USD 202 TC940.18</t>
  </si>
  <si>
    <t>Invoice  A-06702213  Distribuidora Flexi S de CV  USD 1565.4 TC940.18</t>
  </si>
  <si>
    <t>Invoice  A-06702214  Distribuidora Flexi S de CV  USD 514 TC940.18</t>
  </si>
  <si>
    <t>Invoice  A-06702215  Distribuidora Flexi S de CV  USD 1680 TC940.18</t>
  </si>
  <si>
    <t>Invoice  A-06702216  Distribuidora Flexi S de CV  USD 614 TC940.18</t>
  </si>
  <si>
    <t>Invoice  A-06702217  Distribuidora Flexi S de CV  USD 1926.5 TC940.18</t>
  </si>
  <si>
    <t>Invoice  A-06702218  Distribuidora Flexi S de CV  USD 1777 TC940.18</t>
  </si>
  <si>
    <t>Invoice  A-06712019  Distribuidora Flexi S de CV  USD 11542 TC940.25</t>
  </si>
  <si>
    <t xml:space="preserve">PROVISION TRANSBANK FACTURA </t>
  </si>
  <si>
    <t>Seguros HDI</t>
  </si>
  <si>
    <t>Amortización SEGURO Cuota 1/12 Cedis</t>
  </si>
  <si>
    <t>Amortización SEGURO Cuota 1/12 Trebol</t>
  </si>
  <si>
    <t>Amortización SEGURO Cuota 1/12 Florida Center</t>
  </si>
  <si>
    <t>Amortización SEGURO Cuota 1/12 Costanera Center</t>
  </si>
  <si>
    <t>Amortización SEGURO Cuota 1/12 Plaza Egaña</t>
  </si>
  <si>
    <t>Amortización SEGURO Cuota 1/12 Plaza Vespucio</t>
  </si>
  <si>
    <t>Amortización SEGURO Cuota 1/12 Estado</t>
  </si>
  <si>
    <t>Amortización SEGURO Cuota 1/12 Concepcion Centro</t>
  </si>
  <si>
    <t>Amortización SEGURO Cuota 1/12 Talca</t>
  </si>
  <si>
    <t>Amortización SEGURO Cuota 1/12 Plaza Norte</t>
  </si>
  <si>
    <t>Amortización SEGURO Cuota 1/12 Plaza Oeste</t>
  </si>
  <si>
    <t>factura solicitada sin respuesta</t>
  </si>
  <si>
    <t>Amortización VMN Costanera Center 45/60</t>
  </si>
  <si>
    <t>Amortización VMN Florida Center 44/60</t>
  </si>
  <si>
    <t>Amortización VMN Concepcion Centro 27/60</t>
  </si>
  <si>
    <t>Amortización SEGURO Cuota 2/12 Cedis</t>
  </si>
  <si>
    <t>Amortización SEGURO Cuota 2/12 Plaza Egaña</t>
  </si>
  <si>
    <t>Amortización SEGURO Cuota 2/12 Plaza Vespucio</t>
  </si>
  <si>
    <t>Amortización SEGURO Cuota 2/12 Trebol</t>
  </si>
  <si>
    <t>Amortización SEGURO Cuota 2/12 Costanera Center</t>
  </si>
  <si>
    <t>Amortización SEGURO Cuota 2/12 Florida Center</t>
  </si>
  <si>
    <t>Amortización SEGURO Cuota 2/12 Estado</t>
  </si>
  <si>
    <t>Amortización SEGURO Cuota 2/12 Concepcion Centro</t>
  </si>
  <si>
    <t>Amortización SEGURO Cuota 2/12 Talca</t>
  </si>
  <si>
    <t>Amortización SEGURO Cuota 2/12 Plaza Norte</t>
  </si>
  <si>
    <t>Amortización SEGURO Cuota 2/12 Plaza Oeste</t>
  </si>
  <si>
    <t>Amortización SEGURO Cuota 3/12 Cedis</t>
  </si>
  <si>
    <t>Amortización SEGURO Cuota 3/12 Plaza Egaña</t>
  </si>
  <si>
    <t>Amortización SEGURO Cuota 3/12 Plaza Vespucio</t>
  </si>
  <si>
    <t>Amortización SEGURO Cuota 3/12 Trebol</t>
  </si>
  <si>
    <t>Amortización SEGURO Cuota 3/12 Costanera Center</t>
  </si>
  <si>
    <t>Amortización SEGURO Cuota 3/12 Florida Center</t>
  </si>
  <si>
    <t>Amortización SEGURO Cuota 3/12 Estado</t>
  </si>
  <si>
    <t>Amortización SEGURO Cuota 3/12 Concepcion Centro</t>
  </si>
  <si>
    <t>Amortización SEGURO Cuota 3/12 Talca</t>
  </si>
  <si>
    <t>Amortización SEGURO Cuota 3/12 Plaza Norte</t>
  </si>
  <si>
    <t>Amortización SEGURO Cuota 3/12 Plaza Oeste</t>
  </si>
  <si>
    <t>Amortización SEGURO Cuota 4/12 Cedis</t>
  </si>
  <si>
    <t>Amortización SEGURO Cuota 4/12 Plaza Egaña</t>
  </si>
  <si>
    <t>Amortización SEGURO Cuota 4/12 Plaza Vespucio</t>
  </si>
  <si>
    <t>Amortización SEGURO Cuota 4/12 Trebol</t>
  </si>
  <si>
    <t>Amortización SEGURO Cuota 4/12 Costanera Center</t>
  </si>
  <si>
    <t>Amortización SEGURO Cuota 4/12 Florida Center</t>
  </si>
  <si>
    <t>Amortización SEGURO Cuota 4/12 Estado</t>
  </si>
  <si>
    <t>Amortización SEGURO Cuota 4/12 Concepcion Centro</t>
  </si>
  <si>
    <t>Amortización SEGURO Cuota 4/12 Talca</t>
  </si>
  <si>
    <t>Amortización SEGURO Cuota 4/12 Plaza Norte</t>
  </si>
  <si>
    <t>Amortización SEGURO Cuota 4/12 Plaza Oeste</t>
  </si>
  <si>
    <t>Invoice A-06731287 Distribuidora Flexi de CV USD2145 TC933.91</t>
  </si>
  <si>
    <t>Invoice A-06726892 Distribuidora Flexi de CV USD3494.4 TC941.53</t>
  </si>
  <si>
    <t>Invoice A-06727101 Distribuidora Flexi de CV USD28781.6 TC941.53</t>
  </si>
  <si>
    <t>Invoice A-06737954 Distribuidora Flexi de CV USD4032 TC937.78</t>
  </si>
  <si>
    <t>Invoice A-06745447 Distribuidora Flexi de CV USD10232 TC947.03</t>
  </si>
  <si>
    <t>Invoice A-06747530 Distribuidora Flexi de CV USD302.5 TC937.89</t>
  </si>
  <si>
    <t>Invoice A-06747531 Distribuidora Flexi de CV USD174 TC937.89</t>
  </si>
  <si>
    <t>METALPLASTIC SPA F1244</t>
  </si>
  <si>
    <t>13.104.274-4</t>
  </si>
  <si>
    <t>FRANCISCO JAVIER JASCURA GUERRA</t>
  </si>
  <si>
    <t>al cierre</t>
  </si>
  <si>
    <t>PROVISION ANTCIPOS BAP CONSTRUCTORA PLAZA OESTE</t>
  </si>
  <si>
    <t>prev</t>
  </si>
  <si>
    <t>sxp</t>
  </si>
  <si>
    <t>acre</t>
  </si>
  <si>
    <t>fxr</t>
  </si>
  <si>
    <t>hxp</t>
  </si>
  <si>
    <t>Amortización SEGURO Resp. C. Cuota 1/12 Cedis</t>
  </si>
  <si>
    <t>Amortización SEGURO Resp. C. Cuota 1/12 Plaza Norte</t>
  </si>
  <si>
    <t>Amortización SEGURO Resp. C. Cuota 1/12 Plaza Oeste</t>
  </si>
  <si>
    <t>Amortización SEGURO Resp. C. Cuota 1/12 Florida Center</t>
  </si>
  <si>
    <t>Amortización SEGURO Resp. C. Cuota 1/12 Costanera Center</t>
  </si>
  <si>
    <t>Amortización SEGURO Resp. C. Cuota 1/12 Plaza Egaña</t>
  </si>
  <si>
    <t>Amortización SEGURO Resp. C. Cuota 1/12 Plaza Vespucio</t>
  </si>
  <si>
    <t>Amortización SEGURO Resp. C. Cuota 1/12 Trebol</t>
  </si>
  <si>
    <t>Amortización SEGURO Resp. C. Cuota 1/12 Estado</t>
  </si>
  <si>
    <t>Amortización SEGURO Resp. C. Cuota 1/12 Talca</t>
  </si>
  <si>
    <t>Seguros HDI Resp C.</t>
  </si>
  <si>
    <t>Amortización VMN Costanera Center 46/60</t>
  </si>
  <si>
    <t>Amortización VMN Florida Center 45/60</t>
  </si>
  <si>
    <t>Amortización VMN Concepcion Centro 28/60</t>
  </si>
  <si>
    <t>Amortización SEGURO Cuota 5/12 Cedis</t>
  </si>
  <si>
    <t>Amortización SEGURO Cuota 5/12 Plaza Egaña</t>
  </si>
  <si>
    <t>Amortización SEGURO Cuota 5/12 Plaza Vespucio</t>
  </si>
  <si>
    <t>Amortización SEGURO Cuota 5/12 Trebol</t>
  </si>
  <si>
    <t>Amortización SEGURO Cuota 5/12 Costanera Center</t>
  </si>
  <si>
    <t>Amortización SEGURO Cuota 5/12 Florida Center</t>
  </si>
  <si>
    <t>Amortización SEGURO Cuota 5/12 Estado</t>
  </si>
  <si>
    <t>Amortización SEGURO Cuota 5/12 Concepcion Centro</t>
  </si>
  <si>
    <t>Amortización SEGURO Cuota 5/12 Talca</t>
  </si>
  <si>
    <t>Amortización SEGURO Cuota 5/12 Plaza Norte</t>
  </si>
  <si>
    <t>Amortización SEGURO Cuota 5/12 Plaza Oeste</t>
  </si>
  <si>
    <t>GTD MANQUEHUE S.A.</t>
  </si>
  <si>
    <t>14580359-6</t>
  </si>
  <si>
    <t>JUAN JESUS ARRIAGADA GONZALEZ</t>
  </si>
  <si>
    <t>Invoice A-06759294 Distribuidora Flexi de CV  USD 9016 TC932.34</t>
  </si>
  <si>
    <t>Invoice A-06759329 Distribuidora Flexi de CV  USD 1056 TC932.34</t>
  </si>
  <si>
    <t>Invoice A-06759330 Distribuidora Flexi de CV  USD 30060.4 TC932.34</t>
  </si>
  <si>
    <t>Invoice A-06759331 Distribuidora Flexi de CV  USD 8772 TC932.34</t>
  </si>
  <si>
    <t>Invoice A-06759469 Distribuidora Flexi de CV  USD 46080 TC932.34</t>
  </si>
  <si>
    <t>Invoice A-06759470 Distribuidora Flexi de CV  USD 53840 TC932.34</t>
  </si>
  <si>
    <t>Invoice A-06763930 Distribuidora Flexi de CV  USD 1163.8 TC950.43</t>
  </si>
  <si>
    <t>Invoice A-06763931 Distribuidora Flexi de CV  USD 1028.8 TC950.43</t>
  </si>
  <si>
    <t>Invoice A-06763932 Distribuidora Flexi de CV  USD 3023.5 TC950.43</t>
  </si>
  <si>
    <t>Invoice A-06763933 Distribuidora Flexi de CV  USD 7411.5 TC950.43</t>
  </si>
  <si>
    <t>Invoice A-06763934 Distribuidora Flexi de CV  USD 6600 TC950.43</t>
  </si>
  <si>
    <t>Invoice A-06763935 Distribuidora Flexi de CV  USD 164.1 TC950.43</t>
  </si>
  <si>
    <t>Invoice A-06763936 Distribuidora Flexi de CV  USD 3023.5 TC950.43</t>
  </si>
  <si>
    <t>Invoice A-06763937 Distribuidora Flexi de CV  USD 7310.5 TC950.43</t>
  </si>
  <si>
    <t>Invoice A-06763938 Distribuidora Flexi de CV  USD 1163.8 TC950.43</t>
  </si>
  <si>
    <t>Invoice A-06763940 Distribuidora Flexi de CV  USD 1163.8 TC950.43</t>
  </si>
  <si>
    <t>Invoice A-06763941 Distribuidora Flexi de CV  USD 977.4 TC950.43</t>
  </si>
  <si>
    <t>Invoice A-06763942 Distribuidora Flexi de CV  USD 967.68 TC950.43</t>
  </si>
  <si>
    <t>Invoice A-06763943 Distribuidora Flexi de CV  USD 651.6 TC950.43</t>
  </si>
  <si>
    <t>Invoice A-06763944 Distribuidora Flexi de CV  USD 2085 TC950.43</t>
  </si>
  <si>
    <t>Invoice A-06763945 Distribuidora Flexi de CV  USD 1028.8 TC950.43</t>
  </si>
  <si>
    <t>Invoice A-06763946 Distribuidora Flexi de CV  USD 1163.8 TC950.43</t>
  </si>
  <si>
    <t>Invoice A-06763947 Distribuidora Flexi de CV  USD 1028.8 TC950.43</t>
  </si>
  <si>
    <t>Invoice A-06763948 Distribuidora Flexi de CV  USD 1028.8 TC950.43</t>
  </si>
  <si>
    <t>Invoice A-06763949 Distribuidora Flexi de CV  USD 1028.8 TC950.43</t>
  </si>
  <si>
    <t>Invoice A-06763967 Distribuidora Flexi de CV  USD 3023.5 TC950.43</t>
  </si>
  <si>
    <t>Invoice A-06763968 Distribuidora Flexi de CV  USD 7411.5 TC950.43</t>
  </si>
  <si>
    <t>Invoice A-06763969 Distribuidora Flexi de CV  USD 142.5 TC950.43</t>
  </si>
  <si>
    <t>Invoice A-06763971 Distribuidora Flexi de CV  USD 6242.1 TC950.43</t>
  </si>
  <si>
    <t>Invoice A-06763972 Distribuidora Flexi de CV  USD 10554 TC950.43</t>
  </si>
  <si>
    <t>Invoice A-06763973 Distribuidora Flexi de CV  USD 145.5 TC950.43</t>
  </si>
  <si>
    <t>Invoice A-06763974 Distribuidora Flexi de CV  USD 3204.12 TC950.43</t>
  </si>
  <si>
    <t>Invoice A-06763975 Distribuidora Flexi de CV  USD 4590 TC950.43</t>
  </si>
  <si>
    <t>Invoice A-06763976 Distribuidora Flexi de CV  USD 14001 TC950.43</t>
  </si>
  <si>
    <t>Invoice A-06763977 Distribuidora Flexi de CV  USD 8674.5 TC950.43</t>
  </si>
  <si>
    <t>Invoice A-06763978 Distribuidora Flexi de CV  USD 2545 TC950.43</t>
  </si>
  <si>
    <t>Invoice A-06763979 Distribuidora Flexi de CV  USD 6600 TC950.43</t>
  </si>
  <si>
    <t>Invoice A-06763980 Distribuidora Flexi de CV  USD 3147.5 TC950.43</t>
  </si>
  <si>
    <t>Invoice A-06763981 Distribuidora Flexi de CV  USD 7411.5 TC950.43</t>
  </si>
  <si>
    <t>Invoice A-06763982 Distribuidora Flexi de CV  USD 4402 TC950.43</t>
  </si>
  <si>
    <t>Invoice A-06763983 Distribuidora Flexi de CV  USD 6600 TC950.43</t>
  </si>
  <si>
    <t>Invoice A-06763984 Distribuidora Flexi de CV  USD 2921.5 TC950.43</t>
  </si>
  <si>
    <t>Invoice A-06763985 Distribuidora Flexi de CV  USD 7204.5 TC950.43</t>
  </si>
  <si>
    <t>Invoice A-06763986 Distribuidora Flexi de CV  USD 1138.6 TC950.43</t>
  </si>
  <si>
    <t>Invoice A-06763987 Distribuidora Flexi de CV  USD 875.2 TC950.43</t>
  </si>
  <si>
    <t>Invoice A-06763988 Distribuidora Flexi de CV  USD 328.2 TC950.43</t>
  </si>
  <si>
    <t>Invoice A-06763989 Distribuidora Flexi de CV  USD 2443 TC950.43</t>
  </si>
  <si>
    <t>Invoice A-06763990 Distribuidora Flexi de CV  USD 6600 TC950.43</t>
  </si>
  <si>
    <t>Invoice A-00027242 Distribuidora Flexi de CV  USD 9863.28 TC967.22</t>
  </si>
  <si>
    <t>Invoice A-00029443 Distribuidora Flexi de CV  USD 561.12 TC978.07</t>
  </si>
  <si>
    <t>Invoice A-00027243 Distribuidora Flexi de CV  USD 3170.88 TC967.22</t>
  </si>
  <si>
    <t>PLAZA MAULE</t>
  </si>
  <si>
    <t>3.1.06.813</t>
  </si>
  <si>
    <t>COMISIONES GETNET</t>
  </si>
  <si>
    <t>valor se debe a rsm tax and legal</t>
  </si>
  <si>
    <t>Amortización PATENTE Cuota 1/6 Plaza Vespucio</t>
  </si>
  <si>
    <t>Amortización PATENTE Cuota 1/6 Trebol</t>
  </si>
  <si>
    <t>Amortización PATENTE Cuota 1/6 Costanera Center</t>
  </si>
  <si>
    <t>Amortización PATENTE Cuota 1/6 Florida Center</t>
  </si>
  <si>
    <t>Amortización PATENTE Cuota 1/6 Estado</t>
  </si>
  <si>
    <t>Amortización PATENTE Cuota 1/6 Concepcion Centro</t>
  </si>
  <si>
    <t>Amortización PATENTE Cuota 1/6 Talca</t>
  </si>
  <si>
    <t>Amortización PATENTE Cuota 1/6 Plaza Norte</t>
  </si>
  <si>
    <t>Amortización PATENTE Cuota 1/6 Plaza Oeste</t>
  </si>
  <si>
    <t>Amortización PATENTE Cuota 1/6 Ñuñoa</t>
  </si>
  <si>
    <t>Amortización PATENTE Cuota 1/6 Plaza Egaña</t>
  </si>
  <si>
    <t>Amortización VMN Costanera Center 47/60</t>
  </si>
  <si>
    <t>Amortización VMN Florida Center 46/60</t>
  </si>
  <si>
    <t>Amortización VMN Concepcion Centro 29/60</t>
  </si>
  <si>
    <t>Amortización SEGURO Cuota 6/12 Cedis</t>
  </si>
  <si>
    <t>Amortización SEGURO Cuota 6/12 Plaza Egaña</t>
  </si>
  <si>
    <t>Amortización SEGURO Cuota 6/12 Plaza Vespucio</t>
  </si>
  <si>
    <t>Amortización SEGURO Cuota 6/12 Trebol</t>
  </si>
  <si>
    <t>Amortización SEGURO Cuota 6/12 Costanera Center</t>
  </si>
  <si>
    <t>Amortización SEGURO Cuota 6/12 Florida Center</t>
  </si>
  <si>
    <t>Amortización SEGURO Cuota 6/12 Estado</t>
  </si>
  <si>
    <t>Amortización SEGURO Cuota 6/12 Concepcion Centro</t>
  </si>
  <si>
    <t>Amortización SEGURO Cuota 6/12 Talca</t>
  </si>
  <si>
    <t>Amortización SEGURO Cuota 6/12 Plaza Norte</t>
  </si>
  <si>
    <t>Amortización SEGURO Cuota 6/12 Plaza Oeste</t>
  </si>
  <si>
    <t>COCO DISEÑO F75</t>
  </si>
  <si>
    <t>Invoice A-06787498 Distribuidora Flexi SA de CV USD1311TC 967.48</t>
  </si>
  <si>
    <t>Invoice A-06800369 Distribuidora Flexi SA de CV USD7296TC 952.37</t>
  </si>
  <si>
    <t>Invoice A-06800370 Distribuidora Flexi SA de CV USD194TC 952.37</t>
  </si>
  <si>
    <t>Invoice A-06801359 Distribuidora Flexi SA de CV USD979TC 961.84</t>
  </si>
  <si>
    <t>Invoice A-06801360 Distribuidora Flexi SA de CV USD11969.5TC 961.84</t>
  </si>
  <si>
    <t>Invoice A-06801361 Distribuidora Flexi SA de CV USD1029.5TC 961.84</t>
  </si>
  <si>
    <t>Invoice A-06801362 Distribuidora Flexi SA de CV USD12194.5TC 961.84</t>
  </si>
  <si>
    <t>Invoice A-06801363 Distribuidora Flexi SA de CV USD1515TC 961.84</t>
  </si>
  <si>
    <t>Invoice A-06801364 Distribuidora Flexi SA de CV USD812.5TC 961.84</t>
  </si>
  <si>
    <t>Invoice A-06801365 Distribuidora Flexi SA de CV USD10162TC 961.84</t>
  </si>
  <si>
    <t>Invoice A-06801366 Distribuidora Flexi SA de CV USD1029.5TC 961.84</t>
  </si>
  <si>
    <t>Invoice A-06801367 Distribuidora Flexi SA de CV USD11944.5TC 961.84</t>
  </si>
  <si>
    <t>Invoice A-06801368 Distribuidora Flexi SA de CV USD404TC 961.84</t>
  </si>
  <si>
    <t>Invoice A-06801369 Distribuidora Flexi SA de CV USD10162TC 961.84</t>
  </si>
  <si>
    <t>Invoice A-06801370 Distribuidora Flexi SA de CV USD979TC 961.84</t>
  </si>
  <si>
    <t>Invoice A-06801371 Distribuidora Flexi SA de CV USD10793TC 961.84</t>
  </si>
  <si>
    <t>Invoice A-06801372 Distribuidora Flexi SA de CV USD812.5TC 961.84</t>
  </si>
  <si>
    <t>Invoice A-06801373 Distribuidora Flexi SA de CV USD10162TC 961.84</t>
  </si>
  <si>
    <t>Invoice A-06801374 Distribuidora Flexi SA de CV USD979TC 961.84</t>
  </si>
  <si>
    <t>Invoice A-06801375 Distribuidora Flexi SA de CV USD11944.5TC 961.84</t>
  </si>
  <si>
    <t>Invoice A-06801376 Distribuidora Flexi SA de CV USD10212.5TC 961.84</t>
  </si>
  <si>
    <t>Invoice A-06801377 Distribuidora Flexi SA de CV USD817.5TC 961.84</t>
  </si>
  <si>
    <t>Invoice A-06801378 Distribuidora Flexi SA de CV USD562.5TC 961.84</t>
  </si>
  <si>
    <t>Invoice A-06801379 Distribuidora Flexi SA de CV USD817.5TC 961.84</t>
  </si>
  <si>
    <t>Invoice A-06801380 Distribuidora Flexi SA de CV USD562.5TC 961.84</t>
  </si>
  <si>
    <t>Invoice A-06801381 Distribuidora Flexi SA de CV USD333TC 961.84</t>
  </si>
  <si>
    <t>Invoice A-06801382 Distribuidora Flexi SA de CV USD654TC 961.84</t>
  </si>
  <si>
    <t>Invoice A-06801383 Distribuidora Flexi SA de CV USD750TC 961.84</t>
  </si>
  <si>
    <t>Invoice A-06801384 Distribuidora Flexi SA de CV USD817.5TC 961.84</t>
  </si>
  <si>
    <t>Invoice A-06801385 Distribuidora Flexi SA de CV USD812.5TC 961.84</t>
  </si>
  <si>
    <t>Invoice A-06801386 Distribuidora Flexi SA de CV USD2335TC 961.84</t>
  </si>
  <si>
    <t>Invoice A-06801387 Distribuidora Flexi SA de CV USD750TC 961.84</t>
  </si>
  <si>
    <t>Invoice A-06801388 Distribuidora Flexi SA de CV USD817.5TC 961.84</t>
  </si>
  <si>
    <t>Invoice A-06801389 Distribuidora Flexi SA de CV USD750TC 961.84</t>
  </si>
  <si>
    <t>Invoice A-06801390 Distribuidora Flexi SA de CV USD654TC 961.84</t>
  </si>
  <si>
    <t>Invoice A-06801391 Distribuidora Flexi SA de CV USD750TC 961.84</t>
  </si>
  <si>
    <t>Invoice A-06801392 Distribuidora Flexi SA de CV USD817.5TC 961.84</t>
  </si>
  <si>
    <t>Invoice A-06801393 Distribuidora Flexi SA de CV USD812.5TC 961.84</t>
  </si>
  <si>
    <t>Invoice A-06801394 Distribuidora Flexi SA de CV USD750TC 961.84</t>
  </si>
  <si>
    <t>Invoice A-00032894 Distribuidora Flexi SA de CV USD5965.13TC 961.84</t>
  </si>
  <si>
    <t>12.242.596-7</t>
  </si>
  <si>
    <t>16.783.966-6</t>
  </si>
  <si>
    <t>GETNET TC</t>
  </si>
  <si>
    <t>3.1.05.112</t>
  </si>
  <si>
    <t>3.1.05.113</t>
  </si>
  <si>
    <t>1.1.04.112</t>
  </si>
  <si>
    <t>CAPITALIZACION INDIVIDUAL AFP</t>
  </si>
  <si>
    <t>EXPECTATIVA DE VIDA</t>
  </si>
  <si>
    <t>HELLO CONTENT SPA</t>
  </si>
  <si>
    <t>Amortización VMN Costanera Center 48/60</t>
  </si>
  <si>
    <t>Amortización VMN Florida Center 47/60</t>
  </si>
  <si>
    <t>Amortización VMN Concepcion Centro 30/60</t>
  </si>
  <si>
    <t>Amortización SEGURO Cuota 7/12 Cedis</t>
  </si>
  <si>
    <t>Amortización SEGURO Cuota 7/12 Plaza Egaña</t>
  </si>
  <si>
    <t>Amortización SEGURO Cuota 7/12 Plaza Vespucio</t>
  </si>
  <si>
    <t>Amortización SEGURO Cuota 7/12 Trebol</t>
  </si>
  <si>
    <t>Amortización SEGURO Cuota 7/12 Costanera Center</t>
  </si>
  <si>
    <t>Amortización SEGURO Cuota 7/12 Florida Center</t>
  </si>
  <si>
    <t>Amortización SEGURO Cuota 7/12 Estado</t>
  </si>
  <si>
    <t>Amortización SEGURO Cuota 7/12 Concepcion Centro</t>
  </si>
  <si>
    <t>Amortización SEGURO Cuota 7/12 Talca</t>
  </si>
  <si>
    <t>Amortización SEGURO Cuota 7/12 Plaza Norte</t>
  </si>
  <si>
    <t>Amortización SEGURO Cuota 7/12 Plaza Oeste</t>
  </si>
  <si>
    <t>FONDO A RENDIR sept</t>
  </si>
  <si>
    <t>Tarjeta de credito</t>
  </si>
  <si>
    <t>GETNET TD</t>
  </si>
  <si>
    <t>Tarjeta Debito / Prepago</t>
  </si>
  <si>
    <t>COCO DISEÑO F69</t>
  </si>
  <si>
    <t>PLAZA VALPARAÃ­SO S.A.</t>
  </si>
  <si>
    <t>10258-5180-NC3195</t>
  </si>
  <si>
    <t>JUAN ANTONIO MELO SAAVEDRA</t>
  </si>
  <si>
    <t>COCO DISEÑO F67</t>
  </si>
  <si>
    <t>factura pagada, se necesita repaldo</t>
  </si>
  <si>
    <t>Invoice A-06815818Distribuidora Flexi SA de CV  USD 1260TC  968.35</t>
  </si>
  <si>
    <t>Invoice A-06821179Distribuidora Flexi SA de CV  USD 820TC  967.07</t>
  </si>
  <si>
    <t>Invoice A-06821180Distribuidora Flexi SA de CV  USD 2047.3TC  967.07</t>
  </si>
  <si>
    <t>Invoice A-06821181Distribuidora Flexi SA de CV  USD 820TC  967.07</t>
  </si>
  <si>
    <t>Invoice A-06821182Distribuidora Flexi SA de CV  USD 546TC  967.07</t>
  </si>
  <si>
    <t>Invoice A-06821183Distribuidora Flexi SA de CV  USD 820TC  967.07</t>
  </si>
  <si>
    <t>Invoice A-06821184Distribuidora Flexi SA de CV  USD 546TC  967.07</t>
  </si>
  <si>
    <t>Invoice A-06821185Distribuidora Flexi SA de CV  USD 1536TC  967.07</t>
  </si>
  <si>
    <t>Invoice A-06821186Distribuidora Flexi SA de CV  USD 136.5TC  967.07</t>
  </si>
  <si>
    <t>Invoice A-06821187Distribuidora Flexi SA de CV  USD 814TC  967.07</t>
  </si>
  <si>
    <t>Invoice A-06821188Distribuidora Flexi SA de CV  USD 546TC  967.07</t>
  </si>
  <si>
    <t>Invoice A-06821189Distribuidora Flexi SA de CV  USD 820TC  967.07</t>
  </si>
  <si>
    <t>Invoice A-06821190Distribuidora Flexi SA de CV  USD 546TC  967.07</t>
  </si>
  <si>
    <t>Invoice A-06821191Distribuidora Flexi SA de CV  USD 1628TC  967.07</t>
  </si>
  <si>
    <t>Invoice A-06821192Distribuidora Flexi SA de CV  USD 546TC  967.07</t>
  </si>
  <si>
    <t>Invoice A-06821193Distribuidora Flexi SA de CV  USD 756TC  967.07</t>
  </si>
  <si>
    <t>Invoice A-06821194Distribuidora Flexi SA de CV  USD 546TC  967.07</t>
  </si>
  <si>
    <t>Invoice A-06821195Distribuidora Flexi SA de CV  USD 814TC  967.07</t>
  </si>
  <si>
    <t>Invoice A-06821196Distribuidora Flexi SA de CV  USD 546TC  967.07</t>
  </si>
  <si>
    <t>Invoice A-06821197Distribuidora Flexi SA de CV  USD 820TC  967.07</t>
  </si>
  <si>
    <t>Invoice A-06821198Distribuidora Flexi SA de CV  USD 546TC  967.07</t>
  </si>
  <si>
    <t>Invoice A-06821199Distribuidora Flexi SA de CV  USD 546TC  967.07</t>
  </si>
  <si>
    <t>Invoice A-06821200Distribuidora Flexi SA de CV  USD 7158.5TC  967.07</t>
  </si>
  <si>
    <t>Invoice A-06821201Distribuidora Flexi SA de CV  USD 21881TC  967.07</t>
  </si>
  <si>
    <t>Invoice A-06821202Distribuidora Flexi SA de CV  USD 1676TC  967.07</t>
  </si>
  <si>
    <t>Invoice A-06821203Distribuidora Flexi SA de CV  USD 1894TC  967.07</t>
  </si>
  <si>
    <t>Invoice A-06821204Distribuidora Flexi SA de CV  USD 630TC  967.07</t>
  </si>
  <si>
    <t>Invoice A-06821205Distribuidora Flexi SA de CV  USD 757.5TC  967.07</t>
  </si>
  <si>
    <t>Invoice A-06821206Distribuidora Flexi SA de CV  USD 60100.5TC  967.07</t>
  </si>
  <si>
    <t>Invoice A-06821207Distribuidora Flexi SA de CV  USD 2616TC  967.07</t>
  </si>
  <si>
    <t>Invoice A-06821208Distribuidora Flexi SA de CV  USD 1475TC  967.07</t>
  </si>
  <si>
    <t>Invoice A-06821209Distribuidora Flexi SA de CV  USD 1894TC  967.07</t>
  </si>
  <si>
    <t>Invoice A-06821210Distribuidora Flexi SA de CV  USD 2950TC  967.07</t>
  </si>
  <si>
    <t>Invoice A-06821211Distribuidora Flexi SA de CV  USD 1676TC  967.07</t>
  </si>
  <si>
    <t>Invoice A-06821212Distribuidora Flexi SA de CV  USD 1475TC  967.07</t>
  </si>
  <si>
    <t>Invoice A-06821213Distribuidora Flexi SA de CV  USD 1676TC  967.07</t>
  </si>
  <si>
    <t>Invoice A-06821215Distribuidora Flexi SA de CV  USD 300TC  967.07</t>
  </si>
  <si>
    <t>Invoice A-06821216Distribuidora Flexi SA de CV  USD 150TC  967.07</t>
  </si>
  <si>
    <t>Invoice A-06827555Distribuidora Flexi SA de CV  USD 888.64TC  948.57</t>
  </si>
  <si>
    <t>Invoice A-06828752Distribuidora Flexi SA de CV  USD 4669.19TC  948.57</t>
  </si>
  <si>
    <t>Invoice A-06839094Distribuidora Flexi SA de CV  USD 276TC  956.42</t>
  </si>
  <si>
    <t>Invoice A-06839095Distribuidora Flexi SA de CV  USD 266TC  956.42</t>
  </si>
  <si>
    <t>Invoice A-06839096Distribuidora Flexi SA de CV  USD 266TC  956.42</t>
  </si>
  <si>
    <t>Invoice A-06839097Distribuidora Flexi SA de CV  USD 266TC  956.42</t>
  </si>
  <si>
    <t>Invoice A-00037421Distribuidora Global de accesorios FQC  USD 750TC  948.57</t>
  </si>
  <si>
    <t>SUELDOS PLAZA OESTE</t>
  </si>
  <si>
    <t>SUELDOS ASMINISTRACION</t>
  </si>
  <si>
    <t>1.1.04.113</t>
  </si>
  <si>
    <t>GETNET TD/ PREPAGO</t>
  </si>
  <si>
    <t>CUENTAS POR PAGAR</t>
  </si>
  <si>
    <t>2.1.01.204</t>
  </si>
  <si>
    <t>Banco Santander (Boleta garantia)</t>
  </si>
  <si>
    <t>Amortización VMN Costanera Center 49/60</t>
  </si>
  <si>
    <t>Amortización VMN Florida Center 48/60</t>
  </si>
  <si>
    <t>Amortización VMN Concepcion Centro 31/60</t>
  </si>
  <si>
    <t>Amortización SEGURO Cuota 8/12 Cedis</t>
  </si>
  <si>
    <t>Amortización SEGURO Cuota 8/12 Plaza Egaña</t>
  </si>
  <si>
    <t>Amortización SEGURO Cuota 8/12 Plaza Vespucio</t>
  </si>
  <si>
    <t>Amortización SEGURO Cuota 8/12 Trebol</t>
  </si>
  <si>
    <t>Amortización SEGURO Cuota 8/12 Costanera Center</t>
  </si>
  <si>
    <t>Amortización SEGURO Cuota 8/12 Florida Center</t>
  </si>
  <si>
    <t>Amortización SEGURO Cuota 8/12 Estado</t>
  </si>
  <si>
    <t>Amortización SEGURO Cuota 8/12 Concepcion Centro</t>
  </si>
  <si>
    <t>Amortización SEGURO Cuota 8/12 Talca</t>
  </si>
  <si>
    <t>Amortización SEGURO Cuota 8/12 Plaza Norte</t>
  </si>
  <si>
    <t>Amortización SEGURO Cuota 8/12 Plaza Oeste</t>
  </si>
  <si>
    <t>15.589.025-8</t>
  </si>
  <si>
    <t>16.089.318-5</t>
  </si>
  <si>
    <t>COCO DISEÃ‘O SPA</t>
  </si>
  <si>
    <t>Invoice B-00290483 Distribuidora Flexi SA de CV  USD 4669.19 TC  953.21</t>
  </si>
  <si>
    <t>Invoice A-06846683 Distribuidora Flexi SA de CV  USD 1260 TC  963.17</t>
  </si>
  <si>
    <t>Total Data4sales Opticlass S.A.S</t>
  </si>
  <si>
    <t>Invoice 1863 Data4sales USD499 tc 963.17</t>
  </si>
  <si>
    <t>29-10-2025</t>
  </si>
  <si>
    <t>Coonservador de Bienes Riaices</t>
  </si>
  <si>
    <t>60306045-8</t>
  </si>
  <si>
    <t>JESHUA ANNIR</t>
  </si>
  <si>
    <t>21795374-K</t>
  </si>
  <si>
    <t>1</t>
  </si>
  <si>
    <t>Invoice 45227 Jana Shoes GMBH &amp; Co KG  USD 28694.25 TC 976.42</t>
  </si>
  <si>
    <t>Invoice 48466 Wortmann KG  USD  7222.20 TC 976.42</t>
  </si>
  <si>
    <t>Invoice 48467 Wortmann KG  USD  4080 TC 976.42</t>
  </si>
  <si>
    <t>Invoice 48468 Wortmann KG  USD 63177. 5 TC 976.42</t>
  </si>
  <si>
    <t>Invoice 48469 Wortmann KG  USD 35614.95 TC 976.42</t>
  </si>
  <si>
    <t>Total Jana Shoes GMBH &amp; Co KG</t>
  </si>
  <si>
    <t>Total Wortmann KG</t>
  </si>
  <si>
    <t>CUENTAS POR PAGAR BANCO SANTANDER (Boletas en garantia)</t>
  </si>
  <si>
    <t xml:space="preserve">INTERESES POR PRESTAMO </t>
  </si>
  <si>
    <t>PROVISION VTEX</t>
  </si>
  <si>
    <t>factura impaga</t>
  </si>
  <si>
    <t>TAMARIS</t>
  </si>
  <si>
    <t>FLEXI</t>
  </si>
  <si>
    <t>Unidades Vendidas Flexi</t>
  </si>
  <si>
    <t>Unidades Vendidas Tamaris</t>
  </si>
  <si>
    <t>GASTOS DE ALMACENAJE (maniobras)</t>
  </si>
  <si>
    <t>Amortización VMN Costanera Center 50/60</t>
  </si>
  <si>
    <t>Amortización VMN Florida Center 49/60</t>
  </si>
  <si>
    <t>Amortización VMN Concepcion Centro 32/60</t>
  </si>
  <si>
    <t>Amortización SEGURO Cuota 9/12 Cedis</t>
  </si>
  <si>
    <t>Amortización SEGURO Cuota 9/12 Plaza Egaña</t>
  </si>
  <si>
    <t>Amortización SEGURO Cuota 9/12 Plaza Vespucio</t>
  </si>
  <si>
    <t>Amortización SEGURO Cuota 9/12 Trebol</t>
  </si>
  <si>
    <t>Amortización SEGURO Cuota 9/12 Costanera Center</t>
  </si>
  <si>
    <t>Amortización SEGURO Cuota 9/12 Florida Center</t>
  </si>
  <si>
    <t>Amortización SEGURO Cuota 9/12 Estado</t>
  </si>
  <si>
    <t>Amortización SEGURO Cuota 9/12 Concepcion Centro</t>
  </si>
  <si>
    <t>Amortización SEGURO Cuota 9/12 Talca</t>
  </si>
  <si>
    <t>Amortización SEGURO Cuota 9/12 Plaza Norte</t>
  </si>
  <si>
    <t>Amortización SEGURO Cuota 9/12 Plaza Oeste</t>
  </si>
  <si>
    <t>FONDO A RENDIR NOV</t>
  </si>
  <si>
    <t>COMERCIALIZADORA AYL SPA</t>
  </si>
  <si>
    <t>METALPLASTIC SPA F1327 soporte grafica</t>
  </si>
  <si>
    <t>METALPLASTIC SPA F1328 mueble giratorio</t>
  </si>
  <si>
    <t>KREATINA SPA F2942</t>
  </si>
  <si>
    <t>FERNANDO OLGUEA</t>
  </si>
  <si>
    <t>21321577-9</t>
  </si>
  <si>
    <t>26-11-2025</t>
  </si>
  <si>
    <t>14884779-15012219</t>
  </si>
  <si>
    <t>MARIA LASCAR MERINO</t>
  </si>
  <si>
    <t>8215914-2</t>
  </si>
  <si>
    <t>218653</t>
  </si>
  <si>
    <t>14-11-2025</t>
  </si>
  <si>
    <t>76.376.315-3</t>
  </si>
  <si>
    <t>PROVISION LATAMFIT</t>
  </si>
  <si>
    <t>Amortización bolsas impresas 1/12 (locales, mayorista y online)</t>
  </si>
  <si>
    <t>1.1.04.108</t>
  </si>
  <si>
    <t>GIFTCARD</t>
  </si>
  <si>
    <t>Giftcard</t>
  </si>
  <si>
    <t>Amortización VMN Costanera Center 51/60</t>
  </si>
  <si>
    <t>Amortización VMN Florida Center 50/60</t>
  </si>
  <si>
    <t>Amortización VMN Concepcion Centro 33/60</t>
  </si>
  <si>
    <t>Amortización bolsas impresas 2/12 (locales, mayorista y online)</t>
  </si>
  <si>
    <t>Amortización SEGURO Cuota 10/12 Cedis</t>
  </si>
  <si>
    <t>Amortización SEGURO Cuota 10/12 Plaza Egaña</t>
  </si>
  <si>
    <t>Amortización SEGURO Cuota 10/12 Plaza Vespucio</t>
  </si>
  <si>
    <t>Amortización SEGURO Cuota 10/12 Trebol</t>
  </si>
  <si>
    <t>Amortización SEGURO Cuota 10/12 Costanera Center</t>
  </si>
  <si>
    <t>Amortización SEGURO Cuota 10/12 Florida Center</t>
  </si>
  <si>
    <t>Amortización SEGURO Cuota 10/12 Estado</t>
  </si>
  <si>
    <t>Amortización SEGURO Cuota 10/12 Concepcion Centro</t>
  </si>
  <si>
    <t>Amortización SEGURO Cuota 10/12 Talca</t>
  </si>
  <si>
    <t>Amortización SEGURO Cuota 10/12 Plaza Norte</t>
  </si>
  <si>
    <t>Amortización SEGURO Cuota 10/12 Plaza Oeste</t>
  </si>
  <si>
    <t>METALPLASTIC SPA F1352 soporte grafica</t>
  </si>
  <si>
    <t>ENVIAME LATAM SPA</t>
  </si>
  <si>
    <t>NIKEMATECH SPA</t>
  </si>
  <si>
    <t>77423523k</t>
  </si>
  <si>
    <t>24-12-2025</t>
  </si>
  <si>
    <t>3553</t>
  </si>
  <si>
    <t>30-12-2025</t>
  </si>
  <si>
    <t>TDC diciembre</t>
  </si>
  <si>
    <t>Invoice A-06908050 Distribuidora Flexi SA de CV USD414 TC  927.95</t>
  </si>
  <si>
    <t>Invoice A-06908051 Distribuidora Flexi SA de CV USD10771.5 TC  927.95</t>
  </si>
  <si>
    <t>Invoice A-06908052 Distribuidora Flexi SA de CV USD655.5 TC  927.95</t>
  </si>
  <si>
    <t>Invoice A-06909193 Distribuidora Flexi SA de CV USD21076 TC  919.46</t>
  </si>
  <si>
    <t>Invoice A-06909891 Distribuidora Flexi SA de CV USD9936 TC  919.46</t>
  </si>
  <si>
    <t>Invoice A-06909895 Distribuidora Flexi SA de CV USD31128 TC  919.46</t>
  </si>
  <si>
    <t>Invoice A-06909896 Distribuidora Flexi SA de CV USD23216 TC  919.46</t>
  </si>
  <si>
    <t>Invoice A-06909930 Distribuidora Flexi SA de CV USD5472 TC  919.46</t>
  </si>
  <si>
    <t>Invoice A-06910950 Distribuidora Flexi SA de CV USD8120 TC  919.46</t>
  </si>
  <si>
    <t>Invoice A-06910957 Distribuidora Flexi SA de CV USD7520 TC  919.46</t>
  </si>
  <si>
    <t>Invoice A-06910965 Distribuidora Flexi SA de CV USD16380 TC  919.46</t>
  </si>
  <si>
    <t>Invoice A-06910966 Distribuidora Flexi SA de CV USD26748 TC  919.46</t>
  </si>
  <si>
    <t>Invoice A-06911124 Distribuidora Flexi SA de CV USD4564 TC  918.15</t>
  </si>
  <si>
    <t>Invoice A-06912266 Distribuidora Flexi SA de CV USD4296 TC  918.15</t>
  </si>
  <si>
    <t>Invoice A-06912269 Distribuidora Flexi SA de CV USD1836 TC  918.15</t>
  </si>
  <si>
    <t>Invoice A-06912270 Distribuidora Flexi SA de CV USD1836 TC  918.15</t>
  </si>
  <si>
    <t>Invoice A-06912271 Distribuidora Flexi SA de CV USD3460.5 TC  918.15</t>
  </si>
  <si>
    <t>Invoice A-06912272 Distribuidora Flexi SA de CV USD1153.5 TC  918.15</t>
  </si>
  <si>
    <t>Invoice A-06912273 Distribuidora Flexi SA de CV USD5060.88 TC  918.15</t>
  </si>
  <si>
    <t>Invoice A-06912274 Distribuidora Flexi SA de CV USD2606.4 TC  918.15</t>
  </si>
  <si>
    <t>Invoice A-06912275 Distribuidora Flexi SA de CV USD732 TC  918.15</t>
  </si>
  <si>
    <t>Invoice A-06912276 Distribuidora Flexi SA de CV USD1194 TC  918.15</t>
  </si>
  <si>
    <t>Invoice A-06912277 Distribuidora Flexi SA de CV USD1836 TC  918.15</t>
  </si>
  <si>
    <t>Invoice A-06912278 Distribuidora Flexi SA de CV USD1194 TC  918.15</t>
  </si>
  <si>
    <t>Invoice A-06912279 Distribuidora Flexi SA de CV USD1836 TC  918.15</t>
  </si>
  <si>
    <t>Invoice A-06912280 Distribuidora Flexi SA de CV USD1194 TC  918.15</t>
  </si>
  <si>
    <t>Invoice A-06912281 Distribuidora Flexi SA de CV USD1836 TC  918.15</t>
  </si>
  <si>
    <t>Invoice A-06912282 Distribuidora Flexi SA de CV USD688 TC  918.15</t>
  </si>
  <si>
    <t>Invoice A-06912283 Distribuidora Flexi SA de CV USD8576.5 TC  918.15</t>
  </si>
  <si>
    <t>Invoice A-06912284 Distribuidora Flexi SA de CV USD8583.5 TC  918.15</t>
  </si>
  <si>
    <t>Invoice A-06912285 Distribuidora Flexi SA de CV USD2479.5 TC  918.15</t>
  </si>
  <si>
    <t>Invoice A-06912286 Distribuidora Flexi SA de CV USD3280.5 TC  918.15</t>
  </si>
  <si>
    <t>Invoice A-06912287 Distribuidora Flexi SA de CV USD1438.8 TC  918.15</t>
  </si>
  <si>
    <t>Invoice A-06912288 Distribuidora Flexi SA de CV USD652.5 TC  918.15</t>
  </si>
  <si>
    <t>Invoice A-06912289 Distribuidora Flexi SA de CV USD22053 TC  918.15</t>
  </si>
  <si>
    <t>Invoice A-06912290 Distribuidora Flexi SA de CV USD1666.5 TC  918.15</t>
  </si>
  <si>
    <t>Invoice A-06912291 Distribuidora Flexi SA de CV USD6962 TC  918.15</t>
  </si>
  <si>
    <t>Invoice A-06912292 Distribuidora Flexi SA de CV USD8316 TC  918.15</t>
  </si>
  <si>
    <t>Invoice A-06912293 Distribuidora Flexi SA de CV USD6982.5 TC  918.15</t>
  </si>
  <si>
    <t>Invoice A-06912294 Distribuidora Flexi SA de CV USD7926 TC  918.15</t>
  </si>
  <si>
    <t>Invoice A-06912295 Distribuidora Flexi SA de CV USD6962 TC  918.15</t>
  </si>
  <si>
    <t>Invoice A-06912296 Distribuidora Flexi SA de CV USD7905 TC  918.15</t>
  </si>
  <si>
    <t>Invoice A-06919814 Distribuidora Flexi SA de CV USD14208 TC  909.9</t>
  </si>
  <si>
    <t>Invoice A-06920264 Distribuidora Flexi SA de CV USD11736 TC  908.4</t>
  </si>
  <si>
    <t>Invoice A-00050017 Distribuidora Global de accesorios FQC USD5529.42 TC  923.99</t>
  </si>
  <si>
    <t>PROVISION FRANCISCO JASCURA</t>
  </si>
  <si>
    <t>12.170.453-6</t>
  </si>
  <si>
    <t>PROVISION RENDICION RGB CIERRE BARROS ARANA</t>
  </si>
  <si>
    <t>PROVISION RENDICION E. MARCHANT CIERRE ARANA</t>
  </si>
  <si>
    <t>PROVISION ARTE IMPRESO ant prov</t>
  </si>
  <si>
    <t>76.096.518-9</t>
  </si>
  <si>
    <t>PROVISION LABBE</t>
  </si>
  <si>
    <t>PROVISION MKT DIC</t>
  </si>
  <si>
    <t>PROVISION COCO DISEÑO ANT PROV</t>
  </si>
  <si>
    <t>77.545.147-5</t>
  </si>
  <si>
    <t>PROVISION GTD JULIO ANT P</t>
  </si>
  <si>
    <t>93.737.000-8</t>
  </si>
  <si>
    <t>PROVISION GASTOS COMUNES BANCO CHILE</t>
  </si>
  <si>
    <t>97.004.000-5</t>
  </si>
  <si>
    <t>PROVISION ANTCIIOS COCO DISEÑO</t>
  </si>
  <si>
    <t>Fondo a Rendir Luis Castillo</t>
  </si>
  <si>
    <t>TABLET costanera</t>
  </si>
  <si>
    <t>PROVISION RENDICION RGB PUBLICIDAD ESTADO</t>
  </si>
  <si>
    <t xml:space="preserve">PROVISION RENDICION E. MARCHANT </t>
  </si>
  <si>
    <t>PROVISION OSRCAR HIDALGO</t>
  </si>
  <si>
    <t>5.618.113-k</t>
  </si>
  <si>
    <t>PROVISION RENTOKILL</t>
  </si>
  <si>
    <t>76.360.903-0</t>
  </si>
  <si>
    <t>PROVISION ENRGA LIMITE 21</t>
  </si>
  <si>
    <t>77.570.694-5</t>
  </si>
  <si>
    <t>F</t>
  </si>
  <si>
    <t xml:space="preserve">Factura solicitada </t>
  </si>
  <si>
    <t>saldo a favor</t>
  </si>
  <si>
    <t>no tengo pago de esto</t>
  </si>
  <si>
    <t>factura parcial emitida/ febrero emision final</t>
  </si>
  <si>
    <t>factura solicitadafacturas seran emitidas en febrero</t>
  </si>
  <si>
    <t>EXISTENCIAS NACIONALES FLEXI</t>
  </si>
  <si>
    <t>EXISTENCIAS NACIONALES TAMARIS</t>
  </si>
  <si>
    <t>PROVISION UNIIFORMES  REGALIAS</t>
  </si>
  <si>
    <t>Al 31 de enero de 2026</t>
  </si>
  <si>
    <t>Para el período comprendido entre el 01-01-2026 hasta el 31/01/2026</t>
  </si>
  <si>
    <t>Movimientos de patrimonio durante el ejercicio 2026 - Moneda Local $</t>
  </si>
  <si>
    <t>Saldos al 31/12/2025</t>
  </si>
  <si>
    <t>Aporte Capital 02-01-2025</t>
  </si>
  <si>
    <t>Saldos al 31/12/2025 USD 5.075.000</t>
  </si>
  <si>
    <t>Amortización VMN Costanera Center 52/60</t>
  </si>
  <si>
    <t>Amortización VMN Florida Center 51/60</t>
  </si>
  <si>
    <t>Amortización bolsas impresas 3/12 (locales, mayorista y online)</t>
  </si>
  <si>
    <t>Amortización SEGURO Cuota 11/12 Cedis</t>
  </si>
  <si>
    <t>Amortización SEGURO Cuota 11/12 Plaza Egaña</t>
  </si>
  <si>
    <t>Amortización SEGURO Cuota 11/12 Trebol</t>
  </si>
  <si>
    <t>Amortización SEGURO Cuota 11/12 Costanera Center</t>
  </si>
  <si>
    <t>Amortización SEGURO Cuota 11/12 Florida Center</t>
  </si>
  <si>
    <t>Amortización SEGURO Cuota 11/12 Estado</t>
  </si>
  <si>
    <t>Amortización SEGURO Cuota 11/12 Talca</t>
  </si>
  <si>
    <t>Amortización SEGURO Cuota 11/12 Plaza Norte</t>
  </si>
  <si>
    <t>Amortización SEGURO Cuota 11/12 Plaza Oeste</t>
  </si>
  <si>
    <t>CHIC DESIGN SPA F662 CONSTRUCCION</t>
  </si>
  <si>
    <t>COCO DISEÃ‘O SPA F91 PROYECTO ARQUITECTURA</t>
  </si>
  <si>
    <t>CHANNELS MEDIA S.A. F13408</t>
  </si>
  <si>
    <t>31-01-2026</t>
  </si>
  <si>
    <t xml:space="preserve">Saldo sueldos </t>
  </si>
  <si>
    <t>SUELDOS VESPUCIO</t>
  </si>
  <si>
    <t>TDC enero</t>
  </si>
  <si>
    <t>Total Distribuidora Flexi SA de CV</t>
  </si>
  <si>
    <t>Patentes Primer semetre</t>
  </si>
  <si>
    <t xml:space="preserve">Raul </t>
  </si>
  <si>
    <t>PAGO FACTURA</t>
  </si>
  <si>
    <t>FXR CEDIS ENE26</t>
  </si>
  <si>
    <t>Carlos Arredondo</t>
  </si>
  <si>
    <t>Arte Impreso</t>
  </si>
  <si>
    <t>energia y servicios limite 21</t>
  </si>
  <si>
    <t>Chub Seguros</t>
  </si>
  <si>
    <t>Notebook RG HP Spectre</t>
  </si>
  <si>
    <t>5469</t>
  </si>
  <si>
    <t>Jorge Venegas</t>
  </si>
  <si>
    <t>14046459-7</t>
  </si>
  <si>
    <t>185</t>
  </si>
  <si>
    <t>20-01-2026</t>
  </si>
  <si>
    <t>Lorena Quintanilla</t>
  </si>
  <si>
    <t>122008</t>
  </si>
  <si>
    <t>12-01-2026</t>
  </si>
  <si>
    <t>16082-16246-16819-17056-17293</t>
  </si>
  <si>
    <t>1324-1390-94-1420-25</t>
  </si>
  <si>
    <t xml:space="preserve">IMPUESTO POR PAGAR del mes </t>
  </si>
  <si>
    <t>SOFIA JORQUERA</t>
  </si>
  <si>
    <t>BH 187</t>
  </si>
  <si>
    <t>JANICE CACERES</t>
  </si>
  <si>
    <t>BH 2</t>
  </si>
  <si>
    <t>BH 87</t>
  </si>
  <si>
    <t>F 62646</t>
  </si>
  <si>
    <t>LA VITRINERIA</t>
  </si>
  <si>
    <t>F 2911</t>
  </si>
  <si>
    <t>F 5335</t>
  </si>
  <si>
    <t>F 2924</t>
  </si>
  <si>
    <t>VISUAL</t>
  </si>
  <si>
    <t>PROVISION AGENCIA DE ADUANA</t>
  </si>
  <si>
    <t>PROVISION JACH TECHNOLOGY</t>
  </si>
  <si>
    <t>76.110.436-5</t>
  </si>
  <si>
    <t xml:space="preserve">PROVISION PATENTES </t>
  </si>
  <si>
    <t>PROVISION ME CONECTO SPA</t>
  </si>
  <si>
    <t>78.124.998-K</t>
  </si>
  <si>
    <t>PROVISION WOM S.A.</t>
  </si>
  <si>
    <t>78.921.690-8</t>
  </si>
  <si>
    <t>PROVISION CENCOSUD RETAIL</t>
  </si>
  <si>
    <t>81.201.000-K</t>
  </si>
  <si>
    <t>PROVISION COSCO SHIPPING</t>
  </si>
  <si>
    <t>96.805.690-5</t>
  </si>
  <si>
    <t>PROVISION CHUBB SEGUROS C</t>
  </si>
  <si>
    <t>99.225.000-3</t>
  </si>
  <si>
    <t>ADVICOM COMPUTACION LIMITADA</t>
  </si>
  <si>
    <t>CHANNELS MEDIA S.A.</t>
  </si>
  <si>
    <t>ECU WORLDWIDE (CHILE) S.A</t>
  </si>
  <si>
    <t>LATAMFIT CHILE SPA</t>
  </si>
  <si>
    <t>RVR CLIMATIZACION LIMITADA</t>
  </si>
  <si>
    <t>VS CARGO SPA</t>
  </si>
  <si>
    <t>CoSco Shiping</t>
  </si>
  <si>
    <t>3.1.06.504</t>
  </si>
  <si>
    <t>IVA IRRECUPERABLE</t>
  </si>
  <si>
    <t>Saldo a favor agencia 85486 F57267</t>
  </si>
  <si>
    <t>Saldo a favor Flexi  85542 F57239</t>
  </si>
  <si>
    <t>Saldo a favor Flexi  85560 F57258</t>
  </si>
  <si>
    <t>Saldo a favor Flexi  85723 F57313</t>
  </si>
  <si>
    <t>Saldo a favor Flexi  85910 F57269</t>
  </si>
  <si>
    <t>Saldo a favor Flexi  86086 F57238</t>
  </si>
  <si>
    <t>AGENCIA DE ADUANA</t>
  </si>
  <si>
    <t>NC2485</t>
  </si>
  <si>
    <t>SANTANDER</t>
  </si>
  <si>
    <t>97036000K</t>
  </si>
  <si>
    <t>PROVISION TDC GASTOS ENE FACTURADO FEB</t>
  </si>
  <si>
    <t>Diferencia con provsion dicimbre</t>
  </si>
  <si>
    <t>saldo se deposita en febrero</t>
  </si>
  <si>
    <t>PROVISION AJUSTE BONO MAL CALCULADO</t>
  </si>
  <si>
    <t>GASTOS DE ALMACENAJE</t>
  </si>
  <si>
    <t>Amortización SEGURO Cuota 11/12 Plaza Vespucio (administracion)</t>
  </si>
  <si>
    <t>Amortización SEGURO Cuota 12/12 Plaza Vespucio (administracion)</t>
  </si>
  <si>
    <t>Amortización SEGURO Cuota 11/12 Concepcion Centro (administracion)</t>
  </si>
  <si>
    <t>Amortización SEGURO Cuota 12/12 Concepcion Centro (administracion)</t>
  </si>
  <si>
    <t>Amortización VMN Concepcion Centro 60/60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</si>
</sst>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(* #,##0.00_);_(* \(#,##0.00\);_(* &quot;-&quot;??_);_(@_)"/>
    <numFmt numFmtId="168" formatCode="_(* #,##0_);_(* \(#,##0\);_(* &quot;-&quot;??_);_(@_)"/>
    <numFmt numFmtId="169" formatCode="d\ &quot;de&quot;\ mmmm\ &quot;de&quot;\ yyyy"/>
    <numFmt numFmtId="170" formatCode="_(* #,##0_);_(* \(#,##0\);_(* &quot;-&quot;_);_(@_)"/>
    <numFmt numFmtId="171" formatCode="_(* #,##0_);_(* \(#,##0\);_(* &quot;-&quot;????_);_(@_)"/>
    <numFmt numFmtId="172" formatCode="_-* #,##0_-;\-* #,##0_-;_-* &quot;-&quot;??_-;_-@_-"/>
    <numFmt numFmtId="173" formatCode="_ * #,##0_ ;_ * \-#,##0_ ;_ * &quot;-&quot;??_ ;_ @_ "/>
    <numFmt numFmtId="174" formatCode="_-* #,##0.0000_-;\-* #,##0.0000_-;_-* &quot;-&quot;????_-;_-@_-"/>
    <numFmt numFmtId="175" formatCode="_-* #,##0.00\ _€_-;\-* #,##0.00\ _€_-;_-* &quot;-&quot;??\ _€_-;_-@_-"/>
    <numFmt numFmtId="176" formatCode="_-* #,##0\ _€_-;\-* #,##0\ _€_-;_-* &quot;-&quot;??\ _€_-;_-@_-"/>
    <numFmt numFmtId="177" formatCode="#,##0;\(#,###\)"/>
    <numFmt numFmtId="178" formatCode="#,##0;\(#,##0\);&quot;-&quot;???"/>
    <numFmt numFmtId="179" formatCode="0.00000%"/>
    <numFmt numFmtId="180" formatCode="_ * #,##0.00_ ;_ * \-#,##0.00_ ;_ * &quot;-&quot;_ ;_ @_ "/>
    <numFmt numFmtId="181" formatCode="dd/mm/yyyy;@"/>
    <numFmt numFmtId="182" formatCode="_ * #,##0.0000_ ;_ * \-#,##0.0000_ ;_ * &quot;-&quot;_ ;_ @_ "/>
    <numFmt numFmtId="183" formatCode="_ * #,##0.0000_ ;_ * \-#,##0.0000_ ;_ * &quot;-&quot;????_ ;_ @_ "/>
    <numFmt numFmtId="184" formatCode="_(* #,##0.00_);_(* \(#,##0.00\);_(* &quot;-&quot;_);_(@_)"/>
    <numFmt numFmtId="185" formatCode="#,##0.0"/>
    <numFmt numFmtId="186" formatCode="#,##0_ ;\-#,##0\ "/>
    <numFmt numFmtId="187" formatCode="dd\-mm\-yyyy;@"/>
  </numFmts>
  <fonts count="11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b/>
      <sz val="8"/>
      <color indexed="9"/>
      <name val="Arial"/>
      <family val="2"/>
    </font>
    <font>
      <sz val="8"/>
      <name val="ＭＳ Ｐゴシック"/>
      <family val="3"/>
      <charset val="128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6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i/>
      <sz val="10"/>
      <name val="Book Antiqua"/>
      <family val="1"/>
    </font>
    <font>
      <b/>
      <sz val="9"/>
      <name val="Book Antiqua"/>
      <family val="1"/>
    </font>
    <font>
      <sz val="9"/>
      <name val="Book Antiqua"/>
      <family val="1"/>
    </font>
    <font>
      <b/>
      <u/>
      <sz val="10"/>
      <name val="Book Antiqua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b/>
      <sz val="7"/>
      <color theme="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sz val="10"/>
      <color rgb="FFFF0000"/>
      <name val="Book Antiqua"/>
      <family val="1"/>
    </font>
    <font>
      <b/>
      <sz val="8.25"/>
      <color rgb="FF000000"/>
      <name val="Book Antiqua"/>
      <family val="1"/>
    </font>
    <font>
      <sz val="8.25"/>
      <color rgb="FF000000"/>
      <name val="Book Antiqua"/>
      <family val="1"/>
    </font>
    <font>
      <sz val="18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u/>
      <sz val="11"/>
      <color theme="10"/>
      <name val="Book Antiqua"/>
      <family val="1"/>
    </font>
    <font>
      <u/>
      <sz val="10"/>
      <color theme="10"/>
      <name val="Book Antiqua"/>
      <family val="1"/>
    </font>
    <font>
      <b/>
      <sz val="10"/>
      <color rgb="FFFF0000"/>
      <name val="Book Antiqua"/>
      <family val="1"/>
    </font>
    <font>
      <sz val="8.25"/>
      <color rgb="FF000000"/>
      <name val="Tahoma"/>
      <family val="2"/>
    </font>
    <font>
      <sz val="10"/>
      <color theme="0"/>
      <name val="Book Antiqua"/>
      <family val="1"/>
    </font>
    <font>
      <b/>
      <sz val="8.25"/>
      <color rgb="FF000000"/>
      <name val="Tahoma"/>
      <family val="2"/>
    </font>
    <font>
      <sz val="11"/>
      <color rgb="FFFF0000"/>
      <name val="Book Antiqua"/>
      <family val="1"/>
    </font>
    <font>
      <u/>
      <sz val="11"/>
      <color rgb="FFFF0000"/>
      <name val="Calibri"/>
      <family val="2"/>
      <scheme val="minor"/>
    </font>
    <font>
      <b/>
      <i/>
      <sz val="10"/>
      <color theme="1"/>
      <name val="Book Antiqua"/>
      <family val="1"/>
    </font>
    <font>
      <sz val="10"/>
      <color rgb="FFFFFFFF"/>
      <name val="Book Antiqua"/>
      <family val="1"/>
    </font>
    <font>
      <b/>
      <sz val="10"/>
      <color rgb="FFFFFFFF"/>
      <name val="Book Antiqua"/>
      <family val="1"/>
    </font>
    <font>
      <sz val="8.25"/>
      <color rgb="FF000000"/>
      <name val="Tahoma"/>
      <family val="2"/>
    </font>
    <font>
      <sz val="11"/>
      <name val="Book Antiqua"/>
      <family val="1"/>
    </font>
    <font>
      <sz val="11"/>
      <color rgb="FFFF0000"/>
      <name val="Calibri"/>
      <family val="2"/>
    </font>
    <font>
      <sz val="10"/>
      <color rgb="FFFF0000"/>
      <name val="Segoe UI"/>
      <family val="2"/>
    </font>
    <font>
      <sz val="11"/>
      <color theme="0"/>
      <name val="Book Antiqua"/>
      <family val="1"/>
    </font>
    <font>
      <sz val="10"/>
      <color rgb="FFC00000"/>
      <name val="Book Antiqua"/>
      <family val="1"/>
    </font>
    <font>
      <b/>
      <i/>
      <sz val="10"/>
      <color rgb="FFFF0000"/>
      <name val="Book Antiqua"/>
      <family val="1"/>
    </font>
    <font>
      <b/>
      <sz val="11"/>
      <color rgb="FFFF0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 tint="-0.14999847407452621"/>
      <name val="Book Antiqua"/>
      <family val="1"/>
    </font>
    <font>
      <sz val="10"/>
      <color rgb="FF00B0F0"/>
      <name val="Book Antiqua"/>
      <family val="1"/>
    </font>
    <font>
      <sz val="10"/>
      <color rgb="FF00B0F0"/>
      <name val="Arial"/>
      <family val="2"/>
    </font>
    <font>
      <sz val="10"/>
      <color rgb="FFFF0000"/>
      <name val="Arial"/>
      <family val="2"/>
    </font>
    <font>
      <b/>
      <sz val="10"/>
      <color theme="0"/>
      <name val="Book Antiqua"/>
      <family val="1"/>
    </font>
    <font>
      <sz val="8.25"/>
      <color theme="0"/>
      <name val="Book Antiqua"/>
      <family val="1"/>
    </font>
    <font>
      <sz val="8.25"/>
      <color theme="0"/>
      <name val="Tahoma"/>
      <family val="2"/>
    </font>
    <font>
      <sz val="8.25"/>
      <name val="Tahoma"/>
      <family val="2"/>
    </font>
    <font>
      <b/>
      <sz val="8"/>
      <color theme="1"/>
      <name val="Book Antiqua"/>
      <family val="1"/>
    </font>
    <font>
      <sz val="11"/>
      <color theme="1"/>
      <name val="Arial"/>
      <family val="2"/>
    </font>
    <font>
      <b/>
      <sz val="10"/>
      <color rgb="FFC00000"/>
      <name val="Book Antiqua"/>
      <family val="1"/>
    </font>
    <font>
      <sz val="11"/>
      <color theme="0"/>
      <name val="Arial"/>
      <family val="2"/>
    </font>
    <font>
      <sz val="10"/>
      <color rgb="FF0070C0"/>
      <name val="Book Antiqua"/>
      <family val="1"/>
    </font>
    <font>
      <sz val="10"/>
      <color rgb="FF00B050"/>
      <name val="Book Antiqua"/>
      <family val="1"/>
    </font>
    <font>
      <sz val="11"/>
      <color rgb="FF0070C0"/>
      <name val="Book Antiqua"/>
      <family val="1"/>
    </font>
    <font>
      <b/>
      <sz val="10"/>
      <color rgb="FF0070C0"/>
      <name val="Book Antiqua"/>
      <family val="1"/>
    </font>
    <font>
      <sz val="8.25"/>
      <color rgb="FF0070C0"/>
      <name val="Tahoma"/>
      <family val="2"/>
    </font>
    <font>
      <sz val="11"/>
      <color rgb="FFC00000"/>
      <name val="Book Antiqua"/>
      <family val="1"/>
    </font>
    <font>
      <sz val="10"/>
      <color rgb="FF002060"/>
      <name val="Book Antiqua"/>
      <family val="1"/>
    </font>
    <font>
      <sz val="10"/>
      <color rgb="FFFF99FF"/>
      <name val="Book Antiqua"/>
      <family val="1"/>
    </font>
    <font>
      <sz val="11"/>
      <color rgb="FF002060"/>
      <name val="Book Antiqua"/>
      <family val="1"/>
    </font>
    <font>
      <b/>
      <sz val="16"/>
      <color rgb="FF002060"/>
      <name val="Book Antiqua"/>
      <family val="1"/>
    </font>
    <font>
      <b/>
      <sz val="10"/>
      <color rgb="FF002060"/>
      <name val="Book Antiqua"/>
      <family val="1"/>
    </font>
    <font>
      <sz val="11"/>
      <color rgb="FF00206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002060"/>
      <name val="Calibri"/>
      <family val="2"/>
    </font>
    <font>
      <sz val="11"/>
      <color theme="1"/>
      <name val="Calibri"/>
      <family val="2"/>
    </font>
    <font>
      <sz val="11"/>
      <color rgb="FFFFC000"/>
      <name val="Book Antiqua"/>
      <family val="1"/>
    </font>
    <font>
      <sz val="10"/>
      <color rgb="FFFFC000"/>
      <name val="Book Antiqua"/>
      <family val="1"/>
    </font>
    <font>
      <b/>
      <sz val="16"/>
      <color rgb="FF0070C0"/>
      <name val="Book Antiqua"/>
      <family val="1"/>
    </font>
    <font>
      <sz val="11"/>
      <color rgb="FF0070C0"/>
      <name val="Calibri"/>
      <family val="2"/>
      <scheme val="minor"/>
    </font>
    <font>
      <b/>
      <sz val="11"/>
      <color rgb="FF0070C0"/>
      <name val="Book Antiqua"/>
      <family val="1"/>
    </font>
    <font>
      <sz val="11"/>
      <color rgb="FFFFC000"/>
      <name val="Calibri"/>
      <family val="2"/>
    </font>
    <font>
      <b/>
      <sz val="10"/>
      <color rgb="FFFFC000"/>
      <name val="Book Antiqua"/>
      <family val="1"/>
    </font>
    <font>
      <i/>
      <sz val="10"/>
      <color theme="3" tint="-0.249977111117893"/>
      <name val="Book Antiqua"/>
      <family val="1"/>
    </font>
    <font>
      <sz val="10"/>
      <color theme="3" tint="-0.249977111117893"/>
      <name val="Book Antiqua"/>
      <family val="1"/>
    </font>
    <font>
      <b/>
      <sz val="16"/>
      <color theme="0"/>
      <name val="Book Antiqua"/>
      <family val="1"/>
    </font>
    <font>
      <b/>
      <sz val="11"/>
      <color theme="0"/>
      <name val="Book Antiqua"/>
      <family val="1"/>
    </font>
    <font>
      <b/>
      <sz val="11"/>
      <color theme="0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0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</borders>
  <cellStyleXfs count="1455">
    <xf numFmtId="0" fontId="0" fillId="0" borderId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3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24" applyNumberFormat="0" applyAlignment="0" applyProtection="0"/>
    <xf numFmtId="0" fontId="22" fillId="26" borderId="25" applyNumberFormat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0" applyNumberFormat="0" applyFill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26" fillId="33" borderId="24" applyNumberFormat="0" applyAlignment="0" applyProtection="0"/>
    <xf numFmtId="0" fontId="27" fillId="0" borderId="0" applyNumberFormat="0" applyFill="0" applyBorder="0" applyAlignment="0" applyProtection="0"/>
    <xf numFmtId="0" fontId="28" fillId="34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0" fontId="18" fillId="0" borderId="0"/>
    <xf numFmtId="0" fontId="9" fillId="0" borderId="0"/>
    <xf numFmtId="0" fontId="4" fillId="0" borderId="0" applyNumberFormat="0" applyFill="0" applyBorder="0">
      <alignment vertical="center"/>
    </xf>
    <xf numFmtId="0" fontId="10" fillId="0" borderId="0"/>
    <xf numFmtId="0" fontId="18" fillId="0" borderId="0"/>
    <xf numFmtId="0" fontId="4" fillId="0" borderId="0" applyNumberFormat="0" applyFill="0" applyBorder="0">
      <alignment vertical="center"/>
    </xf>
    <xf numFmtId="0" fontId="30" fillId="0" borderId="0"/>
    <xf numFmtId="0" fontId="10" fillId="0" borderId="0"/>
    <xf numFmtId="0" fontId="10" fillId="0" borderId="0"/>
    <xf numFmtId="0" fontId="9" fillId="0" borderId="0"/>
    <xf numFmtId="0" fontId="18" fillId="36" borderId="28" applyNumberFormat="0" applyFont="0" applyAlignment="0" applyProtection="0"/>
    <xf numFmtId="0" fontId="31" fillId="25" borderId="2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30" applyNumberFormat="0" applyFill="0" applyAlignment="0" applyProtection="0"/>
    <xf numFmtId="0" fontId="25" fillId="0" borderId="31" applyNumberFormat="0" applyFill="0" applyAlignment="0" applyProtection="0"/>
    <xf numFmtId="0" fontId="36" fillId="0" borderId="32" applyNumberFormat="0" applyFill="0" applyAlignment="0" applyProtection="0"/>
    <xf numFmtId="165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9" fillId="0" borderId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</cellStyleXfs>
  <cellXfs count="890">
    <xf numFmtId="0" fontId="0" fillId="0" borderId="0" xfId="0"/>
    <xf numFmtId="0" fontId="5" fillId="0" borderId="5" xfId="48" applyFont="1" applyBorder="1">
      <alignment vertical="center"/>
    </xf>
    <xf numFmtId="15" fontId="3" fillId="4" borderId="5" xfId="13" applyNumberFormat="1" applyFont="1" applyFill="1" applyBorder="1" applyAlignment="1">
      <alignment vertical="center"/>
    </xf>
    <xf numFmtId="0" fontId="5" fillId="0" borderId="0" xfId="48" applyFont="1">
      <alignment vertical="center"/>
    </xf>
    <xf numFmtId="0" fontId="5" fillId="0" borderId="0" xfId="48" applyFont="1" applyBorder="1">
      <alignment vertical="center"/>
    </xf>
    <xf numFmtId="0" fontId="3" fillId="4" borderId="0" xfId="13" applyFont="1" applyFill="1" applyBorder="1" applyAlignment="1">
      <alignment vertical="center"/>
    </xf>
    <xf numFmtId="0" fontId="6" fillId="4" borderId="6" xfId="13" applyFont="1" applyFill="1" applyBorder="1" applyAlignment="1">
      <alignment vertical="center"/>
    </xf>
    <xf numFmtId="0" fontId="7" fillId="4" borderId="0" xfId="13" applyFont="1" applyFill="1" applyBorder="1" applyAlignment="1">
      <alignment horizontal="center" vertical="center"/>
    </xf>
    <xf numFmtId="15" fontId="3" fillId="4" borderId="0" xfId="13" applyNumberFormat="1" applyFont="1" applyFill="1" applyBorder="1" applyAlignment="1">
      <alignment horizontal="center" vertical="center"/>
    </xf>
    <xf numFmtId="0" fontId="6" fillId="5" borderId="6" xfId="48" applyFont="1" applyFill="1" applyBorder="1">
      <alignment vertical="center"/>
    </xf>
    <xf numFmtId="0" fontId="7" fillId="5" borderId="0" xfId="48" applyFont="1" applyFill="1" applyBorder="1" applyAlignment="1">
      <alignment horizontal="center" vertical="center"/>
    </xf>
    <xf numFmtId="0" fontId="6" fillId="5" borderId="0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indent="1"/>
    </xf>
    <xf numFmtId="0" fontId="6" fillId="5" borderId="0" xfId="48" applyFont="1" applyFill="1" applyBorder="1" applyAlignment="1">
      <alignment horizontal="center" vertical="center"/>
    </xf>
    <xf numFmtId="0" fontId="5" fillId="0" borderId="0" xfId="48" applyFont="1" applyBorder="1" applyAlignment="1">
      <alignment horizontal="center" vertical="center"/>
    </xf>
    <xf numFmtId="0" fontId="6" fillId="5" borderId="6" xfId="48" applyFont="1" applyFill="1" applyBorder="1" applyAlignment="1">
      <alignment horizontal="left" vertical="center" wrapText="1" indent="2"/>
    </xf>
    <xf numFmtId="0" fontId="7" fillId="5" borderId="0" xfId="48" applyFont="1" applyFill="1" applyBorder="1" applyAlignment="1">
      <alignment horizontal="center" vertical="center" wrapText="1"/>
    </xf>
    <xf numFmtId="0" fontId="6" fillId="5" borderId="0" xfId="48" applyFont="1" applyFill="1" applyBorder="1" applyAlignment="1">
      <alignment horizontal="left" vertical="center" wrapText="1" indent="2"/>
    </xf>
    <xf numFmtId="0" fontId="5" fillId="5" borderId="6" xfId="48" applyFont="1" applyFill="1" applyBorder="1" applyAlignment="1">
      <alignment horizontal="left" vertical="center" indent="4"/>
    </xf>
    <xf numFmtId="3" fontId="5" fillId="0" borderId="0" xfId="48" applyNumberFormat="1" applyFont="1" applyBorder="1">
      <alignment vertical="center"/>
    </xf>
    <xf numFmtId="3" fontId="5" fillId="0" borderId="4" xfId="48" applyNumberFormat="1" applyFont="1" applyFill="1" applyBorder="1">
      <alignment vertical="center"/>
    </xf>
    <xf numFmtId="3" fontId="5" fillId="0" borderId="0" xfId="48" applyNumberFormat="1" applyFont="1">
      <alignment vertical="center"/>
    </xf>
    <xf numFmtId="0" fontId="5" fillId="5" borderId="6" xfId="48" applyFont="1" applyFill="1" applyBorder="1" applyAlignment="1">
      <alignment horizontal="left" vertical="center" wrapText="1" indent="3"/>
    </xf>
    <xf numFmtId="3" fontId="5" fillId="5" borderId="4" xfId="48" applyNumberFormat="1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4"/>
    </xf>
    <xf numFmtId="0" fontId="5" fillId="5" borderId="4" xfId="48" applyFont="1" applyFill="1" applyBorder="1">
      <alignment vertical="center"/>
    </xf>
    <xf numFmtId="0" fontId="5" fillId="5" borderId="0" xfId="48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2"/>
    </xf>
    <xf numFmtId="3" fontId="5" fillId="5" borderId="0" xfId="48" applyNumberFormat="1" applyFont="1" applyFill="1" applyBorder="1">
      <alignment vertical="center"/>
    </xf>
    <xf numFmtId="0" fontId="3" fillId="4" borderId="7" xfId="13" applyFont="1" applyFill="1" applyBorder="1" applyAlignment="1">
      <alignment vertical="center"/>
    </xf>
    <xf numFmtId="0" fontId="8" fillId="4" borderId="5" xfId="13" applyFont="1" applyFill="1" applyBorder="1" applyAlignment="1">
      <alignment horizontal="center" vertical="center"/>
    </xf>
    <xf numFmtId="0" fontId="3" fillId="4" borderId="8" xfId="13" applyFont="1" applyFill="1" applyBorder="1" applyAlignment="1">
      <alignment horizontal="center" vertical="center"/>
    </xf>
    <xf numFmtId="0" fontId="6" fillId="4" borderId="9" xfId="13" applyFont="1" applyFill="1" applyBorder="1" applyAlignment="1">
      <alignment vertical="center"/>
    </xf>
    <xf numFmtId="0" fontId="7" fillId="4" borderId="10" xfId="13" applyFont="1" applyFill="1" applyBorder="1" applyAlignment="1">
      <alignment horizontal="center" vertical="center"/>
    </xf>
    <xf numFmtId="15" fontId="3" fillId="4" borderId="11" xfId="13" applyNumberFormat="1" applyFont="1" applyFill="1" applyBorder="1" applyAlignment="1">
      <alignment horizontal="center" vertical="center"/>
    </xf>
    <xf numFmtId="0" fontId="6" fillId="5" borderId="7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wrapText="1" indent="1"/>
    </xf>
    <xf numFmtId="0" fontId="6" fillId="5" borderId="6" xfId="48" applyFont="1" applyFill="1" applyBorder="1" applyAlignment="1">
      <alignment horizontal="left" vertical="center" wrapText="1" indent="3"/>
    </xf>
    <xf numFmtId="0" fontId="5" fillId="5" borderId="9" xfId="48" applyFont="1" applyFill="1" applyBorder="1" applyAlignment="1">
      <alignment horizontal="left" vertical="center" wrapText="1" indent="2"/>
    </xf>
    <xf numFmtId="0" fontId="7" fillId="5" borderId="10" xfId="48" applyFont="1" applyFill="1" applyBorder="1" applyAlignment="1">
      <alignment horizontal="center" vertical="center" wrapText="1"/>
    </xf>
    <xf numFmtId="0" fontId="5" fillId="0" borderId="10" xfId="48" applyFont="1" applyBorder="1">
      <alignment vertical="center"/>
    </xf>
    <xf numFmtId="0" fontId="5" fillId="0" borderId="0" xfId="48" applyFont="1" applyBorder="1" applyAlignment="1">
      <alignment horizontal="left" vertical="center" indent="1"/>
    </xf>
    <xf numFmtId="0" fontId="7" fillId="0" borderId="0" xfId="48" applyFont="1" applyBorder="1" applyAlignment="1">
      <alignment horizontal="center" vertical="center"/>
    </xf>
    <xf numFmtId="0" fontId="37" fillId="0" borderId="0" xfId="48" applyFont="1">
      <alignment vertical="center"/>
    </xf>
    <xf numFmtId="0" fontId="37" fillId="0" borderId="0" xfId="48" applyFont="1" applyBorder="1">
      <alignment vertical="center"/>
    </xf>
    <xf numFmtId="0" fontId="38" fillId="0" borderId="0" xfId="48" applyFont="1" applyBorder="1" applyAlignment="1">
      <alignment horizontal="center" vertical="center"/>
    </xf>
    <xf numFmtId="3" fontId="39" fillId="0" borderId="0" xfId="48" applyNumberFormat="1" applyFont="1" applyFill="1" applyBorder="1">
      <alignment vertical="center"/>
    </xf>
    <xf numFmtId="0" fontId="7" fillId="0" borderId="0" xfId="48" applyFont="1" applyAlignment="1">
      <alignment horizontal="center" vertical="center"/>
    </xf>
    <xf numFmtId="0" fontId="11" fillId="37" borderId="0" xfId="46" applyFont="1" applyFill="1"/>
    <xf numFmtId="0" fontId="12" fillId="37" borderId="0" xfId="46" applyFont="1" applyFill="1"/>
    <xf numFmtId="0" fontId="13" fillId="37" borderId="0" xfId="46" applyFont="1" applyFill="1"/>
    <xf numFmtId="0" fontId="14" fillId="37" borderId="0" xfId="46" applyFont="1" applyFill="1"/>
    <xf numFmtId="10" fontId="14" fillId="37" borderId="0" xfId="46" applyNumberFormat="1" applyFont="1" applyFill="1"/>
    <xf numFmtId="169" fontId="13" fillId="37" borderId="0" xfId="46" applyNumberFormat="1" applyFont="1" applyFill="1"/>
    <xf numFmtId="0" fontId="15" fillId="37" borderId="4" xfId="46" quotePrefix="1" applyFont="1" applyFill="1" applyBorder="1" applyAlignment="1">
      <alignment horizontal="left"/>
    </xf>
    <xf numFmtId="170" fontId="13" fillId="37" borderId="4" xfId="46" applyNumberFormat="1" applyFont="1" applyFill="1" applyBorder="1" applyAlignment="1">
      <alignment horizontal="right"/>
    </xf>
    <xf numFmtId="0" fontId="16" fillId="37" borderId="4" xfId="46" applyFont="1" applyFill="1" applyBorder="1" applyAlignment="1">
      <alignment horizontal="left"/>
    </xf>
    <xf numFmtId="170" fontId="12" fillId="37" borderId="4" xfId="46" applyNumberFormat="1" applyFont="1" applyFill="1" applyBorder="1" applyAlignment="1">
      <alignment horizontal="right"/>
    </xf>
    <xf numFmtId="168" fontId="12" fillId="37" borderId="4" xfId="39" applyNumberFormat="1" applyFont="1" applyFill="1" applyBorder="1" applyAlignment="1">
      <alignment horizontal="right"/>
    </xf>
    <xf numFmtId="168" fontId="13" fillId="37" borderId="4" xfId="39" applyNumberFormat="1" applyFont="1" applyFill="1" applyBorder="1" applyAlignment="1">
      <alignment horizontal="right"/>
    </xf>
    <xf numFmtId="170" fontId="12" fillId="0" borderId="4" xfId="46" applyNumberFormat="1" applyFont="1" applyBorder="1" applyAlignment="1">
      <alignment horizontal="right"/>
    </xf>
    <xf numFmtId="0" fontId="16" fillId="37" borderId="4" xfId="46" applyFont="1" applyFill="1" applyBorder="1"/>
    <xf numFmtId="0" fontId="13" fillId="37" borderId="12" xfId="46" quotePrefix="1" applyFont="1" applyFill="1" applyBorder="1" applyAlignment="1">
      <alignment horizontal="left"/>
    </xf>
    <xf numFmtId="170" fontId="13" fillId="37" borderId="12" xfId="46" applyNumberFormat="1" applyFont="1" applyFill="1" applyBorder="1" applyAlignment="1">
      <alignment horizontal="right"/>
    </xf>
    <xf numFmtId="170" fontId="41" fillId="37" borderId="12" xfId="46" applyNumberFormat="1" applyFont="1" applyFill="1" applyBorder="1" applyAlignment="1">
      <alignment horizontal="right"/>
    </xf>
    <xf numFmtId="170" fontId="13" fillId="0" borderId="12" xfId="46" applyNumberFormat="1" applyFont="1" applyBorder="1" applyAlignment="1">
      <alignment horizontal="right"/>
    </xf>
    <xf numFmtId="3" fontId="12" fillId="37" borderId="0" xfId="46" applyNumberFormat="1" applyFont="1" applyFill="1"/>
    <xf numFmtId="0" fontId="12" fillId="37" borderId="0" xfId="50" applyFont="1" applyFill="1"/>
    <xf numFmtId="15" fontId="13" fillId="37" borderId="0" xfId="50" applyNumberFormat="1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left"/>
    </xf>
    <xf numFmtId="15" fontId="13" fillId="37" borderId="4" xfId="50" applyNumberFormat="1" applyFont="1" applyFill="1" applyBorder="1" applyAlignment="1">
      <alignment horizontal="center"/>
    </xf>
    <xf numFmtId="0" fontId="13" fillId="37" borderId="4" xfId="50" applyFont="1" applyFill="1" applyBorder="1" applyAlignment="1">
      <alignment horizontal="center"/>
    </xf>
    <xf numFmtId="15" fontId="12" fillId="37" borderId="4" xfId="50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left"/>
    </xf>
    <xf numFmtId="15" fontId="13" fillId="37" borderId="4" xfId="50" applyNumberFormat="1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left"/>
    </xf>
    <xf numFmtId="15" fontId="14" fillId="37" borderId="0" xfId="50" applyNumberFormat="1" applyFont="1" applyFill="1" applyAlignment="1">
      <alignment horizontal="center"/>
    </xf>
    <xf numFmtId="0" fontId="14" fillId="37" borderId="0" xfId="50" applyFont="1" applyFill="1" applyAlignment="1">
      <alignment horizontal="center"/>
    </xf>
    <xf numFmtId="49" fontId="13" fillId="37" borderId="0" xfId="52" applyNumberFormat="1" applyFont="1" applyFill="1"/>
    <xf numFmtId="0" fontId="12" fillId="37" borderId="0" xfId="52" applyFont="1" applyFill="1"/>
    <xf numFmtId="0" fontId="14" fillId="37" borderId="0" xfId="51" applyFont="1" applyFill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 wrapText="1"/>
    </xf>
    <xf numFmtId="4" fontId="13" fillId="37" borderId="1" xfId="52" applyNumberFormat="1" applyFont="1" applyFill="1" applyBorder="1" applyAlignment="1">
      <alignment vertical="center" wrapText="1"/>
    </xf>
    <xf numFmtId="4" fontId="13" fillId="37" borderId="2" xfId="52" applyNumberFormat="1" applyFont="1" applyFill="1" applyBorder="1" applyAlignment="1">
      <alignment vertical="center" wrapText="1"/>
    </xf>
    <xf numFmtId="4" fontId="13" fillId="37" borderId="3" xfId="52" applyNumberFormat="1" applyFont="1" applyFill="1" applyBorder="1" applyAlignment="1">
      <alignment horizontal="center" vertical="center" wrapText="1"/>
    </xf>
    <xf numFmtId="14" fontId="12" fillId="37" borderId="9" xfId="52" applyNumberFormat="1" applyFont="1" applyFill="1" applyBorder="1" applyAlignment="1">
      <alignment horizontal="center"/>
    </xf>
    <xf numFmtId="4" fontId="12" fillId="37" borderId="1" xfId="52" applyNumberFormat="1" applyFont="1" applyFill="1" applyBorder="1" applyAlignment="1">
      <alignment vertical="center"/>
    </xf>
    <xf numFmtId="4" fontId="13" fillId="37" borderId="13" xfId="52" applyNumberFormat="1" applyFont="1" applyFill="1" applyBorder="1" applyAlignment="1">
      <alignment horizontal="center" vertical="center" wrapText="1"/>
    </xf>
    <xf numFmtId="0" fontId="12" fillId="37" borderId="1" xfId="52" applyFont="1" applyFill="1" applyBorder="1"/>
    <xf numFmtId="0" fontId="12" fillId="37" borderId="2" xfId="52" applyFont="1" applyFill="1" applyBorder="1"/>
    <xf numFmtId="167" fontId="12" fillId="37" borderId="13" xfId="41" applyNumberFormat="1" applyFont="1" applyFill="1" applyBorder="1" applyAlignment="1">
      <alignment horizontal="right"/>
    </xf>
    <xf numFmtId="15" fontId="13" fillId="37" borderId="1" xfId="52" applyNumberFormat="1" applyFont="1" applyFill="1" applyBorder="1"/>
    <xf numFmtId="15" fontId="13" fillId="37" borderId="2" xfId="52" applyNumberFormat="1" applyFont="1" applyFill="1" applyBorder="1"/>
    <xf numFmtId="167" fontId="13" fillId="37" borderId="3" xfId="52" applyNumberFormat="1" applyFont="1" applyFill="1" applyBorder="1"/>
    <xf numFmtId="0" fontId="13" fillId="37" borderId="0" xfId="50" quotePrefix="1" applyFont="1" applyFill="1"/>
    <xf numFmtId="0" fontId="14" fillId="37" borderId="0" xfId="50" quotePrefix="1" applyFont="1" applyFill="1"/>
    <xf numFmtId="0" fontId="13" fillId="37" borderId="0" xfId="50" applyFont="1" applyFill="1" applyAlignment="1">
      <alignment horizontal="left"/>
    </xf>
    <xf numFmtId="0" fontId="12" fillId="37" borderId="0" xfId="50" applyFont="1" applyFill="1" applyAlignment="1">
      <alignment horizontal="left"/>
    </xf>
    <xf numFmtId="3" fontId="12" fillId="37" borderId="0" xfId="50" applyNumberFormat="1" applyFont="1" applyFill="1"/>
    <xf numFmtId="170" fontId="13" fillId="37" borderId="14" xfId="50" applyNumberFormat="1" applyFont="1" applyFill="1" applyBorder="1"/>
    <xf numFmtId="170" fontId="12" fillId="37" borderId="0" xfId="50" applyNumberFormat="1" applyFont="1" applyFill="1"/>
    <xf numFmtId="0" fontId="12" fillId="37" borderId="15" xfId="50" applyFont="1" applyFill="1" applyBorder="1" applyAlignment="1">
      <alignment horizontal="center" vertical="top" wrapText="1"/>
    </xf>
    <xf numFmtId="14" fontId="12" fillId="37" borderId="15" xfId="50" applyNumberFormat="1" applyFont="1" applyFill="1" applyBorder="1" applyAlignment="1">
      <alignment horizontal="center" vertical="top" wrapText="1"/>
    </xf>
    <xf numFmtId="0" fontId="12" fillId="37" borderId="15" xfId="50" applyFont="1" applyFill="1" applyBorder="1" applyAlignment="1">
      <alignment horizontal="left" vertical="top" wrapText="1"/>
    </xf>
    <xf numFmtId="168" fontId="12" fillId="37" borderId="15" xfId="39" applyNumberFormat="1" applyFont="1" applyFill="1" applyBorder="1" applyAlignment="1">
      <alignment horizontal="center" vertical="top" wrapText="1"/>
    </xf>
    <xf numFmtId="14" fontId="12" fillId="37" borderId="16" xfId="50" applyNumberFormat="1" applyFont="1" applyFill="1" applyBorder="1"/>
    <xf numFmtId="0" fontId="12" fillId="37" borderId="16" xfId="50" applyFont="1" applyFill="1" applyBorder="1"/>
    <xf numFmtId="170" fontId="12" fillId="37" borderId="16" xfId="50" applyNumberFormat="1" applyFont="1" applyFill="1" applyBorder="1"/>
    <xf numFmtId="14" fontId="12" fillId="37" borderId="0" xfId="50" applyNumberFormat="1" applyFont="1" applyFill="1"/>
    <xf numFmtId="0" fontId="12" fillId="37" borderId="17" xfId="50" applyFont="1" applyFill="1" applyBorder="1"/>
    <xf numFmtId="0" fontId="12" fillId="37" borderId="18" xfId="50" applyFont="1" applyFill="1" applyBorder="1"/>
    <xf numFmtId="170" fontId="12" fillId="37" borderId="18" xfId="50" applyNumberFormat="1" applyFont="1" applyFill="1" applyBorder="1"/>
    <xf numFmtId="170" fontId="12" fillId="37" borderId="19" xfId="50" applyNumberFormat="1" applyFont="1" applyFill="1" applyBorder="1"/>
    <xf numFmtId="0" fontId="13" fillId="37" borderId="18" xfId="50" applyFont="1" applyFill="1" applyBorder="1"/>
    <xf numFmtId="170" fontId="13" fillId="37" borderId="19" xfId="50" applyNumberFormat="1" applyFont="1" applyFill="1" applyBorder="1"/>
    <xf numFmtId="170" fontId="12" fillId="37" borderId="20" xfId="50" applyNumberFormat="1" applyFont="1" applyFill="1" applyBorder="1"/>
    <xf numFmtId="0" fontId="13" fillId="37" borderId="14" xfId="52" applyFont="1" applyFill="1" applyBorder="1" applyAlignment="1">
      <alignment horizontal="left"/>
    </xf>
    <xf numFmtId="3" fontId="12" fillId="37" borderId="14" xfId="52" applyNumberFormat="1" applyFont="1" applyFill="1" applyBorder="1"/>
    <xf numFmtId="0" fontId="12" fillId="37" borderId="14" xfId="52" applyFont="1" applyFill="1" applyBorder="1"/>
    <xf numFmtId="168" fontId="13" fillId="37" borderId="14" xfId="52" applyNumberFormat="1" applyFont="1" applyFill="1" applyBorder="1"/>
    <xf numFmtId="168" fontId="12" fillId="37" borderId="0" xfId="39" applyNumberFormat="1" applyFont="1" applyFill="1"/>
    <xf numFmtId="3" fontId="27" fillId="0" borderId="0" xfId="33" applyNumberFormat="1" applyAlignment="1">
      <alignment vertical="center"/>
    </xf>
    <xf numFmtId="0" fontId="27" fillId="37" borderId="0" xfId="33" applyFill="1" applyAlignment="1">
      <alignment horizontal="center"/>
    </xf>
    <xf numFmtId="0" fontId="27" fillId="0" borderId="0" xfId="33" applyAlignment="1">
      <alignment vertical="center"/>
    </xf>
    <xf numFmtId="0" fontId="27" fillId="0" borderId="0" xfId="33"/>
    <xf numFmtId="15" fontId="12" fillId="37" borderId="4" xfId="52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right"/>
    </xf>
    <xf numFmtId="0" fontId="13" fillId="37" borderId="4" xfId="50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center"/>
    </xf>
    <xf numFmtId="15" fontId="13" fillId="37" borderId="0" xfId="52" applyNumberFormat="1" applyFont="1" applyFill="1" applyAlignment="1">
      <alignment horizontal="left"/>
    </xf>
    <xf numFmtId="15" fontId="17" fillId="37" borderId="0" xfId="52" applyNumberFormat="1" applyFont="1" applyFill="1" applyAlignment="1">
      <alignment horizontal="center"/>
    </xf>
    <xf numFmtId="4" fontId="13" fillId="37" borderId="8" xfId="52" applyNumberFormat="1" applyFont="1" applyFill="1" applyBorder="1" applyAlignment="1">
      <alignment horizontal="center"/>
    </xf>
    <xf numFmtId="14" fontId="12" fillId="37" borderId="1" xfId="52" applyNumberFormat="1" applyFont="1" applyFill="1" applyBorder="1" applyAlignment="1">
      <alignment horizontal="left"/>
    </xf>
    <xf numFmtId="4" fontId="13" fillId="37" borderId="13" xfId="52" applyNumberFormat="1" applyFont="1" applyFill="1" applyBorder="1" applyAlignment="1">
      <alignment horizontal="center"/>
    </xf>
    <xf numFmtId="170" fontId="12" fillId="37" borderId="0" xfId="52" applyNumberFormat="1" applyFont="1" applyFill="1"/>
    <xf numFmtId="0" fontId="13" fillId="37" borderId="0" xfId="52" applyFont="1" applyFill="1" applyAlignment="1">
      <alignment horizontal="center"/>
    </xf>
    <xf numFmtId="168" fontId="13" fillId="37" borderId="0" xfId="39" applyNumberFormat="1" applyFont="1" applyFill="1" applyAlignment="1">
      <alignment horizontal="right"/>
    </xf>
    <xf numFmtId="3" fontId="12" fillId="37" borderId="0" xfId="52" applyNumberFormat="1" applyFont="1" applyFill="1"/>
    <xf numFmtId="0" fontId="12" fillId="37" borderId="0" xfId="52" applyFont="1" applyFill="1" applyAlignment="1">
      <alignment horizontal="center"/>
    </xf>
    <xf numFmtId="0" fontId="27" fillId="0" borderId="0" xfId="33" quotePrefix="1" applyAlignment="1">
      <alignment vertical="center"/>
    </xf>
    <xf numFmtId="0" fontId="0" fillId="37" borderId="0" xfId="0" applyFill="1"/>
    <xf numFmtId="0" fontId="13" fillId="37" borderId="0" xfId="50" applyFont="1" applyFill="1"/>
    <xf numFmtId="171" fontId="12" fillId="37" borderId="4" xfId="50" applyNumberFormat="1" applyFont="1" applyFill="1" applyBorder="1" applyAlignment="1">
      <alignment horizontal="right"/>
    </xf>
    <xf numFmtId="171" fontId="14" fillId="37" borderId="0" xfId="50" applyNumberFormat="1" applyFont="1" applyFill="1" applyAlignment="1">
      <alignment horizontal="center"/>
    </xf>
    <xf numFmtId="168" fontId="14" fillId="37" borderId="0" xfId="50" applyNumberFormat="1" applyFont="1" applyFill="1" applyAlignment="1">
      <alignment horizontal="center"/>
    </xf>
    <xf numFmtId="168" fontId="9" fillId="0" borderId="0" xfId="39" applyNumberFormat="1" applyFont="1"/>
    <xf numFmtId="168" fontId="12" fillId="37" borderId="0" xfId="52" applyNumberFormat="1" applyFont="1" applyFill="1"/>
    <xf numFmtId="4" fontId="13" fillId="37" borderId="21" xfId="52" applyNumberFormat="1" applyFont="1" applyFill="1" applyBorder="1" applyAlignment="1">
      <alignment horizontal="center"/>
    </xf>
    <xf numFmtId="4" fontId="13" fillId="37" borderId="11" xfId="52" applyNumberFormat="1" applyFont="1" applyFill="1" applyBorder="1" applyAlignment="1">
      <alignment horizontal="center"/>
    </xf>
    <xf numFmtId="170" fontId="13" fillId="37" borderId="13" xfId="46" applyNumberFormat="1" applyFont="1" applyFill="1" applyBorder="1" applyAlignment="1">
      <alignment horizontal="center"/>
    </xf>
    <xf numFmtId="14" fontId="12" fillId="37" borderId="6" xfId="52" applyNumberFormat="1" applyFont="1" applyFill="1" applyBorder="1"/>
    <xf numFmtId="168" fontId="12" fillId="37" borderId="23" xfId="39" applyNumberFormat="1" applyFont="1" applyFill="1" applyBorder="1"/>
    <xf numFmtId="170" fontId="13" fillId="37" borderId="0" xfId="52" applyNumberFormat="1" applyFont="1" applyFill="1"/>
    <xf numFmtId="41" fontId="12" fillId="37" borderId="0" xfId="52" applyNumberFormat="1" applyFont="1" applyFill="1"/>
    <xf numFmtId="14" fontId="12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center"/>
    </xf>
    <xf numFmtId="168" fontId="12" fillId="37" borderId="4" xfId="39" applyNumberFormat="1" applyFont="1" applyFill="1" applyBorder="1"/>
    <xf numFmtId="0" fontId="30" fillId="0" borderId="0" xfId="49"/>
    <xf numFmtId="4" fontId="12" fillId="37" borderId="9" xfId="52" applyNumberFormat="1" applyFont="1" applyFill="1" applyBorder="1" applyAlignment="1">
      <alignment horizontal="left"/>
    </xf>
    <xf numFmtId="4" fontId="13" fillId="37" borderId="4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7" xfId="52" applyFont="1" applyFill="1" applyBorder="1" applyAlignment="1">
      <alignment horizontal="center"/>
    </xf>
    <xf numFmtId="0" fontId="13" fillId="37" borderId="9" xfId="52" applyFont="1" applyFill="1" applyBorder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14" fontId="12" fillId="37" borderId="9" xfId="52" applyNumberFormat="1" applyFont="1" applyFill="1" applyBorder="1" applyAlignment="1">
      <alignment horizontal="left"/>
    </xf>
    <xf numFmtId="172" fontId="41" fillId="0" borderId="4" xfId="61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left"/>
    </xf>
    <xf numFmtId="172" fontId="44" fillId="0" borderId="4" xfId="35" applyNumberFormat="1" applyFont="1" applyFill="1" applyBorder="1" applyAlignment="1">
      <alignment horizontal="right" vertical="center" wrapText="1"/>
    </xf>
    <xf numFmtId="0" fontId="12" fillId="37" borderId="1" xfId="52" applyFont="1" applyFill="1" applyBorder="1" applyAlignment="1">
      <alignment horizontal="right"/>
    </xf>
    <xf numFmtId="173" fontId="12" fillId="37" borderId="1" xfId="35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/>
    </xf>
    <xf numFmtId="0" fontId="13" fillId="37" borderId="11" xfId="52" applyFont="1" applyFill="1" applyBorder="1" applyAlignment="1">
      <alignment horizontal="center"/>
    </xf>
    <xf numFmtId="173" fontId="12" fillId="37" borderId="4" xfId="35" applyNumberFormat="1" applyFont="1" applyFill="1" applyBorder="1" applyAlignment="1">
      <alignment horizontal="left"/>
    </xf>
    <xf numFmtId="37" fontId="13" fillId="37" borderId="4" xfId="46" applyNumberFormat="1" applyFont="1" applyFill="1" applyBorder="1" applyAlignment="1" applyProtection="1">
      <alignment horizontal="center" vertical="center" wrapText="1"/>
      <protection locked="0"/>
    </xf>
    <xf numFmtId="14" fontId="13" fillId="37" borderId="4" xfId="62" applyNumberFormat="1" applyFont="1" applyFill="1" applyBorder="1" applyAlignment="1">
      <alignment horizontal="center"/>
    </xf>
    <xf numFmtId="1" fontId="13" fillId="37" borderId="4" xfId="62" applyNumberFormat="1" applyFont="1" applyFill="1" applyBorder="1" applyAlignment="1">
      <alignment horizontal="center"/>
    </xf>
    <xf numFmtId="37" fontId="13" fillId="37" borderId="4" xfId="46" applyNumberFormat="1" applyFont="1" applyFill="1" applyBorder="1"/>
    <xf numFmtId="0" fontId="44" fillId="0" borderId="0" xfId="49" applyFont="1"/>
    <xf numFmtId="0" fontId="43" fillId="0" borderId="0" xfId="49" applyFont="1"/>
    <xf numFmtId="174" fontId="12" fillId="37" borderId="0" xfId="52" applyNumberFormat="1" applyFont="1" applyFill="1" applyAlignment="1">
      <alignment horizontal="center"/>
    </xf>
    <xf numFmtId="0" fontId="13" fillId="37" borderId="4" xfId="52" applyFont="1" applyFill="1" applyBorder="1"/>
    <xf numFmtId="3" fontId="13" fillId="37" borderId="4" xfId="52" applyNumberFormat="1" applyFont="1" applyFill="1" applyBorder="1"/>
    <xf numFmtId="4" fontId="13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left"/>
    </xf>
    <xf numFmtId="3" fontId="12" fillId="37" borderId="4" xfId="52" applyNumberFormat="1" applyFont="1" applyFill="1" applyBorder="1" applyAlignment="1">
      <alignment horizontal="right"/>
    </xf>
    <xf numFmtId="4" fontId="12" fillId="37" borderId="4" xfId="52" applyNumberFormat="1" applyFont="1" applyFill="1" applyBorder="1" applyAlignment="1">
      <alignment horizontal="right"/>
    </xf>
    <xf numFmtId="0" fontId="41" fillId="0" borderId="1" xfId="0" applyFont="1" applyBorder="1"/>
    <xf numFmtId="0" fontId="41" fillId="0" borderId="2" xfId="0" applyFont="1" applyBorder="1"/>
    <xf numFmtId="0" fontId="41" fillId="0" borderId="3" xfId="0" applyFont="1" applyBorder="1"/>
    <xf numFmtId="0" fontId="13" fillId="37" borderId="0" xfId="51" applyFont="1" applyFill="1" applyAlignment="1">
      <alignment horizontal="center"/>
    </xf>
    <xf numFmtId="0" fontId="13" fillId="37" borderId="0" xfId="51" applyFont="1" applyFill="1"/>
    <xf numFmtId="0" fontId="12" fillId="0" borderId="0" xfId="0" applyFont="1"/>
    <xf numFmtId="0" fontId="13" fillId="37" borderId="0" xfId="13" applyFont="1" applyFill="1" applyBorder="1" applyAlignment="1">
      <alignment horizontal="left" vertical="center"/>
    </xf>
    <xf numFmtId="0" fontId="17" fillId="0" borderId="0" xfId="13" applyFont="1" applyFill="1" applyBorder="1" applyAlignment="1">
      <alignment horizontal="center" vertical="center"/>
    </xf>
    <xf numFmtId="0" fontId="17" fillId="37" borderId="0" xfId="13" applyFont="1" applyFill="1" applyBorder="1" applyAlignment="1">
      <alignment horizontal="center" vertical="center"/>
    </xf>
    <xf numFmtId="0" fontId="13" fillId="37" borderId="0" xfId="13" applyFont="1" applyFill="1" applyBorder="1" applyAlignment="1">
      <alignment horizontal="center" vertical="center"/>
    </xf>
    <xf numFmtId="0" fontId="42" fillId="0" borderId="0" xfId="0" applyFont="1"/>
    <xf numFmtId="0" fontId="13" fillId="37" borderId="0" xfId="0" applyFont="1" applyFill="1" applyAlignment="1">
      <alignment horizontal="left" vertical="center"/>
    </xf>
    <xf numFmtId="0" fontId="42" fillId="37" borderId="0" xfId="0" applyFont="1" applyFill="1"/>
    <xf numFmtId="0" fontId="12" fillId="37" borderId="0" xfId="0" applyFont="1" applyFill="1" applyAlignment="1">
      <alignment horizontal="left" vertical="center" indent="1"/>
    </xf>
    <xf numFmtId="168" fontId="12" fillId="0" borderId="0" xfId="0" applyNumberFormat="1" applyFont="1" applyProtection="1">
      <protection locked="0"/>
    </xf>
    <xf numFmtId="0" fontId="13" fillId="37" borderId="2" xfId="0" applyFont="1" applyFill="1" applyBorder="1" applyAlignment="1">
      <alignment horizontal="left" vertical="center"/>
    </xf>
    <xf numFmtId="168" fontId="13" fillId="0" borderId="2" xfId="0" applyNumberFormat="1" applyFont="1" applyBorder="1" applyProtection="1">
      <protection locked="0"/>
    </xf>
    <xf numFmtId="168" fontId="42" fillId="0" borderId="0" xfId="0" applyNumberFormat="1" applyFont="1"/>
    <xf numFmtId="0" fontId="13" fillId="37" borderId="14" xfId="0" applyFont="1" applyFill="1" applyBorder="1" applyAlignment="1">
      <alignment horizontal="left" vertical="center"/>
    </xf>
    <xf numFmtId="168" fontId="17" fillId="0" borderId="0" xfId="13" applyNumberFormat="1" applyFont="1" applyFill="1" applyBorder="1" applyAlignment="1">
      <alignment horizontal="center" vertical="center"/>
    </xf>
    <xf numFmtId="0" fontId="13" fillId="37" borderId="0" xfId="0" applyFont="1" applyFill="1" applyAlignment="1">
      <alignment vertical="center"/>
    </xf>
    <xf numFmtId="168" fontId="13" fillId="0" borderId="0" xfId="0" applyNumberFormat="1" applyFont="1"/>
    <xf numFmtId="177" fontId="13" fillId="37" borderId="0" xfId="63" applyNumberFormat="1" applyFont="1" applyFill="1" applyBorder="1"/>
    <xf numFmtId="0" fontId="12" fillId="37" borderId="0" xfId="0" applyFont="1" applyFill="1" applyAlignment="1">
      <alignment horizontal="left" vertical="center"/>
    </xf>
    <xf numFmtId="0" fontId="48" fillId="2" borderId="0" xfId="65" applyFont="1" applyFill="1"/>
    <xf numFmtId="0" fontId="13" fillId="2" borderId="0" xfId="65" applyFont="1" applyFill="1"/>
    <xf numFmtId="0" fontId="12" fillId="2" borderId="0" xfId="65" applyFont="1" applyFill="1"/>
    <xf numFmtId="0" fontId="12" fillId="2" borderId="0" xfId="65" quotePrefix="1" applyFont="1" applyFill="1"/>
    <xf numFmtId="14" fontId="13" fillId="37" borderId="0" xfId="51" applyNumberFormat="1" applyFont="1" applyFill="1" applyAlignment="1">
      <alignment horizontal="center"/>
    </xf>
    <xf numFmtId="0" fontId="10" fillId="0" borderId="0" xfId="0" applyFont="1"/>
    <xf numFmtId="0" fontId="13" fillId="37" borderId="0" xfId="0" applyFont="1" applyFill="1" applyAlignment="1">
      <alignment horizontal="left" vertical="center" wrapText="1"/>
    </xf>
    <xf numFmtId="0" fontId="12" fillId="37" borderId="0" xfId="0" applyFont="1" applyFill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3" fillId="37" borderId="0" xfId="0" applyFont="1" applyFill="1" applyAlignment="1">
      <alignment horizontal="left" vertical="center" wrapText="1" indent="1"/>
    </xf>
    <xf numFmtId="168" fontId="0" fillId="0" borderId="0" xfId="0" applyNumberFormat="1"/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0" fontId="11" fillId="37" borderId="0" xfId="50" applyFont="1" applyFill="1"/>
    <xf numFmtId="168" fontId="13" fillId="37" borderId="0" xfId="50" applyNumberFormat="1" applyFont="1" applyFill="1" applyAlignment="1">
      <alignment horizontal="center"/>
    </xf>
    <xf numFmtId="172" fontId="13" fillId="37" borderId="0" xfId="50" applyNumberFormat="1" applyFont="1" applyFill="1" applyAlignment="1">
      <alignment horizontal="left"/>
    </xf>
    <xf numFmtId="168" fontId="12" fillId="37" borderId="0" xfId="50" applyNumberFormat="1" applyFont="1" applyFill="1"/>
    <xf numFmtId="14" fontId="12" fillId="37" borderId="13" xfId="52" applyNumberFormat="1" applyFont="1" applyFill="1" applyBorder="1" applyAlignment="1">
      <alignment horizontal="center"/>
    </xf>
    <xf numFmtId="0" fontId="49" fillId="37" borderId="0" xfId="0" applyFont="1" applyFill="1"/>
    <xf numFmtId="0" fontId="52" fillId="37" borderId="0" xfId="33" applyFont="1" applyFill="1"/>
    <xf numFmtId="41" fontId="41" fillId="0" borderId="12" xfId="66" applyFont="1" applyBorder="1"/>
    <xf numFmtId="171" fontId="50" fillId="40" borderId="12" xfId="35" applyNumberFormat="1" applyFont="1" applyFill="1" applyBorder="1"/>
    <xf numFmtId="37" fontId="13" fillId="37" borderId="11" xfId="46" applyNumberFormat="1" applyFont="1" applyFill="1" applyBorder="1" applyAlignment="1" applyProtection="1">
      <alignment horizontal="center" vertical="center" wrapText="1"/>
      <protection locked="0"/>
    </xf>
    <xf numFmtId="14" fontId="12" fillId="37" borderId="1" xfId="52" applyNumberFormat="1" applyFont="1" applyFill="1" applyBorder="1" applyAlignment="1">
      <alignment horizontal="center"/>
    </xf>
    <xf numFmtId="0" fontId="13" fillId="37" borderId="1" xfId="52" applyFont="1" applyFill="1" applyBorder="1"/>
    <xf numFmtId="14" fontId="13" fillId="37" borderId="4" xfId="52" applyNumberFormat="1" applyFont="1" applyFill="1" applyBorder="1" applyAlignment="1">
      <alignment horizontal="center"/>
    </xf>
    <xf numFmtId="0" fontId="44" fillId="0" borderId="0" xfId="49" applyFont="1" applyAlignment="1">
      <alignment horizontal="center"/>
    </xf>
    <xf numFmtId="171" fontId="42" fillId="0" borderId="0" xfId="0" applyNumberFormat="1" applyFont="1"/>
    <xf numFmtId="41" fontId="13" fillId="39" borderId="4" xfId="66" applyFont="1" applyFill="1" applyBorder="1" applyAlignment="1">
      <alignment horizontal="center"/>
    </xf>
    <xf numFmtId="0" fontId="42" fillId="0" borderId="4" xfId="0" applyFont="1" applyBorder="1"/>
    <xf numFmtId="0" fontId="12" fillId="43" borderId="4" xfId="0" applyFont="1" applyFill="1" applyBorder="1"/>
    <xf numFmtId="41" fontId="12" fillId="43" borderId="4" xfId="66" applyFont="1" applyFill="1" applyBorder="1"/>
    <xf numFmtId="41" fontId="13" fillId="43" borderId="4" xfId="66" applyFont="1" applyFill="1" applyBorder="1"/>
    <xf numFmtId="0" fontId="12" fillId="44" borderId="4" xfId="0" applyFont="1" applyFill="1" applyBorder="1" applyAlignment="1">
      <alignment horizontal="center" vertical="center" wrapText="1"/>
    </xf>
    <xf numFmtId="0" fontId="13" fillId="42" borderId="0" xfId="52" applyFont="1" applyFill="1"/>
    <xf numFmtId="41" fontId="13" fillId="44" borderId="4" xfId="66" applyFont="1" applyFill="1" applyBorder="1"/>
    <xf numFmtId="170" fontId="12" fillId="0" borderId="11" xfId="46" applyNumberFormat="1" applyFont="1" applyBorder="1" applyAlignment="1">
      <alignment horizontal="center"/>
    </xf>
    <xf numFmtId="168" fontId="53" fillId="0" borderId="0" xfId="33" applyNumberFormat="1" applyFont="1"/>
    <xf numFmtId="172" fontId="12" fillId="38" borderId="4" xfId="61" applyNumberFormat="1" applyFont="1" applyFill="1" applyBorder="1" applyAlignment="1">
      <alignment horizontal="right" vertical="center" wrapText="1"/>
    </xf>
    <xf numFmtId="179" fontId="13" fillId="37" borderId="13" xfId="67" applyNumberFormat="1" applyFont="1" applyFill="1" applyBorder="1" applyAlignment="1">
      <alignment horizontal="center"/>
    </xf>
    <xf numFmtId="3" fontId="13" fillId="37" borderId="0" xfId="52" applyNumberFormat="1" applyFont="1" applyFill="1"/>
    <xf numFmtId="3" fontId="12" fillId="37" borderId="4" xfId="52" applyNumberFormat="1" applyFont="1" applyFill="1" applyBorder="1" applyAlignment="1">
      <alignment horizontal="center"/>
    </xf>
    <xf numFmtId="0" fontId="12" fillId="37" borderId="4" xfId="52" applyFont="1" applyFill="1" applyBorder="1" applyAlignment="1">
      <alignment horizontal="center"/>
    </xf>
    <xf numFmtId="0" fontId="12" fillId="37" borderId="4" xfId="52" applyFont="1" applyFill="1" applyBorder="1"/>
    <xf numFmtId="37" fontId="12" fillId="37" borderId="0" xfId="52" applyNumberFormat="1" applyFont="1" applyFill="1"/>
    <xf numFmtId="14" fontId="13" fillId="0" borderId="0" xfId="51" applyNumberFormat="1" applyFont="1" applyAlignment="1">
      <alignment horizontal="center"/>
    </xf>
    <xf numFmtId="167" fontId="0" fillId="0" borderId="0" xfId="0" applyNumberFormat="1"/>
    <xf numFmtId="0" fontId="12" fillId="37" borderId="0" xfId="0" applyFont="1" applyFill="1"/>
    <xf numFmtId="176" fontId="13" fillId="0" borderId="4" xfId="39" applyNumberFormat="1" applyFont="1" applyFill="1" applyBorder="1" applyAlignment="1">
      <alignment horizontal="center" wrapText="1"/>
    </xf>
    <xf numFmtId="0" fontId="12" fillId="37" borderId="4" xfId="0" applyFont="1" applyFill="1" applyBorder="1"/>
    <xf numFmtId="167" fontId="12" fillId="37" borderId="4" xfId="0" applyNumberFormat="1" applyFont="1" applyFill="1" applyBorder="1"/>
    <xf numFmtId="0" fontId="51" fillId="40" borderId="42" xfId="0" applyFont="1" applyFill="1" applyBorder="1"/>
    <xf numFmtId="0" fontId="51" fillId="40" borderId="14" xfId="0" applyFont="1" applyFill="1" applyBorder="1"/>
    <xf numFmtId="167" fontId="51" fillId="40" borderId="12" xfId="0" applyNumberFormat="1" applyFont="1" applyFill="1" applyBorder="1"/>
    <xf numFmtId="14" fontId="12" fillId="37" borderId="4" xfId="39" applyNumberFormat="1" applyFont="1" applyFill="1" applyBorder="1"/>
    <xf numFmtId="41" fontId="12" fillId="37" borderId="0" xfId="66" applyFont="1" applyFill="1"/>
    <xf numFmtId="3" fontId="0" fillId="0" borderId="0" xfId="0" applyNumberFormat="1"/>
    <xf numFmtId="0" fontId="36" fillId="45" borderId="0" xfId="0" applyFont="1" applyFill="1"/>
    <xf numFmtId="0" fontId="36" fillId="45" borderId="44" xfId="0" applyFont="1" applyFill="1" applyBorder="1"/>
    <xf numFmtId="0" fontId="36" fillId="0" borderId="0" xfId="0" applyFont="1"/>
    <xf numFmtId="0" fontId="36" fillId="0" borderId="45" xfId="0" applyFont="1" applyBorder="1"/>
    <xf numFmtId="0" fontId="36" fillId="45" borderId="46" xfId="0" applyFont="1" applyFill="1" applyBorder="1"/>
    <xf numFmtId="41" fontId="0" fillId="0" borderId="0" xfId="66" applyFont="1"/>
    <xf numFmtId="41" fontId="36" fillId="0" borderId="45" xfId="66" applyFont="1" applyBorder="1"/>
    <xf numFmtId="41" fontId="36" fillId="45" borderId="46" xfId="66" applyFont="1" applyFill="1" applyBorder="1"/>
    <xf numFmtId="173" fontId="42" fillId="0" borderId="4" xfId="35" applyNumberFormat="1" applyFont="1" applyFill="1" applyBorder="1"/>
    <xf numFmtId="171" fontId="42" fillId="0" borderId="4" xfId="35" applyNumberFormat="1" applyFont="1" applyFill="1" applyBorder="1"/>
    <xf numFmtId="0" fontId="41" fillId="0" borderId="4" xfId="0" applyFont="1" applyBorder="1"/>
    <xf numFmtId="173" fontId="41" fillId="0" borderId="4" xfId="35" applyNumberFormat="1" applyFont="1" applyBorder="1"/>
    <xf numFmtId="171" fontId="41" fillId="0" borderId="4" xfId="35" applyNumberFormat="1" applyFont="1" applyBorder="1"/>
    <xf numFmtId="41" fontId="13" fillId="44" borderId="11" xfId="66" applyFont="1" applyFill="1" applyBorder="1"/>
    <xf numFmtId="0" fontId="12" fillId="43" borderId="1" xfId="0" applyFont="1" applyFill="1" applyBorder="1"/>
    <xf numFmtId="41" fontId="12" fillId="44" borderId="11" xfId="66" applyFont="1" applyFill="1" applyBorder="1"/>
    <xf numFmtId="168" fontId="13" fillId="0" borderId="4" xfId="39" applyNumberFormat="1" applyFont="1" applyFill="1" applyBorder="1" applyAlignment="1">
      <alignment horizontal="right"/>
    </xf>
    <xf numFmtId="0" fontId="43" fillId="0" borderId="2" xfId="49" applyFont="1" applyBorder="1"/>
    <xf numFmtId="0" fontId="58" fillId="37" borderId="0" xfId="0" applyFont="1" applyFill="1"/>
    <xf numFmtId="0" fontId="45" fillId="0" borderId="0" xfId="49" applyFont="1"/>
    <xf numFmtId="184" fontId="13" fillId="37" borderId="14" xfId="50" applyNumberFormat="1" applyFont="1" applyFill="1" applyBorder="1"/>
    <xf numFmtId="173" fontId="42" fillId="0" borderId="0" xfId="0" applyNumberFormat="1" applyFont="1"/>
    <xf numFmtId="10" fontId="0" fillId="0" borderId="0" xfId="67" applyNumberFormat="1" applyFont="1"/>
    <xf numFmtId="10" fontId="0" fillId="0" borderId="0" xfId="0" applyNumberFormat="1"/>
    <xf numFmtId="0" fontId="45" fillId="37" borderId="0" xfId="52" applyFont="1" applyFill="1"/>
    <xf numFmtId="0" fontId="54" fillId="37" borderId="0" xfId="50" applyFont="1" applyFill="1"/>
    <xf numFmtId="0" fontId="59" fillId="37" borderId="0" xfId="33" applyFont="1" applyFill="1" applyAlignment="1">
      <alignment horizontal="center"/>
    </xf>
    <xf numFmtId="41" fontId="45" fillId="37" borderId="0" xfId="38" applyFont="1" applyFill="1"/>
    <xf numFmtId="170" fontId="54" fillId="37" borderId="0" xfId="52" applyNumberFormat="1" applyFont="1" applyFill="1"/>
    <xf numFmtId="170" fontId="45" fillId="37" borderId="0" xfId="52" applyNumberFormat="1" applyFont="1" applyFill="1"/>
    <xf numFmtId="0" fontId="41" fillId="0" borderId="0" xfId="0" applyFont="1" applyAlignment="1">
      <alignment horizontal="right"/>
    </xf>
    <xf numFmtId="41" fontId="41" fillId="0" borderId="0" xfId="66" applyFont="1" applyBorder="1"/>
    <xf numFmtId="167" fontId="42" fillId="0" borderId="0" xfId="0" applyNumberFormat="1" applyFont="1"/>
    <xf numFmtId="164" fontId="12" fillId="37" borderId="0" xfId="36" applyFont="1" applyFill="1"/>
    <xf numFmtId="0" fontId="13" fillId="43" borderId="4" xfId="0" applyFont="1" applyFill="1" applyBorder="1" applyAlignment="1">
      <alignment horizontal="center"/>
    </xf>
    <xf numFmtId="0" fontId="12" fillId="0" borderId="4" xfId="0" applyFont="1" applyBorder="1"/>
    <xf numFmtId="167" fontId="12" fillId="0" borderId="4" xfId="0" applyNumberFormat="1" applyFont="1" applyBorder="1"/>
    <xf numFmtId="0" fontId="42" fillId="37" borderId="0" xfId="52" applyFont="1" applyFill="1"/>
    <xf numFmtId="168" fontId="42" fillId="37" borderId="0" xfId="52" applyNumberFormat="1" applyFont="1" applyFill="1"/>
    <xf numFmtId="170" fontId="41" fillId="37" borderId="0" xfId="52" applyNumberFormat="1" applyFont="1" applyFill="1"/>
    <xf numFmtId="170" fontId="42" fillId="37" borderId="0" xfId="52" applyNumberFormat="1" applyFont="1" applyFill="1"/>
    <xf numFmtId="3" fontId="12" fillId="37" borderId="4" xfId="52" applyNumberFormat="1" applyFont="1" applyFill="1" applyBorder="1"/>
    <xf numFmtId="41" fontId="12" fillId="37" borderId="4" xfId="66" applyFont="1" applyFill="1" applyBorder="1"/>
    <xf numFmtId="0" fontId="61" fillId="37" borderId="0" xfId="52" applyFont="1" applyFill="1"/>
    <xf numFmtId="41" fontId="42" fillId="0" borderId="0" xfId="66" applyFont="1"/>
    <xf numFmtId="41" fontId="13" fillId="37" borderId="0" xfId="66" applyFont="1" applyFill="1" applyAlignment="1">
      <alignment horizontal="left"/>
    </xf>
    <xf numFmtId="0" fontId="10" fillId="0" borderId="0" xfId="46"/>
    <xf numFmtId="41" fontId="12" fillId="37" borderId="0" xfId="38" applyFont="1" applyFill="1"/>
    <xf numFmtId="41" fontId="13" fillId="37" borderId="0" xfId="66" applyFont="1" applyFill="1"/>
    <xf numFmtId="41" fontId="14" fillId="37" borderId="0" xfId="50" applyNumberFormat="1" applyFont="1" applyFill="1" applyAlignment="1">
      <alignment horizontal="center"/>
    </xf>
    <xf numFmtId="9" fontId="42" fillId="0" borderId="0" xfId="67" applyFont="1" applyAlignment="1">
      <alignment horizontal="center"/>
    </xf>
    <xf numFmtId="182" fontId="12" fillId="37" borderId="0" xfId="66" applyNumberFormat="1" applyFont="1" applyFill="1"/>
    <xf numFmtId="183" fontId="12" fillId="37" borderId="0" xfId="52" applyNumberFormat="1" applyFont="1" applyFill="1"/>
    <xf numFmtId="41" fontId="61" fillId="37" borderId="0" xfId="66" applyFont="1" applyFill="1"/>
    <xf numFmtId="41" fontId="62" fillId="37" borderId="0" xfId="66" applyFont="1" applyFill="1"/>
    <xf numFmtId="10" fontId="61" fillId="37" borderId="0" xfId="67" applyNumberFormat="1" applyFont="1" applyFill="1"/>
    <xf numFmtId="41" fontId="61" fillId="37" borderId="0" xfId="52" applyNumberFormat="1" applyFont="1" applyFill="1"/>
    <xf numFmtId="41" fontId="49" fillId="37" borderId="0" xfId="66" applyFont="1" applyFill="1"/>
    <xf numFmtId="14" fontId="13" fillId="37" borderId="0" xfId="51" applyNumberFormat="1" applyFont="1" applyFill="1" applyAlignment="1">
      <alignment horizontal="left"/>
    </xf>
    <xf numFmtId="41" fontId="13" fillId="37" borderId="14" xfId="66" applyFont="1" applyFill="1" applyBorder="1"/>
    <xf numFmtId="0" fontId="44" fillId="0" borderId="1" xfId="49" applyFont="1" applyBorder="1" applyAlignment="1">
      <alignment horizontal="left"/>
    </xf>
    <xf numFmtId="0" fontId="43" fillId="0" borderId="3" xfId="49" applyFont="1" applyBorder="1"/>
    <xf numFmtId="0" fontId="30" fillId="37" borderId="0" xfId="49" applyFill="1"/>
    <xf numFmtId="168" fontId="60" fillId="37" borderId="0" xfId="50" applyNumberFormat="1" applyFont="1" applyFill="1" applyAlignment="1">
      <alignment horizontal="center"/>
    </xf>
    <xf numFmtId="0" fontId="64" fillId="37" borderId="4" xfId="0" applyFont="1" applyFill="1" applyBorder="1"/>
    <xf numFmtId="41" fontId="64" fillId="37" borderId="0" xfId="66" applyFont="1" applyFill="1"/>
    <xf numFmtId="0" fontId="64" fillId="37" borderId="0" xfId="0" applyFont="1" applyFill="1"/>
    <xf numFmtId="3" fontId="64" fillId="37" borderId="4" xfId="0" applyNumberFormat="1" applyFont="1" applyFill="1" applyBorder="1"/>
    <xf numFmtId="180" fontId="64" fillId="37" borderId="0" xfId="66" applyNumberFormat="1" applyFont="1" applyFill="1"/>
    <xf numFmtId="0" fontId="51" fillId="37" borderId="1" xfId="0" applyFont="1" applyFill="1" applyBorder="1"/>
    <xf numFmtId="0" fontId="51" fillId="37" borderId="2" xfId="0" applyFont="1" applyFill="1" applyBorder="1"/>
    <xf numFmtId="41" fontId="51" fillId="37" borderId="4" xfId="66" applyFont="1" applyFill="1" applyBorder="1"/>
    <xf numFmtId="41" fontId="51" fillId="37" borderId="3" xfId="66" applyFont="1" applyFill="1" applyBorder="1"/>
    <xf numFmtId="3" fontId="51" fillId="37" borderId="4" xfId="0" applyNumberFormat="1" applyFont="1" applyFill="1" applyBorder="1"/>
    <xf numFmtId="4" fontId="51" fillId="37" borderId="4" xfId="0" applyNumberFormat="1" applyFont="1" applyFill="1" applyBorder="1"/>
    <xf numFmtId="41" fontId="51" fillId="37" borderId="0" xfId="66" applyFont="1" applyFill="1"/>
    <xf numFmtId="173" fontId="42" fillId="0" borderId="4" xfId="35" applyNumberFormat="1" applyFont="1" applyFill="1" applyBorder="1" applyAlignment="1"/>
    <xf numFmtId="0" fontId="42" fillId="37" borderId="0" xfId="0" applyFont="1" applyFill="1" applyAlignment="1">
      <alignment horizontal="center"/>
    </xf>
    <xf numFmtId="41" fontId="42" fillId="37" borderId="0" xfId="66" applyFont="1" applyFill="1" applyAlignment="1">
      <alignment horizontal="center"/>
    </xf>
    <xf numFmtId="173" fontId="41" fillId="37" borderId="4" xfId="35" applyNumberFormat="1" applyFont="1" applyFill="1" applyBorder="1"/>
    <xf numFmtId="173" fontId="42" fillId="37" borderId="4" xfId="35" applyNumberFormat="1" applyFont="1" applyFill="1" applyBorder="1"/>
    <xf numFmtId="41" fontId="41" fillId="37" borderId="0" xfId="66" applyFont="1" applyFill="1" applyBorder="1"/>
    <xf numFmtId="171" fontId="42" fillId="37" borderId="0" xfId="0" applyNumberFormat="1" applyFont="1" applyFill="1"/>
    <xf numFmtId="41" fontId="42" fillId="37" borderId="0" xfId="66" applyFont="1" applyFill="1"/>
    <xf numFmtId="167" fontId="12" fillId="0" borderId="0" xfId="0" applyNumberFormat="1" applyFont="1"/>
    <xf numFmtId="167" fontId="13" fillId="0" borderId="2" xfId="0" applyNumberFormat="1" applyFont="1" applyBorder="1"/>
    <xf numFmtId="168" fontId="12" fillId="0" borderId="0" xfId="0" applyNumberFormat="1" applyFont="1"/>
    <xf numFmtId="168" fontId="13" fillId="0" borderId="2" xfId="0" applyNumberFormat="1" applyFont="1" applyBorder="1"/>
    <xf numFmtId="168" fontId="13" fillId="0" borderId="14" xfId="0" applyNumberFormat="1" applyFont="1" applyBorder="1"/>
    <xf numFmtId="167" fontId="13" fillId="0" borderId="14" xfId="0" applyNumberFormat="1" applyFont="1" applyBorder="1"/>
    <xf numFmtId="168" fontId="12" fillId="0" borderId="0" xfId="64" applyNumberFormat="1" applyFont="1" applyFill="1" applyBorder="1" applyAlignment="1" applyProtection="1"/>
    <xf numFmtId="172" fontId="13" fillId="37" borderId="5" xfId="64" applyNumberFormat="1" applyFont="1" applyFill="1" applyBorder="1" applyAlignment="1" applyProtection="1"/>
    <xf numFmtId="167" fontId="13" fillId="0" borderId="5" xfId="64" applyNumberFormat="1" applyFont="1" applyFill="1" applyBorder="1" applyAlignment="1" applyProtection="1"/>
    <xf numFmtId="178" fontId="13" fillId="37" borderId="5" xfId="0" applyNumberFormat="1" applyFont="1" applyFill="1" applyBorder="1"/>
    <xf numFmtId="167" fontId="13" fillId="0" borderId="5" xfId="0" applyNumberFormat="1" applyFont="1" applyBorder="1"/>
    <xf numFmtId="3" fontId="12" fillId="37" borderId="0" xfId="0" applyNumberFormat="1" applyFont="1" applyFill="1" applyAlignment="1">
      <alignment wrapText="1"/>
    </xf>
    <xf numFmtId="167" fontId="12" fillId="0" borderId="0" xfId="0" applyNumberFormat="1" applyFont="1" applyAlignment="1">
      <alignment wrapText="1"/>
    </xf>
    <xf numFmtId="178" fontId="12" fillId="37" borderId="0" xfId="0" applyNumberFormat="1" applyFont="1" applyFill="1"/>
    <xf numFmtId="167" fontId="12" fillId="37" borderId="0" xfId="0" applyNumberFormat="1" applyFont="1" applyFill="1"/>
    <xf numFmtId="178" fontId="13" fillId="37" borderId="14" xfId="0" applyNumberFormat="1" applyFont="1" applyFill="1" applyBorder="1"/>
    <xf numFmtId="15" fontId="13" fillId="37" borderId="4" xfId="52" applyNumberFormat="1" applyFont="1" applyFill="1" applyBorder="1" applyAlignment="1">
      <alignment horizontal="left"/>
    </xf>
    <xf numFmtId="0" fontId="12" fillId="41" borderId="4" xfId="0" applyFont="1" applyFill="1" applyBorder="1" applyAlignment="1">
      <alignment vertical="center"/>
    </xf>
    <xf numFmtId="0" fontId="12" fillId="41" borderId="11" xfId="0" applyFont="1" applyFill="1" applyBorder="1" applyAlignment="1">
      <alignment vertical="center"/>
    </xf>
    <xf numFmtId="0" fontId="57" fillId="37" borderId="0" xfId="0" applyFont="1" applyFill="1" applyAlignment="1">
      <alignment horizontal="left" vertical="center" wrapText="1"/>
    </xf>
    <xf numFmtId="4" fontId="57" fillId="37" borderId="0" xfId="0" applyNumberFormat="1" applyFont="1" applyFill="1" applyAlignment="1">
      <alignment horizontal="right" vertical="center" wrapText="1"/>
    </xf>
    <xf numFmtId="0" fontId="43" fillId="37" borderId="0" xfId="49" applyFont="1" applyFill="1"/>
    <xf numFmtId="168" fontId="9" fillId="37" borderId="0" xfId="39" applyNumberFormat="1" applyFont="1" applyFill="1"/>
    <xf numFmtId="175" fontId="12" fillId="37" borderId="4" xfId="52" applyNumberFormat="1" applyFont="1" applyFill="1" applyBorder="1" applyAlignment="1">
      <alignment horizontal="right"/>
    </xf>
    <xf numFmtId="185" fontId="13" fillId="37" borderId="1" xfId="52" applyNumberFormat="1" applyFont="1" applyFill="1" applyBorder="1"/>
    <xf numFmtId="185" fontId="13" fillId="37" borderId="1" xfId="52" applyNumberFormat="1" applyFont="1" applyFill="1" applyBorder="1" applyAlignment="1">
      <alignment horizontal="center"/>
    </xf>
    <xf numFmtId="14" fontId="12" fillId="0" borderId="1" xfId="52" applyNumberFormat="1" applyFont="1" applyBorder="1" applyAlignment="1">
      <alignment horizontal="left"/>
    </xf>
    <xf numFmtId="0" fontId="13" fillId="43" borderId="4" xfId="0" applyFont="1" applyFill="1" applyBorder="1" applyAlignment="1">
      <alignment horizontal="center" wrapText="1"/>
    </xf>
    <xf numFmtId="0" fontId="14" fillId="37" borderId="0" xfId="50" applyFont="1" applyFill="1" applyAlignment="1">
      <alignment horizontal="left"/>
    </xf>
    <xf numFmtId="41" fontId="14" fillId="37" borderId="0" xfId="66" applyFont="1" applyFill="1" applyAlignment="1">
      <alignment horizontal="center"/>
    </xf>
    <xf numFmtId="14" fontId="14" fillId="37" borderId="0" xfId="50" applyNumberFormat="1" applyFont="1" applyFill="1" applyAlignment="1">
      <alignment horizontal="center"/>
    </xf>
    <xf numFmtId="14" fontId="13" fillId="37" borderId="0" xfId="50" applyNumberFormat="1" applyFont="1" applyFill="1" applyAlignment="1">
      <alignment horizontal="left"/>
    </xf>
    <xf numFmtId="14" fontId="13" fillId="37" borderId="4" xfId="50" applyNumberFormat="1" applyFont="1" applyFill="1" applyBorder="1" applyAlignment="1">
      <alignment horizontal="center"/>
    </xf>
    <xf numFmtId="14" fontId="12" fillId="37" borderId="4" xfId="50" applyNumberFormat="1" applyFont="1" applyFill="1" applyBorder="1" applyAlignment="1">
      <alignment horizontal="right"/>
    </xf>
    <xf numFmtId="14" fontId="12" fillId="37" borderId="0" xfId="52" applyNumberFormat="1" applyFont="1" applyFill="1"/>
    <xf numFmtId="0" fontId="54" fillId="0" borderId="0" xfId="49" applyFont="1" applyAlignment="1">
      <alignment horizontal="center"/>
    </xf>
    <xf numFmtId="3" fontId="54" fillId="0" borderId="0" xfId="0" applyNumberFormat="1" applyFont="1" applyAlignment="1">
      <alignment horizontal="right" vertical="center" wrapText="1"/>
    </xf>
    <xf numFmtId="0" fontId="65" fillId="0" borderId="0" xfId="49" applyFont="1"/>
    <xf numFmtId="171" fontId="41" fillId="46" borderId="4" xfId="35" applyNumberFormat="1" applyFont="1" applyFill="1" applyBorder="1"/>
    <xf numFmtId="171" fontId="41" fillId="46" borderId="4" xfId="35" applyNumberFormat="1" applyFont="1" applyFill="1" applyBorder="1" applyAlignment="1"/>
    <xf numFmtId="0" fontId="42" fillId="46" borderId="0" xfId="0" applyFont="1" applyFill="1"/>
    <xf numFmtId="0" fontId="44" fillId="37" borderId="0" xfId="49" applyFont="1" applyFill="1"/>
    <xf numFmtId="168" fontId="53" fillId="37" borderId="0" xfId="33" applyNumberFormat="1" applyFont="1" applyFill="1"/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3" fillId="37" borderId="2" xfId="49" applyFont="1" applyFill="1" applyBorder="1"/>
    <xf numFmtId="0" fontId="30" fillId="37" borderId="3" xfId="49" applyFill="1" applyBorder="1"/>
    <xf numFmtId="3" fontId="13" fillId="37" borderId="4" xfId="52" applyNumberFormat="1" applyFont="1" applyFill="1" applyBorder="1" applyAlignment="1">
      <alignment horizontal="center" vertical="center"/>
    </xf>
    <xf numFmtId="184" fontId="12" fillId="37" borderId="4" xfId="52" applyNumberFormat="1" applyFont="1" applyFill="1" applyBorder="1" applyAlignment="1">
      <alignment horizontal="right"/>
    </xf>
    <xf numFmtId="170" fontId="12" fillId="37" borderId="4" xfId="52" applyNumberFormat="1" applyFont="1" applyFill="1" applyBorder="1" applyAlignment="1">
      <alignment horizontal="right"/>
    </xf>
    <xf numFmtId="14" fontId="12" fillId="0" borderId="11" xfId="46" applyNumberFormat="1" applyFont="1" applyBorder="1" applyAlignment="1">
      <alignment horizontal="center"/>
    </xf>
    <xf numFmtId="171" fontId="43" fillId="0" borderId="0" xfId="49" applyNumberFormat="1" applyFont="1"/>
    <xf numFmtId="41" fontId="45" fillId="37" borderId="0" xfId="52" applyNumberFormat="1" applyFont="1" applyFill="1"/>
    <xf numFmtId="4" fontId="12" fillId="0" borderId="1" xfId="52" applyNumberFormat="1" applyFont="1" applyBorder="1"/>
    <xf numFmtId="0" fontId="45" fillId="0" borderId="0" xfId="0" applyFont="1"/>
    <xf numFmtId="180" fontId="45" fillId="37" borderId="0" xfId="66" applyNumberFormat="1" applyFont="1" applyFill="1"/>
    <xf numFmtId="173" fontId="45" fillId="37" borderId="0" xfId="52" applyNumberFormat="1" applyFont="1" applyFill="1"/>
    <xf numFmtId="4" fontId="45" fillId="37" borderId="0" xfId="52" applyNumberFormat="1" applyFont="1" applyFill="1"/>
    <xf numFmtId="3" fontId="14" fillId="37" borderId="0" xfId="50" applyNumberFormat="1" applyFont="1" applyFill="1" applyAlignment="1">
      <alignment horizontal="center"/>
    </xf>
    <xf numFmtId="3" fontId="27" fillId="37" borderId="0" xfId="33" applyNumberFormat="1" applyFill="1" applyAlignment="1">
      <alignment horizontal="center"/>
    </xf>
    <xf numFmtId="184" fontId="13" fillId="37" borderId="4" xfId="52" applyNumberFormat="1" applyFont="1" applyFill="1" applyBorder="1" applyAlignment="1">
      <alignment horizontal="right"/>
    </xf>
    <xf numFmtId="175" fontId="13" fillId="37" borderId="4" xfId="52" applyNumberFormat="1" applyFont="1" applyFill="1" applyBorder="1" applyAlignment="1">
      <alignment horizontal="right"/>
    </xf>
    <xf numFmtId="41" fontId="13" fillId="43" borderId="4" xfId="66" applyFont="1" applyFill="1" applyBorder="1" applyAlignment="1">
      <alignment horizontal="center" wrapText="1"/>
    </xf>
    <xf numFmtId="41" fontId="36" fillId="45" borderId="0" xfId="66" applyFont="1" applyFill="1" applyAlignment="1">
      <alignment horizontal="center"/>
    </xf>
    <xf numFmtId="41" fontId="36" fillId="45" borderId="44" xfId="66" applyFont="1" applyFill="1" applyBorder="1"/>
    <xf numFmtId="41" fontId="13" fillId="37" borderId="4" xfId="66" applyFont="1" applyFill="1" applyBorder="1" applyAlignment="1">
      <alignment horizontal="center" vertical="center"/>
    </xf>
    <xf numFmtId="41" fontId="12" fillId="37" borderId="4" xfId="66" applyFont="1" applyFill="1" applyBorder="1" applyAlignment="1">
      <alignment horizontal="right"/>
    </xf>
    <xf numFmtId="41" fontId="13" fillId="37" borderId="4" xfId="66" applyFont="1" applyFill="1" applyBorder="1" applyAlignment="1">
      <alignment horizontal="right"/>
    </xf>
    <xf numFmtId="180" fontId="12" fillId="37" borderId="4" xfId="66" applyNumberFormat="1" applyFont="1" applyFill="1" applyBorder="1" applyAlignment="1">
      <alignment horizontal="right"/>
    </xf>
    <xf numFmtId="180" fontId="14" fillId="37" borderId="0" xfId="66" applyNumberFormat="1" applyFont="1" applyFill="1" applyAlignment="1">
      <alignment horizontal="center"/>
    </xf>
    <xf numFmtId="180" fontId="27" fillId="37" borderId="0" xfId="66" applyNumberFormat="1" applyFont="1" applyFill="1" applyAlignment="1">
      <alignment horizontal="center"/>
    </xf>
    <xf numFmtId="180" fontId="12" fillId="37" borderId="0" xfId="66" applyNumberFormat="1" applyFont="1" applyFill="1"/>
    <xf numFmtId="180" fontId="13" fillId="37" borderId="4" xfId="66" applyNumberFormat="1" applyFont="1" applyFill="1" applyBorder="1" applyAlignment="1">
      <alignment horizontal="center" vertical="center"/>
    </xf>
    <xf numFmtId="14" fontId="45" fillId="37" borderId="4" xfId="52" applyNumberFormat="1" applyFont="1" applyFill="1" applyBorder="1" applyAlignment="1">
      <alignment horizontal="center"/>
    </xf>
    <xf numFmtId="0" fontId="45" fillId="37" borderId="4" xfId="52" applyFont="1" applyFill="1" applyBorder="1"/>
    <xf numFmtId="170" fontId="45" fillId="37" borderId="4" xfId="52" applyNumberFormat="1" applyFont="1" applyFill="1" applyBorder="1" applyAlignment="1">
      <alignment horizontal="right"/>
    </xf>
    <xf numFmtId="175" fontId="45" fillId="37" borderId="4" xfId="52" applyNumberFormat="1" applyFont="1" applyFill="1" applyBorder="1" applyAlignment="1">
      <alignment horizontal="right"/>
    </xf>
    <xf numFmtId="184" fontId="45" fillId="37" borderId="4" xfId="52" applyNumberFormat="1" applyFont="1" applyFill="1" applyBorder="1" applyAlignment="1">
      <alignment horizontal="right"/>
    </xf>
    <xf numFmtId="0" fontId="27" fillId="37" borderId="0" xfId="33" quotePrefix="1" applyFill="1"/>
    <xf numFmtId="41" fontId="64" fillId="37" borderId="5" xfId="66" applyFont="1" applyFill="1" applyBorder="1"/>
    <xf numFmtId="3" fontId="51" fillId="37" borderId="5" xfId="0" applyNumberFormat="1" applyFont="1" applyFill="1" applyBorder="1"/>
    <xf numFmtId="184" fontId="13" fillId="39" borderId="0" xfId="50" applyNumberFormat="1" applyFont="1" applyFill="1"/>
    <xf numFmtId="14" fontId="13" fillId="37" borderId="1" xfId="52" applyNumberFormat="1" applyFont="1" applyFill="1" applyBorder="1" applyAlignment="1">
      <alignment horizontal="left"/>
    </xf>
    <xf numFmtId="170" fontId="13" fillId="37" borderId="4" xfId="52" applyNumberFormat="1" applyFont="1" applyFill="1" applyBorder="1" applyAlignment="1">
      <alignment horizontal="right"/>
    </xf>
    <xf numFmtId="0" fontId="56" fillId="37" borderId="0" xfId="49" applyFont="1" applyFill="1"/>
    <xf numFmtId="0" fontId="56" fillId="37" borderId="0" xfId="52" applyFont="1" applyFill="1"/>
    <xf numFmtId="0" fontId="10" fillId="47" borderId="0" xfId="0" applyFont="1" applyFill="1"/>
    <xf numFmtId="0" fontId="27" fillId="37" borderId="0" xfId="33" applyFill="1"/>
    <xf numFmtId="0" fontId="61" fillId="0" borderId="0" xfId="0" applyFont="1"/>
    <xf numFmtId="171" fontId="61" fillId="0" borderId="0" xfId="0" applyNumberFormat="1" applyFont="1"/>
    <xf numFmtId="170" fontId="13" fillId="37" borderId="4" xfId="52" applyNumberFormat="1" applyFont="1" applyFill="1" applyBorder="1"/>
    <xf numFmtId="170" fontId="12" fillId="37" borderId="4" xfId="52" applyNumberFormat="1" applyFont="1" applyFill="1" applyBorder="1"/>
    <xf numFmtId="4" fontId="47" fillId="37" borderId="0" xfId="0" applyNumberFormat="1" applyFont="1" applyFill="1" applyAlignment="1">
      <alignment horizontal="right" vertical="center" wrapText="1"/>
    </xf>
    <xf numFmtId="41" fontId="56" fillId="37" borderId="0" xfId="66" applyFont="1" applyFill="1"/>
    <xf numFmtId="41" fontId="42" fillId="0" borderId="0" xfId="0" applyNumberFormat="1" applyFont="1"/>
    <xf numFmtId="41" fontId="56" fillId="37" borderId="0" xfId="52" applyNumberFormat="1" applyFont="1" applyFill="1"/>
    <xf numFmtId="170" fontId="13" fillId="37" borderId="11" xfId="36" applyNumberFormat="1" applyFont="1" applyFill="1" applyBorder="1" applyAlignment="1">
      <alignment horizontal="center" vertical="center" wrapText="1"/>
    </xf>
    <xf numFmtId="4" fontId="13" fillId="39" borderId="7" xfId="52" applyNumberFormat="1" applyFont="1" applyFill="1" applyBorder="1"/>
    <xf numFmtId="4" fontId="13" fillId="39" borderId="8" xfId="52" applyNumberFormat="1" applyFont="1" applyFill="1" applyBorder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9" xfId="52" applyNumberFormat="1" applyFont="1" applyFill="1" applyBorder="1"/>
    <xf numFmtId="170" fontId="13" fillId="39" borderId="11" xfId="46" applyNumberFormat="1" applyFont="1" applyFill="1" applyBorder="1" applyAlignment="1">
      <alignment horizontal="center"/>
    </xf>
    <xf numFmtId="4" fontId="13" fillId="39" borderId="13" xfId="52" applyNumberFormat="1" applyFont="1" applyFill="1" applyBorder="1" applyAlignment="1">
      <alignment horizontal="center" vertical="center"/>
    </xf>
    <xf numFmtId="43" fontId="45" fillId="0" borderId="0" xfId="0" applyNumberFormat="1" applyFont="1"/>
    <xf numFmtId="0" fontId="54" fillId="0" borderId="0" xfId="0" applyFont="1"/>
    <xf numFmtId="0" fontId="54" fillId="37" borderId="0" xfId="0" applyFont="1" applyFill="1"/>
    <xf numFmtId="181" fontId="13" fillId="0" borderId="8" xfId="39" applyNumberFormat="1" applyFont="1" applyFill="1" applyBorder="1" applyAlignment="1">
      <alignment horizontal="center" vertical="center" wrapText="1"/>
    </xf>
    <xf numFmtId="0" fontId="64" fillId="37" borderId="4" xfId="0" applyFont="1" applyFill="1" applyBorder="1" applyAlignment="1">
      <alignment horizontal="right"/>
    </xf>
    <xf numFmtId="186" fontId="64" fillId="37" borderId="4" xfId="66" applyNumberFormat="1" applyFont="1" applyFill="1" applyBorder="1"/>
    <xf numFmtId="2" fontId="13" fillId="0" borderId="11" xfId="39" applyNumberFormat="1" applyFont="1" applyFill="1" applyBorder="1" applyAlignment="1">
      <alignment vertical="center" wrapText="1"/>
    </xf>
    <xf numFmtId="0" fontId="67" fillId="37" borderId="0" xfId="0" applyFont="1" applyFill="1"/>
    <xf numFmtId="171" fontId="45" fillId="0" borderId="0" xfId="0" applyNumberFormat="1" applyFont="1"/>
    <xf numFmtId="170" fontId="56" fillId="37" borderId="0" xfId="50" applyNumberFormat="1" applyFont="1" applyFill="1"/>
    <xf numFmtId="171" fontId="12" fillId="38" borderId="4" xfId="61" applyNumberFormat="1" applyFont="1" applyFill="1" applyBorder="1" applyAlignment="1">
      <alignment horizontal="right" vertical="center" wrapText="1"/>
    </xf>
    <xf numFmtId="170" fontId="12" fillId="0" borderId="19" xfId="50" applyNumberFormat="1" applyFont="1" applyBorder="1"/>
    <xf numFmtId="0" fontId="64" fillId="0" borderId="4" xfId="0" applyFont="1" applyBorder="1"/>
    <xf numFmtId="168" fontId="45" fillId="37" borderId="0" xfId="52" applyNumberFormat="1" applyFont="1" applyFill="1"/>
    <xf numFmtId="173" fontId="69" fillId="37" borderId="0" xfId="35" applyNumberFormat="1" applyFont="1" applyFill="1" applyAlignment="1">
      <alignment horizontal="center"/>
    </xf>
    <xf numFmtId="37" fontId="45" fillId="37" borderId="0" xfId="52" applyNumberFormat="1" applyFont="1" applyFill="1"/>
    <xf numFmtId="173" fontId="54" fillId="37" borderId="0" xfId="52" applyNumberFormat="1" applyFont="1" applyFill="1" applyAlignment="1">
      <alignment horizontal="center"/>
    </xf>
    <xf numFmtId="173" fontId="54" fillId="37" borderId="0" xfId="52" applyNumberFormat="1" applyFont="1" applyFill="1"/>
    <xf numFmtId="170" fontId="12" fillId="37" borderId="0" xfId="46" applyNumberFormat="1" applyFont="1" applyFill="1"/>
    <xf numFmtId="0" fontId="65" fillId="37" borderId="0" xfId="49" applyFont="1" applyFill="1"/>
    <xf numFmtId="0" fontId="70" fillId="37" borderId="0" xfId="49" applyFont="1" applyFill="1"/>
    <xf numFmtId="43" fontId="12" fillId="37" borderId="0" xfId="50" applyNumberFormat="1" applyFont="1" applyFill="1"/>
    <xf numFmtId="0" fontId="71" fillId="37" borderId="0" xfId="49" applyFont="1" applyFill="1"/>
    <xf numFmtId="0" fontId="68" fillId="37" borderId="0" xfId="52" applyFont="1" applyFill="1"/>
    <xf numFmtId="14" fontId="13" fillId="37" borderId="4" xfId="52" applyNumberFormat="1" applyFont="1" applyFill="1" applyBorder="1" applyAlignment="1">
      <alignment horizontal="left"/>
    </xf>
    <xf numFmtId="0" fontId="72" fillId="37" borderId="0" xfId="49" applyFont="1" applyFill="1"/>
    <xf numFmtId="0" fontId="73" fillId="37" borderId="0" xfId="49" applyFont="1" applyFill="1"/>
    <xf numFmtId="0" fontId="19" fillId="37" borderId="0" xfId="0" applyFont="1" applyFill="1"/>
    <xf numFmtId="171" fontId="0" fillId="0" borderId="0" xfId="66" applyNumberFormat="1" applyFont="1"/>
    <xf numFmtId="173" fontId="12" fillId="37" borderId="0" xfId="52" applyNumberFormat="1" applyFont="1" applyFill="1"/>
    <xf numFmtId="3" fontId="56" fillId="37" borderId="0" xfId="52" applyNumberFormat="1" applyFont="1" applyFill="1"/>
    <xf numFmtId="0" fontId="44" fillId="37" borderId="0" xfId="49" applyFont="1" applyFill="1" applyAlignment="1">
      <alignment horizontal="center"/>
    </xf>
    <xf numFmtId="0" fontId="54" fillId="37" borderId="0" xfId="49" applyFont="1" applyFill="1" applyAlignment="1">
      <alignment horizontal="center"/>
    </xf>
    <xf numFmtId="3" fontId="54" fillId="37" borderId="0" xfId="0" applyNumberFormat="1" applyFont="1" applyFill="1" applyAlignment="1">
      <alignment horizontal="right" vertical="center" wrapText="1"/>
    </xf>
    <xf numFmtId="170" fontId="56" fillId="37" borderId="0" xfId="52" applyNumberFormat="1" applyFont="1" applyFill="1"/>
    <xf numFmtId="49" fontId="57" fillId="37" borderId="35" xfId="0" applyNumberFormat="1" applyFont="1" applyFill="1" applyBorder="1" applyAlignment="1">
      <alignment horizontal="left" vertical="center" wrapText="1"/>
    </xf>
    <xf numFmtId="49" fontId="55" fillId="37" borderId="34" xfId="0" applyNumberFormat="1" applyFont="1" applyFill="1" applyBorder="1" applyAlignment="1">
      <alignment horizontal="left" vertical="center" wrapText="1"/>
    </xf>
    <xf numFmtId="0" fontId="55" fillId="37" borderId="34" xfId="0" applyFont="1" applyFill="1" applyBorder="1" applyAlignment="1">
      <alignment horizontal="left" vertical="center" wrapText="1"/>
    </xf>
    <xf numFmtId="0" fontId="63" fillId="37" borderId="33" xfId="0" applyFont="1" applyFill="1" applyBorder="1" applyAlignment="1">
      <alignment horizontal="left" vertical="center" wrapText="1"/>
    </xf>
    <xf numFmtId="14" fontId="63" fillId="37" borderId="33" xfId="0" applyNumberFormat="1" applyFont="1" applyFill="1" applyBorder="1" applyAlignment="1">
      <alignment horizontal="right" vertical="center" wrapText="1"/>
    </xf>
    <xf numFmtId="3" fontId="57" fillId="37" borderId="33" xfId="0" applyNumberFormat="1" applyFont="1" applyFill="1" applyBorder="1" applyAlignment="1">
      <alignment horizontal="right" vertical="center" wrapText="1"/>
    </xf>
    <xf numFmtId="3" fontId="30" fillId="37" borderId="0" xfId="49" applyNumberFormat="1" applyFill="1"/>
    <xf numFmtId="49" fontId="44" fillId="37" borderId="33" xfId="0" applyNumberFormat="1" applyFont="1" applyFill="1" applyBorder="1" applyAlignment="1">
      <alignment horizontal="left" vertical="center" wrapText="1"/>
    </xf>
    <xf numFmtId="49" fontId="44" fillId="37" borderId="41" xfId="0" applyNumberFormat="1" applyFont="1" applyFill="1" applyBorder="1" applyAlignment="1">
      <alignment horizontal="left" vertical="center" wrapText="1"/>
    </xf>
    <xf numFmtId="49" fontId="55" fillId="37" borderId="33" xfId="0" applyNumberFormat="1" applyFont="1" applyFill="1" applyBorder="1" applyAlignment="1">
      <alignment horizontal="left" vertical="center" wrapText="1"/>
    </xf>
    <xf numFmtId="0" fontId="55" fillId="37" borderId="33" xfId="0" applyFont="1" applyFill="1" applyBorder="1" applyAlignment="1">
      <alignment horizontal="left" vertical="center" wrapText="1"/>
    </xf>
    <xf numFmtId="0" fontId="45" fillId="37" borderId="0" xfId="49" applyFont="1" applyFill="1"/>
    <xf numFmtId="49" fontId="46" fillId="37" borderId="35" xfId="0" applyNumberFormat="1" applyFont="1" applyFill="1" applyBorder="1" applyAlignment="1">
      <alignment horizontal="left" vertical="center" wrapText="1"/>
    </xf>
    <xf numFmtId="49" fontId="46" fillId="37" borderId="40" xfId="0" applyNumberFormat="1" applyFont="1" applyFill="1" applyBorder="1" applyAlignment="1">
      <alignment horizontal="left" vertical="center" wrapText="1"/>
    </xf>
    <xf numFmtId="49" fontId="47" fillId="37" borderId="33" xfId="0" applyNumberFormat="1" applyFont="1" applyFill="1" applyBorder="1" applyAlignment="1">
      <alignment horizontal="left" vertical="center" wrapText="1"/>
    </xf>
    <xf numFmtId="3" fontId="47" fillId="37" borderId="4" xfId="0" applyNumberFormat="1" applyFont="1" applyFill="1" applyBorder="1" applyAlignment="1">
      <alignment horizontal="right" vertical="center" wrapText="1"/>
    </xf>
    <xf numFmtId="0" fontId="41" fillId="37" borderId="1" xfId="0" applyFont="1" applyFill="1" applyBorder="1"/>
    <xf numFmtId="0" fontId="41" fillId="37" borderId="2" xfId="0" applyFont="1" applyFill="1" applyBorder="1"/>
    <xf numFmtId="0" fontId="41" fillId="37" borderId="3" xfId="0" applyFont="1" applyFill="1" applyBorder="1"/>
    <xf numFmtId="49" fontId="46" fillId="37" borderId="33" xfId="0" applyNumberFormat="1" applyFont="1" applyFill="1" applyBorder="1" applyAlignment="1">
      <alignment horizontal="left" vertical="center" wrapText="1"/>
    </xf>
    <xf numFmtId="3" fontId="46" fillId="37" borderId="4" xfId="0" applyNumberFormat="1" applyFont="1" applyFill="1" applyBorder="1" applyAlignment="1">
      <alignment horizontal="right" vertical="center" wrapText="1"/>
    </xf>
    <xf numFmtId="43" fontId="70" fillId="37" borderId="0" xfId="49" applyNumberFormat="1" applyFont="1" applyFill="1"/>
    <xf numFmtId="43" fontId="65" fillId="37" borderId="0" xfId="49" applyNumberFormat="1" applyFont="1" applyFill="1"/>
    <xf numFmtId="0" fontId="51" fillId="37" borderId="0" xfId="50" applyFont="1" applyFill="1"/>
    <xf numFmtId="0" fontId="74" fillId="37" borderId="0" xfId="49" applyFont="1" applyFill="1"/>
    <xf numFmtId="0" fontId="58" fillId="37" borderId="0" xfId="49" applyFont="1" applyFill="1"/>
    <xf numFmtId="0" fontId="66" fillId="37" borderId="0" xfId="0" applyFont="1" applyFill="1"/>
    <xf numFmtId="14" fontId="13" fillId="0" borderId="1" xfId="52" applyNumberFormat="1" applyFont="1" applyBorder="1" applyAlignment="1">
      <alignment horizontal="left"/>
    </xf>
    <xf numFmtId="4" fontId="13" fillId="0" borderId="1" xfId="52" applyNumberFormat="1" applyFont="1" applyBorder="1"/>
    <xf numFmtId="170" fontId="13" fillId="0" borderId="4" xfId="46" applyNumberFormat="1" applyFont="1" applyBorder="1" applyAlignment="1">
      <alignment horizontal="right"/>
    </xf>
    <xf numFmtId="0" fontId="75" fillId="37" borderId="0" xfId="0" applyFont="1" applyFill="1"/>
    <xf numFmtId="171" fontId="43" fillId="38" borderId="4" xfId="61" applyNumberFormat="1" applyFont="1" applyFill="1" applyBorder="1" applyAlignment="1">
      <alignment horizontal="right" vertical="center" wrapText="1"/>
    </xf>
    <xf numFmtId="173" fontId="12" fillId="0" borderId="1" xfId="35" applyNumberFormat="1" applyFont="1" applyFill="1" applyBorder="1" applyAlignment="1">
      <alignment horizontal="left"/>
    </xf>
    <xf numFmtId="170" fontId="12" fillId="37" borderId="4" xfId="66" applyNumberFormat="1" applyFont="1" applyFill="1" applyBorder="1"/>
    <xf numFmtId="170" fontId="51" fillId="40" borderId="12" xfId="66" applyNumberFormat="1" applyFont="1" applyFill="1" applyBorder="1"/>
    <xf numFmtId="171" fontId="42" fillId="37" borderId="4" xfId="35" applyNumberFormat="1" applyFont="1" applyFill="1" applyBorder="1"/>
    <xf numFmtId="171" fontId="42" fillId="0" borderId="11" xfId="0" applyNumberFormat="1" applyFont="1" applyBorder="1" applyAlignment="1">
      <alignment vertical="center" wrapText="1"/>
    </xf>
    <xf numFmtId="171" fontId="41" fillId="0" borderId="12" xfId="66" applyNumberFormat="1" applyFont="1" applyBorder="1"/>
    <xf numFmtId="0" fontId="76" fillId="37" borderId="0" xfId="52" applyFont="1" applyFill="1"/>
    <xf numFmtId="168" fontId="77" fillId="37" borderId="0" xfId="39" applyNumberFormat="1" applyFont="1" applyFill="1"/>
    <xf numFmtId="41" fontId="76" fillId="37" borderId="0" xfId="52" applyNumberFormat="1" applyFont="1" applyFill="1"/>
    <xf numFmtId="41" fontId="69" fillId="37" borderId="0" xfId="66" applyFont="1" applyFill="1" applyAlignment="1">
      <alignment horizontal="center"/>
    </xf>
    <xf numFmtId="168" fontId="78" fillId="37" borderId="0" xfId="39" applyNumberFormat="1" applyFont="1" applyFill="1"/>
    <xf numFmtId="180" fontId="45" fillId="37" borderId="0" xfId="52" applyNumberFormat="1" applyFont="1" applyFill="1"/>
    <xf numFmtId="184" fontId="45" fillId="37" borderId="0" xfId="52" applyNumberFormat="1" applyFont="1" applyFill="1"/>
    <xf numFmtId="173" fontId="65" fillId="37" borderId="0" xfId="49" applyNumberFormat="1" applyFont="1" applyFill="1"/>
    <xf numFmtId="41" fontId="43" fillId="0" borderId="0" xfId="66" applyFont="1"/>
    <xf numFmtId="0" fontId="67" fillId="0" borderId="0" xfId="0" applyFont="1"/>
    <xf numFmtId="0" fontId="19" fillId="0" borderId="0" xfId="0" applyFont="1"/>
    <xf numFmtId="41" fontId="58" fillId="37" borderId="0" xfId="0" applyNumberFormat="1" applyFont="1" applyFill="1"/>
    <xf numFmtId="0" fontId="27" fillId="0" borderId="0" xfId="33" quotePrefix="1"/>
    <xf numFmtId="172" fontId="12" fillId="37" borderId="4" xfId="61" applyNumberFormat="1" applyFont="1" applyFill="1" applyBorder="1" applyAlignment="1">
      <alignment horizontal="right" vertical="center" wrapText="1"/>
    </xf>
    <xf numFmtId="41" fontId="49" fillId="37" borderId="0" xfId="66" applyFont="1" applyFill="1" applyBorder="1"/>
    <xf numFmtId="0" fontId="41" fillId="37" borderId="0" xfId="0" applyFont="1" applyFill="1"/>
    <xf numFmtId="49" fontId="46" fillId="37" borderId="0" xfId="0" applyNumberFormat="1" applyFont="1" applyFill="1" applyAlignment="1">
      <alignment horizontal="left" vertical="center" wrapText="1"/>
    </xf>
    <xf numFmtId="49" fontId="47" fillId="37" borderId="0" xfId="0" applyNumberFormat="1" applyFont="1" applyFill="1" applyAlignment="1">
      <alignment horizontal="left" vertical="center"/>
    </xf>
    <xf numFmtId="3" fontId="47" fillId="37" borderId="0" xfId="0" applyNumberFormat="1" applyFont="1" applyFill="1" applyAlignment="1">
      <alignment horizontal="right" vertical="center" wrapText="1"/>
    </xf>
    <xf numFmtId="3" fontId="0" fillId="37" borderId="0" xfId="0" applyNumberFormat="1" applyFill="1"/>
    <xf numFmtId="3" fontId="46" fillId="37" borderId="0" xfId="0" applyNumberFormat="1" applyFont="1" applyFill="1" applyAlignment="1">
      <alignment horizontal="right" vertical="center" wrapText="1"/>
    </xf>
    <xf numFmtId="41" fontId="49" fillId="37" borderId="0" xfId="0" applyNumberFormat="1" applyFont="1" applyFill="1"/>
    <xf numFmtId="170" fontId="42" fillId="0" borderId="0" xfId="0" applyNumberFormat="1" applyFont="1"/>
    <xf numFmtId="0" fontId="42" fillId="37" borderId="4" xfId="0" applyFont="1" applyFill="1" applyBorder="1"/>
    <xf numFmtId="0" fontId="27" fillId="37" borderId="4" xfId="33" applyFill="1" applyBorder="1" applyAlignment="1">
      <alignment horizontal="right"/>
    </xf>
    <xf numFmtId="173" fontId="12" fillId="37" borderId="0" xfId="35" applyNumberFormat="1" applyFont="1" applyFill="1"/>
    <xf numFmtId="173" fontId="13" fillId="37" borderId="0" xfId="35" applyNumberFormat="1" applyFont="1" applyFill="1"/>
    <xf numFmtId="173" fontId="56" fillId="37" borderId="0" xfId="35" applyNumberFormat="1" applyFont="1" applyFill="1"/>
    <xf numFmtId="173" fontId="79" fillId="37" borderId="0" xfId="35" applyNumberFormat="1" applyFont="1" applyFill="1"/>
    <xf numFmtId="173" fontId="56" fillId="37" borderId="0" xfId="52" applyNumberFormat="1" applyFont="1" applyFill="1"/>
    <xf numFmtId="41" fontId="45" fillId="37" borderId="0" xfId="66" applyFont="1" applyFill="1"/>
    <xf numFmtId="14" fontId="41" fillId="37" borderId="0" xfId="0" applyNumberFormat="1" applyFont="1" applyFill="1"/>
    <xf numFmtId="184" fontId="12" fillId="0" borderId="4" xfId="52" applyNumberFormat="1" applyFont="1" applyBorder="1" applyAlignment="1">
      <alignment horizontal="right"/>
    </xf>
    <xf numFmtId="173" fontId="65" fillId="37" borderId="0" xfId="35" applyNumberFormat="1" applyFont="1" applyFill="1"/>
    <xf numFmtId="0" fontId="12" fillId="0" borderId="0" xfId="0" applyFont="1" applyAlignment="1">
      <alignment horizontal="left" vertical="center"/>
    </xf>
    <xf numFmtId="0" fontId="64" fillId="0" borderId="4" xfId="0" applyFont="1" applyBorder="1" applyAlignment="1">
      <alignment horizontal="right"/>
    </xf>
    <xf numFmtId="186" fontId="64" fillId="0" borderId="4" xfId="66" applyNumberFormat="1" applyFont="1" applyFill="1" applyBorder="1"/>
    <xf numFmtId="41" fontId="64" fillId="0" borderId="0" xfId="66" applyFont="1" applyFill="1"/>
    <xf numFmtId="0" fontId="64" fillId="0" borderId="0" xfId="0" applyFont="1"/>
    <xf numFmtId="167" fontId="42" fillId="37" borderId="0" xfId="0" applyNumberFormat="1" applyFont="1" applyFill="1"/>
    <xf numFmtId="41" fontId="45" fillId="0" borderId="0" xfId="66" applyFont="1"/>
    <xf numFmtId="43" fontId="12" fillId="37" borderId="0" xfId="0" applyNumberFormat="1" applyFont="1" applyFill="1"/>
    <xf numFmtId="168" fontId="13" fillId="37" borderId="0" xfId="50" applyNumberFormat="1" applyFont="1" applyFill="1"/>
    <xf numFmtId="0" fontId="12" fillId="48" borderId="0" xfId="0" applyFont="1" applyFill="1"/>
    <xf numFmtId="0" fontId="79" fillId="37" borderId="0" xfId="0" applyFont="1" applyFill="1"/>
    <xf numFmtId="14" fontId="80" fillId="37" borderId="0" xfId="0" applyNumberFormat="1" applyFont="1" applyFill="1" applyAlignment="1">
      <alignment horizontal="right" vertical="center"/>
    </xf>
    <xf numFmtId="170" fontId="81" fillId="37" borderId="0" xfId="66" applyNumberFormat="1" applyFont="1" applyFill="1" applyBorder="1" applyAlignment="1">
      <alignment horizontal="right" vertical="center" wrapText="1"/>
    </xf>
    <xf numFmtId="49" fontId="81" fillId="37" borderId="0" xfId="0" applyNumberFormat="1" applyFont="1" applyFill="1" applyAlignment="1">
      <alignment horizontal="left" vertical="center" wrapText="1"/>
    </xf>
    <xf numFmtId="0" fontId="22" fillId="37" borderId="0" xfId="0" applyFont="1" applyFill="1"/>
    <xf numFmtId="184" fontId="12" fillId="37" borderId="4" xfId="46" applyNumberFormat="1" applyFont="1" applyFill="1" applyBorder="1" applyAlignment="1">
      <alignment horizontal="right"/>
    </xf>
    <xf numFmtId="0" fontId="15" fillId="37" borderId="4" xfId="46" applyFont="1" applyFill="1" applyBorder="1" applyAlignment="1">
      <alignment horizontal="left"/>
    </xf>
    <xf numFmtId="184" fontId="13" fillId="37" borderId="4" xfId="46" applyNumberFormat="1" applyFont="1" applyFill="1" applyBorder="1" applyAlignment="1">
      <alignment horizontal="right"/>
    </xf>
    <xf numFmtId="0" fontId="84" fillId="37" borderId="0" xfId="0" applyFont="1" applyFill="1"/>
    <xf numFmtId="186" fontId="55" fillId="37" borderId="33" xfId="66" applyNumberFormat="1" applyFont="1" applyFill="1" applyBorder="1" applyAlignment="1">
      <alignment horizontal="right" vertical="center" wrapText="1"/>
    </xf>
    <xf numFmtId="49" fontId="55" fillId="37" borderId="0" xfId="0" applyNumberFormat="1" applyFont="1" applyFill="1" applyAlignment="1">
      <alignment horizontal="left" vertical="center" wrapText="1"/>
    </xf>
    <xf numFmtId="0" fontId="55" fillId="37" borderId="0" xfId="0" applyFont="1" applyFill="1" applyAlignment="1">
      <alignment horizontal="left" vertical="center" wrapText="1"/>
    </xf>
    <xf numFmtId="0" fontId="63" fillId="37" borderId="0" xfId="0" applyFont="1" applyFill="1" applyAlignment="1">
      <alignment horizontal="left" vertical="center" wrapText="1"/>
    </xf>
    <xf numFmtId="14" fontId="63" fillId="37" borderId="0" xfId="0" applyNumberFormat="1" applyFont="1" applyFill="1" applyAlignment="1">
      <alignment horizontal="right" vertical="center" wrapText="1"/>
    </xf>
    <xf numFmtId="41" fontId="82" fillId="37" borderId="0" xfId="66" applyFont="1" applyFill="1" applyBorder="1" applyAlignment="1">
      <alignment horizontal="right" vertical="center" wrapText="1"/>
    </xf>
    <xf numFmtId="170" fontId="42" fillId="0" borderId="11" xfId="46" applyNumberFormat="1" applyFont="1" applyBorder="1" applyAlignment="1">
      <alignment horizontal="center"/>
    </xf>
    <xf numFmtId="43" fontId="12" fillId="37" borderId="0" xfId="52" applyNumberFormat="1" applyFont="1" applyFill="1"/>
    <xf numFmtId="49" fontId="55" fillId="0" borderId="33" xfId="0" applyNumberFormat="1" applyFont="1" applyBorder="1" applyAlignment="1">
      <alignment horizontal="left" vertical="center" wrapText="1"/>
    </xf>
    <xf numFmtId="0" fontId="55" fillId="0" borderId="33" xfId="0" applyFont="1" applyBorder="1" applyAlignment="1">
      <alignment horizontal="left" vertical="center" wrapText="1"/>
    </xf>
    <xf numFmtId="41" fontId="55" fillId="0" borderId="33" xfId="66" applyFont="1" applyFill="1" applyBorder="1" applyAlignment="1">
      <alignment horizontal="right" vertical="center" wrapText="1"/>
    </xf>
    <xf numFmtId="3" fontId="43" fillId="0" borderId="0" xfId="49" applyNumberFormat="1" applyFont="1"/>
    <xf numFmtId="0" fontId="85" fillId="37" borderId="0" xfId="51" applyFont="1" applyFill="1"/>
    <xf numFmtId="170" fontId="42" fillId="0" borderId="11" xfId="36" applyNumberFormat="1" applyFont="1" applyFill="1" applyBorder="1" applyAlignment="1">
      <alignment horizontal="center" vertical="center" wrapText="1"/>
    </xf>
    <xf numFmtId="168" fontId="12" fillId="37" borderId="0" xfId="50" applyNumberFormat="1" applyFont="1" applyFill="1" applyAlignment="1">
      <alignment horizontal="right"/>
    </xf>
    <xf numFmtId="4" fontId="13" fillId="37" borderId="0" xfId="52" applyNumberFormat="1" applyFont="1" applyFill="1" applyAlignment="1">
      <alignment horizontal="center" vertical="center"/>
    </xf>
    <xf numFmtId="41" fontId="12" fillId="37" borderId="0" xfId="66" applyFont="1" applyFill="1" applyBorder="1"/>
    <xf numFmtId="170" fontId="42" fillId="37" borderId="6" xfId="46" applyNumberFormat="1" applyFont="1" applyFill="1" applyBorder="1" applyAlignment="1">
      <alignment horizontal="center"/>
    </xf>
    <xf numFmtId="4" fontId="13" fillId="37" borderId="6" xfId="52" applyNumberFormat="1" applyFont="1" applyFill="1" applyBorder="1" applyAlignment="1">
      <alignment horizontal="center"/>
    </xf>
    <xf numFmtId="15" fontId="13" fillId="37" borderId="6" xfId="52" applyNumberFormat="1" applyFont="1" applyFill="1" applyBorder="1" applyAlignment="1">
      <alignment horizontal="left"/>
    </xf>
    <xf numFmtId="170" fontId="42" fillId="37" borderId="9" xfId="46" applyNumberFormat="1" applyFont="1" applyFill="1" applyBorder="1" applyAlignment="1">
      <alignment horizontal="center"/>
    </xf>
    <xf numFmtId="0" fontId="56" fillId="37" borderId="0" xfId="50" applyFont="1" applyFill="1"/>
    <xf numFmtId="0" fontId="86" fillId="37" borderId="0" xfId="0" applyFont="1" applyFill="1"/>
    <xf numFmtId="0" fontId="12" fillId="37" borderId="5" xfId="52" applyFont="1" applyFill="1" applyBorder="1"/>
    <xf numFmtId="0" fontId="12" fillId="37" borderId="10" xfId="52" applyFont="1" applyFill="1" applyBorder="1"/>
    <xf numFmtId="4" fontId="12" fillId="37" borderId="1" xfId="52" applyNumberFormat="1" applyFont="1" applyFill="1" applyBorder="1"/>
    <xf numFmtId="4" fontId="12" fillId="37" borderId="9" xfId="52" applyNumberFormat="1" applyFont="1" applyFill="1" applyBorder="1" applyAlignment="1">
      <alignment horizontal="right"/>
    </xf>
    <xf numFmtId="170" fontId="13" fillId="37" borderId="1" xfId="46" applyNumberFormat="1" applyFont="1" applyFill="1" applyBorder="1" applyAlignment="1">
      <alignment horizontal="right"/>
    </xf>
    <xf numFmtId="0" fontId="56" fillId="0" borderId="0" xfId="0" applyFont="1"/>
    <xf numFmtId="0" fontId="87" fillId="37" borderId="0" xfId="52" applyFont="1" applyFill="1"/>
    <xf numFmtId="14" fontId="58" fillId="37" borderId="0" xfId="49" applyNumberFormat="1" applyFont="1" applyFill="1"/>
    <xf numFmtId="184" fontId="12" fillId="49" borderId="4" xfId="52" applyNumberFormat="1" applyFont="1" applyFill="1" applyBorder="1" applyAlignment="1">
      <alignment horizontal="right"/>
    </xf>
    <xf numFmtId="180" fontId="13" fillId="37" borderId="4" xfId="66" applyNumberFormat="1" applyFont="1" applyFill="1" applyBorder="1" applyAlignment="1">
      <alignment horizontal="right"/>
    </xf>
    <xf numFmtId="180" fontId="56" fillId="37" borderId="0" xfId="66" applyNumberFormat="1" applyFont="1" applyFill="1"/>
    <xf numFmtId="0" fontId="67" fillId="37" borderId="0" xfId="49" applyFont="1" applyFill="1"/>
    <xf numFmtId="4" fontId="67" fillId="37" borderId="0" xfId="49" applyNumberFormat="1" applyFont="1" applyFill="1"/>
    <xf numFmtId="41" fontId="82" fillId="37" borderId="33" xfId="66" applyFont="1" applyFill="1" applyBorder="1" applyAlignment="1">
      <alignment horizontal="right" vertical="center" wrapText="1"/>
    </xf>
    <xf numFmtId="15" fontId="42" fillId="37" borderId="4" xfId="52" applyNumberFormat="1" applyFont="1" applyFill="1" applyBorder="1" applyAlignment="1">
      <alignment horizontal="left"/>
    </xf>
    <xf numFmtId="171" fontId="42" fillId="37" borderId="4" xfId="50" applyNumberFormat="1" applyFont="1" applyFill="1" applyBorder="1" applyAlignment="1">
      <alignment horizontal="right"/>
    </xf>
    <xf numFmtId="171" fontId="87" fillId="0" borderId="0" xfId="0" applyNumberFormat="1" applyFont="1"/>
    <xf numFmtId="0" fontId="88" fillId="37" borderId="0" xfId="52" applyFont="1" applyFill="1"/>
    <xf numFmtId="170" fontId="12" fillId="37" borderId="0" xfId="46" applyNumberFormat="1" applyFont="1" applyFill="1" applyAlignment="1">
      <alignment horizontal="left"/>
    </xf>
    <xf numFmtId="0" fontId="89" fillId="37" borderId="0" xfId="0" applyFont="1" applyFill="1"/>
    <xf numFmtId="0" fontId="90" fillId="37" borderId="0" xfId="0" applyFont="1" applyFill="1"/>
    <xf numFmtId="0" fontId="91" fillId="37" borderId="0" xfId="0" applyFont="1" applyFill="1" applyAlignment="1">
      <alignment horizontal="left" vertical="center" wrapText="1"/>
    </xf>
    <xf numFmtId="0" fontId="56" fillId="0" borderId="0" xfId="49" applyFont="1"/>
    <xf numFmtId="0" fontId="92" fillId="37" borderId="0" xfId="49" applyFont="1" applyFill="1"/>
    <xf numFmtId="43" fontId="92" fillId="37" borderId="0" xfId="49" applyNumberFormat="1" applyFont="1" applyFill="1"/>
    <xf numFmtId="0" fontId="74" fillId="0" borderId="0" xfId="49" applyFont="1"/>
    <xf numFmtId="170" fontId="56" fillId="0" borderId="0" xfId="46" applyNumberFormat="1" applyFont="1" applyAlignment="1">
      <alignment horizontal="center"/>
    </xf>
    <xf numFmtId="170" fontId="74" fillId="0" borderId="0" xfId="49" applyNumberFormat="1" applyFont="1"/>
    <xf numFmtId="170" fontId="42" fillId="37" borderId="4" xfId="66" applyNumberFormat="1" applyFont="1" applyFill="1" applyBorder="1"/>
    <xf numFmtId="41" fontId="56" fillId="37" borderId="0" xfId="66" applyFont="1" applyFill="1" applyAlignment="1"/>
    <xf numFmtId="3" fontId="79" fillId="37" borderId="13" xfId="52" applyNumberFormat="1" applyFont="1" applyFill="1" applyBorder="1" applyAlignment="1">
      <alignment horizontal="center"/>
    </xf>
    <xf numFmtId="0" fontId="79" fillId="37" borderId="4" xfId="52" applyFont="1" applyFill="1" applyBorder="1"/>
    <xf numFmtId="0" fontId="93" fillId="0" borderId="0" xfId="0" applyFont="1"/>
    <xf numFmtId="170" fontId="12" fillId="37" borderId="0" xfId="46" applyNumberFormat="1" applyFont="1" applyFill="1" applyAlignment="1">
      <alignment horizontal="right"/>
    </xf>
    <xf numFmtId="0" fontId="42" fillId="0" borderId="1" xfId="0" applyFont="1" applyBorder="1"/>
    <xf numFmtId="171" fontId="42" fillId="0" borderId="2" xfId="35" applyNumberFormat="1" applyFont="1" applyFill="1" applyBorder="1"/>
    <xf numFmtId="171" fontId="42" fillId="0" borderId="3" xfId="35" applyNumberFormat="1" applyFont="1" applyFill="1" applyBorder="1"/>
    <xf numFmtId="43" fontId="56" fillId="37" borderId="0" xfId="52" applyNumberFormat="1" applyFont="1" applyFill="1"/>
    <xf numFmtId="0" fontId="94" fillId="37" borderId="0" xfId="52" applyFont="1" applyFill="1"/>
    <xf numFmtId="173" fontId="74" fillId="37" borderId="0" xfId="49" applyNumberFormat="1" applyFont="1" applyFill="1"/>
    <xf numFmtId="41" fontId="94" fillId="37" borderId="0" xfId="52" applyNumberFormat="1" applyFont="1" applyFill="1"/>
    <xf numFmtId="43" fontId="72" fillId="37" borderId="0" xfId="49" applyNumberFormat="1" applyFont="1" applyFill="1"/>
    <xf numFmtId="43" fontId="71" fillId="37" borderId="0" xfId="49" applyNumberFormat="1" applyFont="1" applyFill="1"/>
    <xf numFmtId="41" fontId="74" fillId="37" borderId="0" xfId="66" applyFont="1" applyFill="1"/>
    <xf numFmtId="43" fontId="74" fillId="37" borderId="0" xfId="49" applyNumberFormat="1" applyFont="1" applyFill="1"/>
    <xf numFmtId="0" fontId="93" fillId="37" borderId="0" xfId="52" applyFont="1" applyFill="1"/>
    <xf numFmtId="0" fontId="96" fillId="37" borderId="0" xfId="50" applyFont="1" applyFill="1"/>
    <xf numFmtId="0" fontId="97" fillId="37" borderId="0" xfId="50" applyFont="1" applyFill="1"/>
    <xf numFmtId="0" fontId="97" fillId="37" borderId="0" xfId="50" applyFont="1" applyFill="1" applyAlignment="1">
      <alignment horizontal="center"/>
    </xf>
    <xf numFmtId="0" fontId="97" fillId="37" borderId="0" xfId="50" applyFont="1" applyFill="1" applyAlignment="1">
      <alignment horizontal="left"/>
    </xf>
    <xf numFmtId="0" fontId="95" fillId="37" borderId="0" xfId="0" applyFont="1" applyFill="1"/>
    <xf numFmtId="41" fontId="95" fillId="37" borderId="0" xfId="66" applyFont="1" applyFill="1"/>
    <xf numFmtId="41" fontId="93" fillId="37" borderId="0" xfId="52" applyNumberFormat="1" applyFont="1" applyFill="1"/>
    <xf numFmtId="3" fontId="93" fillId="37" borderId="0" xfId="52" applyNumberFormat="1" applyFont="1" applyFill="1"/>
    <xf numFmtId="4" fontId="93" fillId="37" borderId="0" xfId="52" applyNumberFormat="1" applyFont="1" applyFill="1"/>
    <xf numFmtId="14" fontId="12" fillId="0" borderId="13" xfId="46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97" fillId="0" borderId="0" xfId="0" applyFont="1" applyAlignment="1">
      <alignment horizontal="center"/>
    </xf>
    <xf numFmtId="3" fontId="97" fillId="37" borderId="0" xfId="52" applyNumberFormat="1" applyFont="1" applyFill="1"/>
    <xf numFmtId="0" fontId="85" fillId="0" borderId="0" xfId="0" applyFont="1" applyAlignment="1">
      <alignment horizontal="center"/>
    </xf>
    <xf numFmtId="0" fontId="99" fillId="37" borderId="0" xfId="0" applyFont="1" applyFill="1"/>
    <xf numFmtId="49" fontId="44" fillId="37" borderId="40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center" vertical="center" wrapText="1"/>
    </xf>
    <xf numFmtId="41" fontId="43" fillId="37" borderId="4" xfId="66" applyFont="1" applyFill="1" applyBorder="1" applyAlignment="1">
      <alignment horizontal="right" vertical="center" wrapText="1"/>
    </xf>
    <xf numFmtId="41" fontId="44" fillId="37" borderId="11" xfId="66" applyFont="1" applyFill="1" applyBorder="1" applyAlignment="1">
      <alignment horizontal="right" vertical="center" wrapText="1"/>
    </xf>
    <xf numFmtId="49" fontId="44" fillId="37" borderId="35" xfId="0" applyNumberFormat="1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 wrapText="1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3" fontId="43" fillId="37" borderId="4" xfId="0" applyNumberFormat="1" applyFont="1" applyFill="1" applyBorder="1" applyAlignment="1">
      <alignment horizontal="right" vertical="center" wrapText="1"/>
    </xf>
    <xf numFmtId="3" fontId="44" fillId="37" borderId="4" xfId="0" applyNumberFormat="1" applyFont="1" applyFill="1" applyBorder="1" applyAlignment="1">
      <alignment horizontal="right" vertical="center" wrapText="1"/>
    </xf>
    <xf numFmtId="168" fontId="43" fillId="37" borderId="4" xfId="0" applyNumberFormat="1" applyFont="1" applyFill="1" applyBorder="1" applyAlignment="1">
      <alignment horizontal="right" vertical="center" wrapText="1"/>
    </xf>
    <xf numFmtId="168" fontId="44" fillId="37" borderId="4" xfId="0" applyNumberFormat="1" applyFont="1" applyFill="1" applyBorder="1" applyAlignment="1">
      <alignment horizontal="right" vertical="center" wrapText="1"/>
    </xf>
    <xf numFmtId="49" fontId="44" fillId="37" borderId="0" xfId="0" applyNumberFormat="1" applyFont="1" applyFill="1" applyAlignment="1">
      <alignment horizontal="left" vertical="center" wrapText="1"/>
    </xf>
    <xf numFmtId="49" fontId="44" fillId="37" borderId="0" xfId="0" applyNumberFormat="1" applyFont="1" applyFill="1" applyAlignment="1">
      <alignment horizontal="center" vertical="center"/>
    </xf>
    <xf numFmtId="3" fontId="44" fillId="37" borderId="3" xfId="0" applyNumberFormat="1" applyFont="1" applyFill="1" applyBorder="1" applyAlignment="1">
      <alignment horizontal="right" vertical="center" wrapText="1"/>
    </xf>
    <xf numFmtId="41" fontId="100" fillId="0" borderId="33" xfId="66" applyFont="1" applyFill="1" applyBorder="1" applyAlignment="1">
      <alignment horizontal="right" vertical="center" wrapText="1"/>
    </xf>
    <xf numFmtId="49" fontId="43" fillId="37" borderId="36" xfId="0" applyNumberFormat="1" applyFont="1" applyFill="1" applyBorder="1" applyAlignment="1">
      <alignment horizontal="left" vertical="center" wrapText="1"/>
    </xf>
    <xf numFmtId="49" fontId="43" fillId="37" borderId="47" xfId="0" applyNumberFormat="1" applyFont="1" applyFill="1" applyBorder="1" applyAlignment="1">
      <alignment horizontal="left" vertical="center"/>
    </xf>
    <xf numFmtId="41" fontId="101" fillId="0" borderId="33" xfId="66" applyFont="1" applyFill="1" applyBorder="1" applyAlignment="1">
      <alignment horizontal="right" vertical="center" wrapText="1"/>
    </xf>
    <xf numFmtId="49" fontId="44" fillId="37" borderId="33" xfId="0" applyNumberFormat="1" applyFont="1" applyFill="1" applyBorder="1" applyAlignment="1">
      <alignment horizontal="left" vertical="center"/>
    </xf>
    <xf numFmtId="0" fontId="44" fillId="37" borderId="41" xfId="0" applyFont="1" applyFill="1" applyBorder="1" applyAlignment="1">
      <alignment horizontal="left" vertical="center" wrapText="1"/>
    </xf>
    <xf numFmtId="0" fontId="43" fillId="37" borderId="33" xfId="0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/>
    </xf>
    <xf numFmtId="14" fontId="43" fillId="37" borderId="33" xfId="0" applyNumberFormat="1" applyFont="1" applyFill="1" applyBorder="1" applyAlignment="1">
      <alignment horizontal="right" vertical="center"/>
    </xf>
    <xf numFmtId="170" fontId="100" fillId="37" borderId="33" xfId="66" applyNumberFormat="1" applyFont="1" applyFill="1" applyBorder="1" applyAlignment="1">
      <alignment horizontal="right" vertical="center" wrapText="1"/>
    </xf>
    <xf numFmtId="170" fontId="44" fillId="37" borderId="4" xfId="0" applyNumberFormat="1" applyFont="1" applyFill="1" applyBorder="1" applyAlignment="1">
      <alignment horizontal="right" vertical="center" wrapText="1"/>
    </xf>
    <xf numFmtId="0" fontId="101" fillId="37" borderId="0" xfId="0" applyFont="1" applyFill="1" applyAlignment="1">
      <alignment horizontal="right" vertical="center" wrapText="1"/>
    </xf>
    <xf numFmtId="170" fontId="44" fillId="37" borderId="2" xfId="0" applyNumberFormat="1" applyFont="1" applyFill="1" applyBorder="1" applyAlignment="1">
      <alignment horizontal="right" vertical="center" wrapText="1"/>
    </xf>
    <xf numFmtId="0" fontId="100" fillId="37" borderId="34" xfId="0" applyFont="1" applyFill="1" applyBorder="1" applyAlignment="1">
      <alignment horizontal="left" vertical="center" wrapText="1"/>
    </xf>
    <xf numFmtId="49" fontId="100" fillId="37" borderId="34" xfId="0" applyNumberFormat="1" applyFont="1" applyFill="1" applyBorder="1" applyAlignment="1">
      <alignment horizontal="left" vertical="center" wrapText="1"/>
    </xf>
    <xf numFmtId="14" fontId="43" fillId="50" borderId="33" xfId="0" applyNumberFormat="1" applyFont="1" applyFill="1" applyBorder="1" applyAlignment="1">
      <alignment horizontal="right" vertical="center"/>
    </xf>
    <xf numFmtId="0" fontId="43" fillId="37" borderId="0" xfId="0" applyFont="1" applyFill="1" applyAlignment="1">
      <alignment horizontal="left" vertical="center" wrapText="1"/>
    </xf>
    <xf numFmtId="22" fontId="43" fillId="37" borderId="0" xfId="0" applyNumberFormat="1" applyFont="1" applyFill="1" applyAlignment="1">
      <alignment horizontal="center" vertical="center"/>
    </xf>
    <xf numFmtId="22" fontId="43" fillId="37" borderId="0" xfId="0" applyNumberFormat="1" applyFont="1" applyFill="1" applyAlignment="1">
      <alignment horizontal="center" vertical="center" wrapText="1"/>
    </xf>
    <xf numFmtId="49" fontId="43" fillId="37" borderId="0" xfId="0" applyNumberFormat="1" applyFont="1" applyFill="1" applyAlignment="1">
      <alignment horizontal="left" vertical="center" wrapText="1"/>
    </xf>
    <xf numFmtId="14" fontId="43" fillId="0" borderId="33" xfId="0" applyNumberFormat="1" applyFont="1" applyBorder="1" applyAlignment="1">
      <alignment horizontal="right" vertical="center"/>
    </xf>
    <xf numFmtId="173" fontId="74" fillId="0" borderId="0" xfId="49" applyNumberFormat="1" applyFont="1"/>
    <xf numFmtId="41" fontId="56" fillId="37" borderId="0" xfId="49" applyNumberFormat="1" applyFont="1" applyFill="1"/>
    <xf numFmtId="0" fontId="98" fillId="37" borderId="0" xfId="49" applyFont="1" applyFill="1"/>
    <xf numFmtId="0" fontId="102" fillId="37" borderId="0" xfId="49" applyFont="1" applyFill="1"/>
    <xf numFmtId="168" fontId="93" fillId="37" borderId="0" xfId="52" applyNumberFormat="1" applyFont="1" applyFill="1"/>
    <xf numFmtId="187" fontId="12" fillId="0" borderId="1" xfId="52" applyNumberFormat="1" applyFont="1" applyBorder="1"/>
    <xf numFmtId="170" fontId="49" fillId="37" borderId="0" xfId="0" applyNumberFormat="1" applyFont="1" applyFill="1"/>
    <xf numFmtId="41" fontId="103" fillId="37" borderId="0" xfId="49" applyNumberFormat="1" applyFont="1" applyFill="1"/>
    <xf numFmtId="43" fontId="89" fillId="37" borderId="0" xfId="0" applyNumberFormat="1" applyFont="1" applyFill="1"/>
    <xf numFmtId="14" fontId="63" fillId="51" borderId="33" xfId="0" applyNumberFormat="1" applyFont="1" applyFill="1" applyBorder="1" applyAlignment="1">
      <alignment horizontal="right" vertical="center" wrapText="1"/>
    </xf>
    <xf numFmtId="49" fontId="55" fillId="51" borderId="33" xfId="0" applyNumberFormat="1" applyFont="1" applyFill="1" applyBorder="1" applyAlignment="1">
      <alignment horizontal="left" vertical="center" wrapText="1"/>
    </xf>
    <xf numFmtId="170" fontId="42" fillId="51" borderId="9" xfId="46" applyNumberFormat="1" applyFont="1" applyFill="1" applyBorder="1" applyAlignment="1">
      <alignment horizontal="center"/>
    </xf>
    <xf numFmtId="4" fontId="56" fillId="37" borderId="0" xfId="52" applyNumberFormat="1" applyFont="1" applyFill="1"/>
    <xf numFmtId="0" fontId="104" fillId="37" borderId="0" xfId="0" applyFont="1" applyFill="1"/>
    <xf numFmtId="0" fontId="105" fillId="37" borderId="0" xfId="50" applyFont="1" applyFill="1"/>
    <xf numFmtId="41" fontId="105" fillId="37" borderId="0" xfId="66" applyFont="1" applyFill="1" applyAlignment="1"/>
    <xf numFmtId="0" fontId="105" fillId="37" borderId="0" xfId="52" applyFont="1" applyFill="1"/>
    <xf numFmtId="3" fontId="104" fillId="37" borderId="0" xfId="0" applyNumberFormat="1" applyFont="1" applyFill="1"/>
    <xf numFmtId="0" fontId="100" fillId="37" borderId="52" xfId="0" applyFont="1" applyFill="1" applyBorder="1" applyAlignment="1">
      <alignment horizontal="left" vertical="center" wrapText="1"/>
    </xf>
    <xf numFmtId="49" fontId="100" fillId="37" borderId="51" xfId="0" applyNumberFormat="1" applyFont="1" applyFill="1" applyBorder="1" applyAlignment="1">
      <alignment horizontal="left" vertical="center" wrapText="1"/>
    </xf>
    <xf numFmtId="0" fontId="106" fillId="37" borderId="0" xfId="50" applyFont="1" applyFill="1"/>
    <xf numFmtId="0" fontId="90" fillId="37" borderId="0" xfId="50" applyFont="1" applyFill="1"/>
    <xf numFmtId="0" fontId="90" fillId="37" borderId="0" xfId="50" applyFont="1" applyFill="1" applyAlignment="1">
      <alignment horizontal="center"/>
    </xf>
    <xf numFmtId="0" fontId="90" fillId="37" borderId="0" xfId="50" applyFont="1" applyFill="1" applyAlignment="1">
      <alignment horizontal="left"/>
    </xf>
    <xf numFmtId="3" fontId="89" fillId="37" borderId="0" xfId="0" applyNumberFormat="1" applyFont="1" applyFill="1"/>
    <xf numFmtId="0" fontId="90" fillId="37" borderId="6" xfId="0" applyFont="1" applyFill="1" applyBorder="1"/>
    <xf numFmtId="0" fontId="107" fillId="37" borderId="0" xfId="0" applyFont="1" applyFill="1"/>
    <xf numFmtId="173" fontId="108" fillId="37" borderId="0" xfId="0" applyNumberFormat="1" applyFont="1" applyFill="1"/>
    <xf numFmtId="41" fontId="107" fillId="37" borderId="0" xfId="0" applyNumberFormat="1" applyFont="1" applyFill="1"/>
    <xf numFmtId="49" fontId="89" fillId="37" borderId="0" xfId="0" applyNumberFormat="1" applyFont="1" applyFill="1"/>
    <xf numFmtId="168" fontId="89" fillId="37" borderId="0" xfId="0" applyNumberFormat="1" applyFont="1" applyFill="1"/>
    <xf numFmtId="168" fontId="49" fillId="37" borderId="0" xfId="0" applyNumberFormat="1" applyFont="1" applyFill="1"/>
    <xf numFmtId="3" fontId="105" fillId="37" borderId="0" xfId="52" applyNumberFormat="1" applyFont="1" applyFill="1"/>
    <xf numFmtId="0" fontId="105" fillId="0" borderId="0" xfId="49" applyFont="1"/>
    <xf numFmtId="3" fontId="109" fillId="37" borderId="0" xfId="49" applyNumberFormat="1" applyFont="1" applyFill="1"/>
    <xf numFmtId="4" fontId="110" fillId="37" borderId="0" xfId="52" applyNumberFormat="1" applyFont="1" applyFill="1" applyAlignment="1">
      <alignment horizontal="center" vertical="center"/>
    </xf>
    <xf numFmtId="170" fontId="110" fillId="37" borderId="6" xfId="46" applyNumberFormat="1" applyFont="1" applyFill="1" applyBorder="1" applyAlignment="1">
      <alignment horizontal="right"/>
    </xf>
    <xf numFmtId="41" fontId="105" fillId="37" borderId="0" xfId="52" applyNumberFormat="1" applyFont="1" applyFill="1"/>
    <xf numFmtId="180" fontId="111" fillId="37" borderId="0" xfId="66" applyNumberFormat="1" applyFont="1" applyFill="1" applyAlignment="1">
      <alignment horizontal="center"/>
    </xf>
    <xf numFmtId="180" fontId="112" fillId="37" borderId="0" xfId="66" applyNumberFormat="1" applyFont="1" applyFill="1"/>
    <xf numFmtId="0" fontId="112" fillId="37" borderId="0" xfId="52" applyFont="1" applyFill="1"/>
    <xf numFmtId="41" fontId="112" fillId="37" borderId="0" xfId="52" applyNumberFormat="1" applyFont="1" applyFill="1"/>
    <xf numFmtId="180" fontId="105" fillId="37" borderId="0" xfId="66" applyNumberFormat="1" applyFont="1" applyFill="1"/>
    <xf numFmtId="43" fontId="68" fillId="37" borderId="0" xfId="52" applyNumberFormat="1" applyFont="1" applyFill="1"/>
    <xf numFmtId="0" fontId="113" fillId="37" borderId="0" xfId="50" applyFont="1" applyFill="1" applyAlignment="1">
      <alignment horizontal="center"/>
    </xf>
    <xf numFmtId="0" fontId="114" fillId="37" borderId="0" xfId="50" applyFont="1" applyFill="1" applyAlignment="1">
      <alignment horizontal="center"/>
    </xf>
    <xf numFmtId="0" fontId="115" fillId="37" borderId="0" xfId="49" applyFont="1" applyFill="1"/>
    <xf numFmtId="170" fontId="79" fillId="37" borderId="0" xfId="52" applyNumberFormat="1" applyFont="1" applyFill="1" applyAlignment="1">
      <alignment horizontal="right"/>
    </xf>
    <xf numFmtId="41" fontId="115" fillId="37" borderId="0" xfId="66" applyFont="1" applyFill="1"/>
    <xf numFmtId="170" fontId="115" fillId="37" borderId="0" xfId="49" applyNumberFormat="1" applyFont="1" applyFill="1"/>
    <xf numFmtId="170" fontId="56" fillId="37" borderId="0" xfId="52" applyNumberFormat="1" applyFont="1" applyFill="1" applyAlignment="1">
      <alignment horizontal="right"/>
    </xf>
    <xf numFmtId="170" fontId="74" fillId="37" borderId="0" xfId="49" applyNumberFormat="1" applyFont="1" applyFill="1"/>
    <xf numFmtId="3" fontId="79" fillId="37" borderId="0" xfId="52" applyNumberFormat="1" applyFont="1" applyFill="1"/>
    <xf numFmtId="173" fontId="22" fillId="37" borderId="0" xfId="0" applyNumberFormat="1" applyFont="1" applyFill="1"/>
    <xf numFmtId="0" fontId="105" fillId="37" borderId="0" xfId="49" applyFont="1" applyFill="1"/>
    <xf numFmtId="170" fontId="42" fillId="0" borderId="9" xfId="46" applyNumberFormat="1" applyFont="1" applyBorder="1" applyAlignment="1">
      <alignment horizontal="center"/>
    </xf>
    <xf numFmtId="170" fontId="12" fillId="52" borderId="4" xfId="46" applyNumberFormat="1" applyFont="1" applyFill="1" applyBorder="1" applyAlignment="1">
      <alignment horizontal="right"/>
    </xf>
    <xf numFmtId="170" fontId="68" fillId="37" borderId="4" xfId="66" applyNumberFormat="1" applyFont="1" applyFill="1" applyBorder="1"/>
    <xf numFmtId="9" fontId="42" fillId="37" borderId="0" xfId="67" applyFont="1" applyFill="1" applyAlignment="1">
      <alignment horizontal="center"/>
    </xf>
    <xf numFmtId="171" fontId="41" fillId="37" borderId="4" xfId="35" applyNumberFormat="1" applyFont="1" applyFill="1" applyBorder="1"/>
    <xf numFmtId="41" fontId="41" fillId="37" borderId="12" xfId="66" applyFont="1" applyFill="1" applyBorder="1"/>
    <xf numFmtId="171" fontId="41" fillId="37" borderId="12" xfId="66" applyNumberFormat="1" applyFont="1" applyFill="1" applyBorder="1"/>
    <xf numFmtId="173" fontId="42" fillId="37" borderId="4" xfId="35" applyNumberFormat="1" applyFont="1" applyFill="1" applyBorder="1" applyAlignment="1"/>
    <xf numFmtId="171" fontId="41" fillId="37" borderId="4" xfId="35" applyNumberFormat="1" applyFont="1" applyFill="1" applyBorder="1" applyAlignment="1"/>
    <xf numFmtId="0" fontId="13" fillId="2" borderId="0" xfId="65" applyFont="1" applyFill="1" applyAlignment="1">
      <alignment horizontal="center"/>
    </xf>
    <xf numFmtId="0" fontId="11" fillId="2" borderId="0" xfId="65" applyFont="1" applyFill="1" applyAlignment="1">
      <alignment horizontal="center"/>
    </xf>
    <xf numFmtId="0" fontId="13" fillId="37" borderId="0" xfId="51" applyFont="1" applyFill="1" applyAlignment="1">
      <alignment horizontal="center"/>
    </xf>
    <xf numFmtId="0" fontId="11" fillId="37" borderId="0" xfId="51" applyFont="1" applyFill="1" applyAlignment="1">
      <alignment horizontal="center"/>
    </xf>
    <xf numFmtId="15" fontId="3" fillId="4" borderId="7" xfId="13" applyNumberFormat="1" applyFont="1" applyFill="1" applyBorder="1" applyAlignment="1">
      <alignment horizontal="center" vertical="center"/>
    </xf>
    <xf numFmtId="15" fontId="3" fillId="4" borderId="5" xfId="13" applyNumberFormat="1" applyFont="1" applyFill="1" applyBorder="1" applyAlignment="1">
      <alignment horizontal="center" vertical="center"/>
    </xf>
    <xf numFmtId="0" fontId="3" fillId="4" borderId="6" xfId="13" applyFont="1" applyFill="1" applyBorder="1" applyAlignment="1">
      <alignment horizontal="center" vertical="center"/>
    </xf>
    <xf numFmtId="0" fontId="3" fillId="4" borderId="0" xfId="13" applyFont="1" applyFill="1" applyBorder="1" applyAlignment="1">
      <alignment horizontal="center" vertical="center"/>
    </xf>
    <xf numFmtId="41" fontId="13" fillId="39" borderId="1" xfId="66" applyFont="1" applyFill="1" applyBorder="1" applyAlignment="1">
      <alignment horizontal="center"/>
    </xf>
    <xf numFmtId="41" fontId="13" fillId="39" borderId="3" xfId="66" applyFont="1" applyFill="1" applyBorder="1" applyAlignment="1">
      <alignment horizontal="center"/>
    </xf>
    <xf numFmtId="0" fontId="13" fillId="37" borderId="0" xfId="0" applyFont="1" applyFill="1" applyAlignment="1">
      <alignment horizontal="center"/>
    </xf>
    <xf numFmtId="176" fontId="13" fillId="39" borderId="8" xfId="39" applyNumberFormat="1" applyFont="1" applyFill="1" applyBorder="1" applyAlignment="1">
      <alignment horizontal="center" vertical="center" wrapText="1"/>
    </xf>
    <xf numFmtId="176" fontId="13" fillId="39" borderId="11" xfId="39" applyNumberFormat="1" applyFont="1" applyFill="1" applyBorder="1" applyAlignment="1">
      <alignment horizontal="center" vertical="center" wrapText="1"/>
    </xf>
    <xf numFmtId="176" fontId="13" fillId="39" borderId="8" xfId="39" applyNumberFormat="1" applyFont="1" applyFill="1" applyBorder="1" applyAlignment="1">
      <alignment horizontal="center" vertical="center"/>
    </xf>
    <xf numFmtId="176" fontId="13" fillId="39" borderId="11" xfId="39" applyNumberFormat="1" applyFont="1" applyFill="1" applyBorder="1" applyAlignment="1">
      <alignment horizontal="center" vertical="center"/>
    </xf>
    <xf numFmtId="176" fontId="13" fillId="0" borderId="8" xfId="39" applyNumberFormat="1" applyFont="1" applyFill="1" applyBorder="1" applyAlignment="1">
      <alignment horizontal="center" vertical="center" wrapText="1"/>
    </xf>
    <xf numFmtId="176" fontId="13" fillId="0" borderId="22" xfId="39" applyNumberFormat="1" applyFont="1" applyFill="1" applyBorder="1" applyAlignment="1">
      <alignment horizontal="center" vertical="center" wrapText="1"/>
    </xf>
    <xf numFmtId="176" fontId="13" fillId="0" borderId="11" xfId="39" applyNumberFormat="1" applyFont="1" applyFill="1" applyBorder="1" applyAlignment="1">
      <alignment horizontal="center" vertical="center" wrapText="1"/>
    </xf>
    <xf numFmtId="181" fontId="13" fillId="0" borderId="8" xfId="39" applyNumberFormat="1" applyFont="1" applyFill="1" applyBorder="1" applyAlignment="1">
      <alignment horizontal="center" vertical="center" wrapText="1"/>
    </xf>
    <xf numFmtId="181" fontId="13" fillId="0" borderId="11" xfId="39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41" fillId="0" borderId="8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83" fillId="37" borderId="8" xfId="0" applyFont="1" applyFill="1" applyBorder="1" applyAlignment="1">
      <alignment horizontal="center" vertical="center" wrapText="1"/>
    </xf>
    <xf numFmtId="0" fontId="83" fillId="37" borderId="11" xfId="0" applyFont="1" applyFill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3" fillId="0" borderId="11" xfId="0" applyFont="1" applyBorder="1" applyAlignment="1">
      <alignment horizontal="center" vertical="center" wrapText="1"/>
    </xf>
    <xf numFmtId="0" fontId="50" fillId="40" borderId="42" xfId="0" applyFont="1" applyFill="1" applyBorder="1" applyAlignment="1">
      <alignment horizontal="right"/>
    </xf>
    <xf numFmtId="0" fontId="50" fillId="40" borderId="43" xfId="0" applyFont="1" applyFill="1" applyBorder="1" applyAlignment="1">
      <alignment horizontal="right"/>
    </xf>
    <xf numFmtId="0" fontId="41" fillId="0" borderId="42" xfId="0" applyFont="1" applyBorder="1" applyAlignment="1">
      <alignment horizontal="right"/>
    </xf>
    <xf numFmtId="0" fontId="41" fillId="0" borderId="43" xfId="0" applyFont="1" applyBorder="1" applyAlignment="1">
      <alignment horizontal="right"/>
    </xf>
    <xf numFmtId="0" fontId="41" fillId="0" borderId="12" xfId="0" applyFont="1" applyBorder="1" applyAlignment="1">
      <alignment horizontal="right"/>
    </xf>
    <xf numFmtId="0" fontId="41" fillId="37" borderId="8" xfId="0" applyFont="1" applyFill="1" applyBorder="1" applyAlignment="1">
      <alignment horizontal="center" vertical="center" wrapText="1"/>
    </xf>
    <xf numFmtId="0" fontId="41" fillId="37" borderId="11" xfId="0" applyFont="1" applyFill="1" applyBorder="1" applyAlignment="1">
      <alignment horizontal="center" vertical="center" wrapText="1"/>
    </xf>
    <xf numFmtId="0" fontId="13" fillId="37" borderId="8" xfId="46" applyFont="1" applyFill="1" applyBorder="1" applyAlignment="1">
      <alignment horizontal="center" vertical="center" wrapText="1"/>
    </xf>
    <xf numFmtId="0" fontId="13" fillId="37" borderId="11" xfId="46" applyFont="1" applyFill="1" applyBorder="1" applyAlignment="1">
      <alignment horizontal="center" vertical="center" wrapText="1"/>
    </xf>
    <xf numFmtId="0" fontId="11" fillId="37" borderId="0" xfId="46" applyFont="1" applyFill="1" applyAlignment="1">
      <alignment horizontal="center"/>
    </xf>
    <xf numFmtId="0" fontId="13" fillId="37" borderId="0" xfId="46" applyFont="1" applyFill="1" applyAlignment="1">
      <alignment horizontal="center"/>
    </xf>
    <xf numFmtId="169" fontId="13" fillId="37" borderId="0" xfId="46" applyNumberFormat="1" applyFont="1" applyFill="1" applyAlignment="1">
      <alignment horizontal="center"/>
    </xf>
    <xf numFmtId="0" fontId="13" fillId="37" borderId="0" xfId="46" quotePrefix="1" applyFont="1" applyFill="1" applyAlignment="1">
      <alignment horizontal="left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13" xfId="52" applyNumberFormat="1" applyFont="1" applyFill="1" applyBorder="1" applyAlignment="1">
      <alignment horizontal="center" vertical="center"/>
    </xf>
    <xf numFmtId="0" fontId="11" fillId="37" borderId="0" xfId="50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center"/>
    </xf>
    <xf numFmtId="49" fontId="46" fillId="37" borderId="38" xfId="0" applyNumberFormat="1" applyFont="1" applyFill="1" applyBorder="1" applyAlignment="1">
      <alignment horizontal="center" vertical="center" wrapText="1"/>
    </xf>
    <xf numFmtId="49" fontId="46" fillId="37" borderId="39" xfId="0" applyNumberFormat="1" applyFont="1" applyFill="1" applyBorder="1" applyAlignment="1">
      <alignment horizontal="center" vertical="center" wrapText="1"/>
    </xf>
    <xf numFmtId="4" fontId="13" fillId="39" borderId="4" xfId="52" applyNumberFormat="1" applyFont="1" applyFill="1" applyBorder="1" applyAlignment="1">
      <alignment horizontal="center" vertical="center"/>
    </xf>
    <xf numFmtId="49" fontId="47" fillId="37" borderId="36" xfId="0" applyNumberFormat="1" applyFont="1" applyFill="1" applyBorder="1" applyAlignment="1">
      <alignment horizontal="left" vertical="center"/>
    </xf>
    <xf numFmtId="49" fontId="47" fillId="37" borderId="37" xfId="0" applyNumberFormat="1" applyFont="1" applyFill="1" applyBorder="1" applyAlignment="1">
      <alignment horizontal="left" vertical="center"/>
    </xf>
    <xf numFmtId="49" fontId="46" fillId="37" borderId="36" xfId="0" applyNumberFormat="1" applyFont="1" applyFill="1" applyBorder="1" applyAlignment="1">
      <alignment horizontal="center" vertical="center"/>
    </xf>
    <xf numFmtId="49" fontId="46" fillId="37" borderId="37" xfId="0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/>
    </xf>
    <xf numFmtId="14" fontId="13" fillId="37" borderId="0" xfId="50" applyNumberFormat="1" applyFont="1" applyFill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/>
    </xf>
    <xf numFmtId="49" fontId="46" fillId="37" borderId="0" xfId="0" applyNumberFormat="1" applyFont="1" applyFill="1" applyAlignment="1">
      <alignment horizontal="center" vertical="center"/>
    </xf>
    <xf numFmtId="49" fontId="46" fillId="37" borderId="0" xfId="0" applyNumberFormat="1" applyFont="1" applyFill="1" applyAlignment="1">
      <alignment horizontal="center" vertical="center" wrapText="1"/>
    </xf>
    <xf numFmtId="49" fontId="44" fillId="37" borderId="36" xfId="0" applyNumberFormat="1" applyFont="1" applyFill="1" applyBorder="1" applyAlignment="1">
      <alignment horizontal="center" vertical="center"/>
    </xf>
    <xf numFmtId="49" fontId="44" fillId="37" borderId="37" xfId="0" applyNumberFormat="1" applyFont="1" applyFill="1" applyBorder="1" applyAlignment="1">
      <alignment horizontal="center" vertical="center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49" fontId="44" fillId="37" borderId="38" xfId="0" applyNumberFormat="1" applyFont="1" applyFill="1" applyBorder="1" applyAlignment="1">
      <alignment horizontal="center" vertical="center" wrapText="1"/>
    </xf>
    <xf numFmtId="49" fontId="44" fillId="37" borderId="39" xfId="0" applyNumberFormat="1" applyFont="1" applyFill="1" applyBorder="1" applyAlignment="1">
      <alignment horizontal="center" vertical="center" wrapText="1"/>
    </xf>
    <xf numFmtId="22" fontId="44" fillId="37" borderId="50" xfId="0" applyNumberFormat="1" applyFont="1" applyFill="1" applyBorder="1" applyAlignment="1">
      <alignment horizontal="right" vertical="center" wrapText="1"/>
    </xf>
    <xf numFmtId="22" fontId="44" fillId="37" borderId="10" xfId="0" applyNumberFormat="1" applyFont="1" applyFill="1" applyBorder="1" applyAlignment="1">
      <alignment horizontal="right" vertical="center" wrapText="1"/>
    </xf>
    <xf numFmtId="22" fontId="44" fillId="37" borderId="13" xfId="0" applyNumberFormat="1" applyFont="1" applyFill="1" applyBorder="1" applyAlignment="1">
      <alignment horizontal="right" vertical="center" wrapText="1"/>
    </xf>
    <xf numFmtId="0" fontId="13" fillId="37" borderId="0" xfId="50" applyFont="1" applyFill="1" applyAlignment="1">
      <alignment horizontal="left"/>
    </xf>
    <xf numFmtId="0" fontId="41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49" fontId="45" fillId="37" borderId="0" xfId="0" applyNumberFormat="1" applyFont="1" applyFill="1" applyAlignment="1">
      <alignment horizontal="left" vertical="center" wrapText="1"/>
    </xf>
    <xf numFmtId="49" fontId="44" fillId="37" borderId="48" xfId="0" applyNumberFormat="1" applyFont="1" applyFill="1" applyBorder="1" applyAlignment="1">
      <alignment horizontal="center" vertical="center" wrapText="1"/>
    </xf>
    <xf numFmtId="49" fontId="44" fillId="37" borderId="49" xfId="0" applyNumberFormat="1" applyFont="1" applyFill="1" applyBorder="1" applyAlignment="1">
      <alignment horizontal="center" vertical="center" wrapText="1"/>
    </xf>
    <xf numFmtId="0" fontId="41" fillId="37" borderId="1" xfId="0" applyFont="1" applyFill="1" applyBorder="1" applyAlignment="1">
      <alignment horizontal="left"/>
    </xf>
    <xf numFmtId="0" fontId="41" fillId="37" borderId="2" xfId="0" applyFont="1" applyFill="1" applyBorder="1" applyAlignment="1">
      <alignment horizontal="left"/>
    </xf>
    <xf numFmtId="0" fontId="41" fillId="37" borderId="3" xfId="0" applyFont="1" applyFill="1" applyBorder="1" applyAlignment="1">
      <alignment horizontal="left"/>
    </xf>
    <xf numFmtId="0" fontId="101" fillId="37" borderId="36" xfId="0" applyFont="1" applyFill="1" applyBorder="1" applyAlignment="1">
      <alignment horizontal="right" vertical="center" wrapText="1"/>
    </xf>
    <xf numFmtId="0" fontId="101" fillId="37" borderId="37" xfId="0" applyFont="1" applyFill="1" applyBorder="1" applyAlignment="1">
      <alignment horizontal="right" vertical="center" wrapText="1"/>
    </xf>
    <xf numFmtId="0" fontId="101" fillId="37" borderId="47" xfId="0" applyFont="1" applyFill="1" applyBorder="1" applyAlignment="1">
      <alignment horizontal="right" vertical="center" wrapText="1"/>
    </xf>
    <xf numFmtId="14" fontId="11" fillId="37" borderId="0" xfId="50" applyNumberFormat="1" applyFont="1" applyFill="1" applyAlignment="1">
      <alignment horizontal="center"/>
    </xf>
    <xf numFmtId="3" fontId="13" fillId="37" borderId="4" xfId="52" applyNumberFormat="1" applyFont="1" applyFill="1" applyBorder="1" applyAlignment="1">
      <alignment horizontal="center"/>
    </xf>
    <xf numFmtId="0" fontId="12" fillId="44" borderId="8" xfId="0" applyFont="1" applyFill="1" applyBorder="1" applyAlignment="1">
      <alignment horizontal="center" vertical="center" wrapText="1"/>
    </xf>
    <xf numFmtId="0" fontId="12" fillId="44" borderId="22" xfId="0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left"/>
    </xf>
    <xf numFmtId="0" fontId="13" fillId="43" borderId="3" xfId="0" applyFont="1" applyFill="1" applyBorder="1" applyAlignment="1">
      <alignment horizontal="left"/>
    </xf>
    <xf numFmtId="0" fontId="13" fillId="37" borderId="1" xfId="52" applyFont="1" applyFill="1" applyBorder="1" applyAlignment="1">
      <alignment horizontal="center"/>
    </xf>
    <xf numFmtId="0" fontId="13" fillId="37" borderId="10" xfId="52" applyFont="1" applyFill="1" applyBorder="1" applyAlignment="1">
      <alignment horizontal="center"/>
    </xf>
    <xf numFmtId="4" fontId="13" fillId="37" borderId="7" xfId="52" applyNumberFormat="1" applyFont="1" applyFill="1" applyBorder="1" applyAlignment="1">
      <alignment horizontal="center" vertical="center"/>
    </xf>
    <xf numFmtId="4" fontId="13" fillId="37" borderId="9" xfId="52" applyNumberFormat="1" applyFont="1" applyFill="1" applyBorder="1" applyAlignment="1">
      <alignment horizontal="center" vertic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 vertical="center"/>
    </xf>
    <xf numFmtId="15" fontId="13" fillId="37" borderId="1" xfId="52" applyNumberFormat="1" applyFont="1" applyFill="1" applyBorder="1" applyAlignment="1">
      <alignment horizontal="left"/>
    </xf>
    <xf numFmtId="15" fontId="13" fillId="37" borderId="2" xfId="52" applyNumberFormat="1" applyFont="1" applyFill="1" applyBorder="1" applyAlignment="1">
      <alignment horizontal="left"/>
    </xf>
    <xf numFmtId="15" fontId="13" fillId="37" borderId="3" xfId="52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 wrapText="1"/>
    </xf>
    <xf numFmtId="0" fontId="13" fillId="37" borderId="11" xfId="52" applyFont="1" applyFill="1" applyBorder="1" applyAlignment="1">
      <alignment horizontal="center" wrapText="1"/>
    </xf>
    <xf numFmtId="15" fontId="13" fillId="37" borderId="4" xfId="52" applyNumberFormat="1" applyFont="1" applyFill="1" applyBorder="1" applyAlignment="1">
      <alignment horizontal="left"/>
    </xf>
    <xf numFmtId="0" fontId="51" fillId="37" borderId="0" xfId="50" applyFont="1" applyFill="1" applyAlignment="1">
      <alignment horizontal="center"/>
    </xf>
    <xf numFmtId="0" fontId="13" fillId="37" borderId="1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center"/>
    </xf>
    <xf numFmtId="0" fontId="13" fillId="37" borderId="1" xfId="50" applyFont="1" applyFill="1" applyBorder="1" applyAlignment="1">
      <alignment horizontal="center"/>
    </xf>
    <xf numFmtId="0" fontId="13" fillId="37" borderId="3" xfId="50" applyFont="1" applyFill="1" applyBorder="1" applyAlignment="1">
      <alignment horizontal="center"/>
    </xf>
    <xf numFmtId="15" fontId="12" fillId="37" borderId="1" xfId="52" applyNumberFormat="1" applyFont="1" applyFill="1" applyBorder="1" applyAlignment="1">
      <alignment horizontal="left"/>
    </xf>
    <xf numFmtId="15" fontId="12" fillId="37" borderId="3" xfId="52" applyNumberFormat="1" applyFont="1" applyFill="1" applyBorder="1" applyAlignment="1">
      <alignment horizontal="left"/>
    </xf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4" fillId="37" borderId="3" xfId="49" applyFont="1" applyFill="1" applyBorder="1" applyAlignment="1">
      <alignment horizontal="left"/>
    </xf>
    <xf numFmtId="0" fontId="57" fillId="37" borderId="33" xfId="0" applyFont="1" applyFill="1" applyBorder="1" applyAlignment="1">
      <alignment horizontal="left" vertical="center" wrapText="1"/>
    </xf>
    <xf numFmtId="14" fontId="13" fillId="37" borderId="1" xfId="52" applyNumberFormat="1" applyFont="1" applyFill="1" applyBorder="1" applyAlignment="1">
      <alignment horizontal="left"/>
    </xf>
    <xf numFmtId="14" fontId="13" fillId="37" borderId="2" xfId="52" applyNumberFormat="1" applyFont="1" applyFill="1" applyBorder="1" applyAlignment="1">
      <alignment horizontal="left"/>
    </xf>
    <xf numFmtId="14" fontId="13" fillId="37" borderId="3" xfId="52" applyNumberFormat="1" applyFont="1" applyFill="1" applyBorder="1" applyAlignment="1">
      <alignment horizontal="left"/>
    </xf>
    <xf numFmtId="0" fontId="13" fillId="0" borderId="1" xfId="52" applyFont="1" applyBorder="1" applyAlignment="1">
      <alignment horizontal="left"/>
    </xf>
    <xf numFmtId="0" fontId="13" fillId="0" borderId="3" xfId="52" applyFont="1" applyBorder="1" applyAlignment="1">
      <alignment horizontal="left"/>
    </xf>
    <xf numFmtId="0" fontId="13" fillId="37" borderId="1" xfId="50" applyFont="1" applyFill="1" applyBorder="1" applyAlignment="1">
      <alignment horizontal="left"/>
    </xf>
    <xf numFmtId="0" fontId="13" fillId="37" borderId="3" xfId="50" applyFont="1" applyFill="1" applyBorder="1" applyAlignment="1">
      <alignment horizontal="left"/>
    </xf>
    <xf numFmtId="0" fontId="13" fillId="37" borderId="2" xfId="50" applyFont="1" applyFill="1" applyBorder="1" applyAlignment="1">
      <alignment horizontal="left"/>
    </xf>
    <xf numFmtId="0" fontId="13" fillId="37" borderId="1" xfId="50" applyFont="1" applyFill="1" applyBorder="1" applyAlignment="1">
      <alignment horizontal="left" wrapText="1"/>
    </xf>
    <xf numFmtId="0" fontId="13" fillId="37" borderId="2" xfId="50" applyFont="1" applyFill="1" applyBorder="1" applyAlignment="1">
      <alignment horizontal="left" wrapText="1"/>
    </xf>
    <xf numFmtId="0" fontId="13" fillId="37" borderId="3" xfId="50" applyFont="1" applyFill="1" applyBorder="1" applyAlignment="1">
      <alignment horizontal="left" wrapText="1"/>
    </xf>
  </cellXfs>
  <cellStyles count="145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akcent 1" xfId="13" xr:uid="{00000000-0005-0000-0000-00000C000000}"/>
    <cellStyle name="60% - Énfasis1" xfId="14" builtinId="32" customBuiltin="1"/>
    <cellStyle name="60% - Énfasis1 2" xfId="71" xr:uid="{1BF18472-A8FE-437F-AFC6-3A7D403A9A60}"/>
    <cellStyle name="60% - Énfasis1 3" xfId="89" xr:uid="{369F8020-EC90-4DA7-AAF7-182A16644D0E}"/>
    <cellStyle name="60% - Énfasis1 4" xfId="118" xr:uid="{55DD93C8-4381-496E-9567-073A12810D1F}"/>
    <cellStyle name="60% - Énfasis1 5" xfId="168" xr:uid="{9114591B-33E2-465E-9868-F7C20485F83D}"/>
    <cellStyle name="60% - Énfasis1 6" xfId="257" xr:uid="{AA1B3865-FE2E-41CE-9A5B-E41C5F95F1BE}"/>
    <cellStyle name="60% - Énfasis1 7" xfId="272" xr:uid="{1955553B-DAC5-4510-BB71-C6308234C3E3}"/>
    <cellStyle name="60% - Énfasis1 8" xfId="445" xr:uid="{F92094AB-559C-4466-8C5A-98E8DBBF0AD4}"/>
    <cellStyle name="60% - Énfasis1 9" xfId="784" xr:uid="{382827C4-31C5-498D-8971-EB67199D52A2}"/>
    <cellStyle name="60% - Énfasis2" xfId="15" builtinId="36" customBuiltin="1"/>
    <cellStyle name="60% - Énfasis2 2" xfId="72" xr:uid="{5937C544-0077-4BC5-84D0-856B5D380479}"/>
    <cellStyle name="60% - Énfasis2 3" xfId="90" xr:uid="{D2B0FAC7-DF0C-4794-BA41-B463899C05E9}"/>
    <cellStyle name="60% - Énfasis2 4" xfId="119" xr:uid="{948785C5-A2E6-4885-BA78-2F99B92F5D50}"/>
    <cellStyle name="60% - Énfasis2 5" xfId="169" xr:uid="{D4325E09-18BB-4D3B-AAEC-C03CABAFDA82}"/>
    <cellStyle name="60% - Énfasis2 6" xfId="258" xr:uid="{0FAF861E-FD74-465F-A67B-3B0A95B16D64}"/>
    <cellStyle name="60% - Énfasis2 7" xfId="273" xr:uid="{6B350E66-0C90-4EF1-8B7A-2319F4E45F69}"/>
    <cellStyle name="60% - Énfasis2 8" xfId="446" xr:uid="{470AEEFF-ED56-4E43-B2AF-E871E186BCA8}"/>
    <cellStyle name="60% - Énfasis2 9" xfId="785" xr:uid="{492F125B-50C5-4547-82FB-7242EC73A413}"/>
    <cellStyle name="60% - Énfasis3" xfId="16" builtinId="40" customBuiltin="1"/>
    <cellStyle name="60% - Énfasis3 2" xfId="73" xr:uid="{72CE688A-5D90-4761-A473-55DAB9B41A05}"/>
    <cellStyle name="60% - Énfasis3 3" xfId="91" xr:uid="{27915E33-B920-4247-8D3E-A4208F5E1DCA}"/>
    <cellStyle name="60% - Énfasis3 4" xfId="120" xr:uid="{72DF466C-E45E-457D-A89C-28F0DE3B0089}"/>
    <cellStyle name="60% - Énfasis3 5" xfId="170" xr:uid="{4392DEC9-40ED-4649-A082-90659BF04A5F}"/>
    <cellStyle name="60% - Énfasis3 6" xfId="259" xr:uid="{0EFCF932-8331-462A-9FDB-E4F04D5D6818}"/>
    <cellStyle name="60% - Énfasis3 7" xfId="274" xr:uid="{3574CC6D-EFE8-4AF2-8072-09CA128054B2}"/>
    <cellStyle name="60% - Énfasis3 8" xfId="447" xr:uid="{A8573AFD-85CF-415E-9791-957ABA54F733}"/>
    <cellStyle name="60% - Énfasis3 9" xfId="786" xr:uid="{A19274CD-FD0E-4BFD-92BB-DB6D9AF3278E}"/>
    <cellStyle name="60% - Énfasis4" xfId="17" builtinId="44" customBuiltin="1"/>
    <cellStyle name="60% - Énfasis4 2" xfId="74" xr:uid="{F11520EA-3574-4DD8-87C3-CD15A7D86638}"/>
    <cellStyle name="60% - Énfasis4 3" xfId="92" xr:uid="{3C765A8C-D7C3-47CD-B820-292889E38EB2}"/>
    <cellStyle name="60% - Énfasis4 4" xfId="121" xr:uid="{6862ED6C-3CEC-4B5F-85DB-70F9064CE741}"/>
    <cellStyle name="60% - Énfasis4 5" xfId="171" xr:uid="{C7FD644D-3B31-4726-AEBE-C13C4DE0B097}"/>
    <cellStyle name="60% - Énfasis4 6" xfId="260" xr:uid="{F6CA85B1-493F-494B-BFA2-681C91407349}"/>
    <cellStyle name="60% - Énfasis4 7" xfId="275" xr:uid="{79AD45A6-B46A-4076-8497-CF5EEE7F49BA}"/>
    <cellStyle name="60% - Énfasis4 8" xfId="448" xr:uid="{6B7D8F06-B331-4E96-BA3E-EBE2B1ADB306}"/>
    <cellStyle name="60% - Énfasis4 9" xfId="787" xr:uid="{53B3355A-14C4-4BAE-8465-281B92F476D1}"/>
    <cellStyle name="60% - Énfasis5" xfId="18" builtinId="48" customBuiltin="1"/>
    <cellStyle name="60% - Énfasis5 2" xfId="75" xr:uid="{FCDF73F3-10FE-48A5-8532-E6D4A4A34463}"/>
    <cellStyle name="60% - Énfasis5 3" xfId="93" xr:uid="{9E3757F3-5E32-4CD5-8474-3E52D970B9D0}"/>
    <cellStyle name="60% - Énfasis5 4" xfId="122" xr:uid="{15259BF4-D646-4747-B6C2-67EFF7C67903}"/>
    <cellStyle name="60% - Énfasis5 5" xfId="172" xr:uid="{B47808FA-B03F-4524-A5F8-6E84D6C95F20}"/>
    <cellStyle name="60% - Énfasis5 6" xfId="261" xr:uid="{0C83020B-E1FB-4972-9B04-AC8D4129AE22}"/>
    <cellStyle name="60% - Énfasis5 7" xfId="276" xr:uid="{55D07E50-828F-473E-A67E-752837FC9103}"/>
    <cellStyle name="60% - Énfasis5 8" xfId="449" xr:uid="{3E6D2B4D-0C09-439A-98C9-DABEF15581AD}"/>
    <cellStyle name="60% - Énfasis5 9" xfId="788" xr:uid="{3CE2598B-845A-4DED-B674-79C92113EB6D}"/>
    <cellStyle name="60% - Énfasis6" xfId="19" builtinId="52" customBuiltin="1"/>
    <cellStyle name="60% - Énfasis6 2" xfId="76" xr:uid="{296EF08E-F66B-4041-8619-45816D572997}"/>
    <cellStyle name="60% - Énfasis6 3" xfId="94" xr:uid="{F73C80B3-1B14-4E3B-BAB1-BFE8305433A9}"/>
    <cellStyle name="60% - Énfasis6 4" xfId="123" xr:uid="{75EE2BAC-5DD9-4341-9739-5DDE0B836A71}"/>
    <cellStyle name="60% - Énfasis6 5" xfId="173" xr:uid="{1A208701-4FD0-465D-9C70-BE94AFFEECB1}"/>
    <cellStyle name="60% - Énfasis6 6" xfId="262" xr:uid="{3FB4387E-7D9D-4D78-9845-B6DFD5EF5039}"/>
    <cellStyle name="60% - Énfasis6 7" xfId="277" xr:uid="{DF3CDECD-95C1-44F1-90BF-52C654204913}"/>
    <cellStyle name="60% - Énfasis6 8" xfId="450" xr:uid="{E18230EE-7D2D-4D8A-BEAD-4ABD2855B924}"/>
    <cellStyle name="60% - Énfasis6 9" xfId="789" xr:uid="{7D6866DB-256F-4634-95C3-9D8B88D20978}"/>
    <cellStyle name="Bueno" xfId="20" builtinId="26" customBuiltin="1"/>
    <cellStyle name="Cálculo" xfId="21" builtinId="22" customBuiltin="1"/>
    <cellStyle name="Celda de comprobación" xfId="22" builtinId="23" customBuiltin="1"/>
    <cellStyle name="Celda vinculada" xfId="23" builtinId="24" customBuiltin="1"/>
    <cellStyle name="Encabezado 1" xfId="24" builtinId="16" customBuiltin="1"/>
    <cellStyle name="Encabezado 4" xfId="25" builtinId="19" customBuiltin="1"/>
    <cellStyle name="Énfasis1" xfId="26" builtinId="29" customBuiltin="1"/>
    <cellStyle name="Énfasis2" xfId="27" builtinId="33" customBuiltin="1"/>
    <cellStyle name="Énfasis3" xfId="28" builtinId="37" customBuiltin="1"/>
    <cellStyle name="Énfasis4" xfId="29" builtinId="41" customBuiltin="1"/>
    <cellStyle name="Énfasis5" xfId="30" builtinId="45" customBuiltin="1"/>
    <cellStyle name="Énfasis6" xfId="31" builtinId="49" customBuiltin="1"/>
    <cellStyle name="Entrada" xfId="32" builtinId="20" customBuiltin="1"/>
    <cellStyle name="Hipervínculo" xfId="33" builtinId="8"/>
    <cellStyle name="Incorrecto" xfId="34" builtinId="27" customBuiltin="1"/>
    <cellStyle name="Millares" xfId="35" builtinId="3"/>
    <cellStyle name="Millares [0]" xfId="66" builtinId="6"/>
    <cellStyle name="Millares [0] 10" xfId="181" xr:uid="{4583C352-9A59-4C90-8AA5-62605752B600}"/>
    <cellStyle name="Millares [0] 10 2" xfId="367" xr:uid="{AB9A222A-B7F9-430C-9659-6219F84F68FC}"/>
    <cellStyle name="Millares [0] 10 2 2" xfId="706" xr:uid="{E3FE52AB-AFD9-4D1C-820F-28FB0F29802C}"/>
    <cellStyle name="Millares [0] 10 2 2 2" xfId="1377" xr:uid="{D98C513D-55D3-46B1-9D76-6519746AFE74}"/>
    <cellStyle name="Millares [0] 10 2 3" xfId="1045" xr:uid="{DAE038A7-F956-49DE-912A-2A23F6889C4E}"/>
    <cellStyle name="Millares [0] 10 3" xfId="540" xr:uid="{04AE9783-332F-4F89-B317-CC7BFFBBE0A8}"/>
    <cellStyle name="Millares [0] 10 3 2" xfId="1211" xr:uid="{E00B07D9-B86D-4D80-904A-6D8035530AE8}"/>
    <cellStyle name="Millares [0] 10 4" xfId="879" xr:uid="{EB20F6B9-D77D-47ED-867B-95726072B586}"/>
    <cellStyle name="Millares [0] 11" xfId="271" xr:uid="{B4C2A0EA-6D33-4AFD-B9B2-D5DB15077C48}"/>
    <cellStyle name="Millares [0] 11 2" xfId="444" xr:uid="{E1E361BA-614C-4BCE-9FD1-E4ADCFE02E67}"/>
    <cellStyle name="Millares [0] 11 2 2" xfId="783" xr:uid="{56D33D63-722C-43F8-86B9-81ACD17FD229}"/>
    <cellStyle name="Millares [0] 11 2 2 2" xfId="1454" xr:uid="{C77DEA9F-E177-462B-85B7-7F9FE69D2B53}"/>
    <cellStyle name="Millares [0] 11 2 3" xfId="1122" xr:uid="{728DCF85-4390-43D7-961A-0D6077206414}"/>
    <cellStyle name="Millares [0] 11 3" xfId="617" xr:uid="{49F49073-75CC-4329-9712-4F51989CCAC2}"/>
    <cellStyle name="Millares [0] 11 3 2" xfId="1288" xr:uid="{5A56BA2F-62FF-42A9-AB21-74EA0B855847}"/>
    <cellStyle name="Millares [0] 11 4" xfId="956" xr:uid="{B7A8A3E5-42B6-4618-B8D1-8CB3F0E704AA}"/>
    <cellStyle name="Millares [0] 12" xfId="285" xr:uid="{DEF61A2B-1127-4584-AF74-B6576E41A3D4}"/>
    <cellStyle name="Millares [0] 12 2" xfId="624" xr:uid="{F442C2BE-F393-48C4-9E0A-7A50DD81EB17}"/>
    <cellStyle name="Millares [0] 12 2 2" xfId="1295" xr:uid="{B6709610-A634-410D-ACE8-57CB648B8CB9}"/>
    <cellStyle name="Millares [0] 12 3" xfId="963" xr:uid="{A4E5E8F7-B5E6-474B-B413-84B3E3F2BB1A}"/>
    <cellStyle name="Millares [0] 13" xfId="458" xr:uid="{EF26AC6A-EE88-4310-857D-22FA25F64AAC}"/>
    <cellStyle name="Millares [0] 13 2" xfId="1129" xr:uid="{177908B5-A6BD-4DC3-8C2C-AA4447385ED0}"/>
    <cellStyle name="Millares [0] 14" xfId="797" xr:uid="{E0A6723F-0437-4147-9F67-72815E05D386}"/>
    <cellStyle name="Millares [0] 2" xfId="36" xr:uid="{00000000-0005-0000-0000-000024000000}"/>
    <cellStyle name="Millares [0] 2 2" xfId="264" xr:uid="{1761C335-29D6-4FA9-B390-3B6EA9FB6DDD}"/>
    <cellStyle name="Millares [0] 3" xfId="37" xr:uid="{00000000-0005-0000-0000-000025000000}"/>
    <cellStyle name="Millares [0] 3 2" xfId="78" xr:uid="{E5510B7D-AE75-4BE0-AC80-FBF543681F67}"/>
    <cellStyle name="Millares [0] 3 2 2" xfId="107" xr:uid="{09C2D164-FCDC-4F33-9D03-856A4111AAC2}"/>
    <cellStyle name="Millares [0] 3 2 2 2" xfId="155" xr:uid="{02926A32-F7BE-4C64-9F8D-FB9D3AA5C207}"/>
    <cellStyle name="Millares [0] 3 2 2 2 2" xfId="244" xr:uid="{EF6B926B-54EE-48A5-8D3E-16997F41E778}"/>
    <cellStyle name="Millares [0] 3 2 2 2 2 2" xfId="430" xr:uid="{BD40E31F-0508-4596-9AAE-3D86622A02E1}"/>
    <cellStyle name="Millares [0] 3 2 2 2 2 2 2" xfId="769" xr:uid="{06888A25-1E6A-48E6-B759-2F46566EB82A}"/>
    <cellStyle name="Millares [0] 3 2 2 2 2 2 2 2" xfId="1440" xr:uid="{3B58C879-58D5-47CA-9F41-A7506A547B2F}"/>
    <cellStyle name="Millares [0] 3 2 2 2 2 2 3" xfId="1108" xr:uid="{200BD5AF-5C62-412B-9C25-AA7A924B2C81}"/>
    <cellStyle name="Millares [0] 3 2 2 2 2 3" xfId="603" xr:uid="{ADB7E020-FA59-4209-BB4F-67BBE61A515C}"/>
    <cellStyle name="Millares [0] 3 2 2 2 2 3 2" xfId="1274" xr:uid="{8452AB9E-B0F9-44A6-A7BC-352184F2DC6B}"/>
    <cellStyle name="Millares [0] 3 2 2 2 2 4" xfId="942" xr:uid="{F1E65DBD-F785-4D5B-8463-CD57F332A4C3}"/>
    <cellStyle name="Millares [0] 3 2 2 2 3" xfId="348" xr:uid="{CE44825C-140D-4987-A89E-591DF14D48CF}"/>
    <cellStyle name="Millares [0] 3 2 2 2 3 2" xfId="687" xr:uid="{70C7CBE4-F0CB-4210-B8BE-8239059A041E}"/>
    <cellStyle name="Millares [0] 3 2 2 2 3 2 2" xfId="1358" xr:uid="{1F53EDDF-4444-4503-B47D-0EE1B6117621}"/>
    <cellStyle name="Millares [0] 3 2 2 2 3 3" xfId="1026" xr:uid="{FAC9D3E8-62A6-422D-B620-C78C9F75884C}"/>
    <cellStyle name="Millares [0] 3 2 2 2 4" xfId="521" xr:uid="{DBA1951B-CBCE-45BB-A570-5D7F8D605FF6}"/>
    <cellStyle name="Millares [0] 3 2 2 2 4 2" xfId="1192" xr:uid="{E0CF14E5-EB89-45B4-9AAE-89F7DB91D735}"/>
    <cellStyle name="Millares [0] 3 2 2 2 5" xfId="860" xr:uid="{59FFFB7B-3211-4A7F-A333-6333F25B5456}"/>
    <cellStyle name="Millares [0] 3 2 2 3" xfId="204" xr:uid="{24C11C0D-A9A0-499B-B55F-F7013BCCAA11}"/>
    <cellStyle name="Millares [0] 3 2 2 3 2" xfId="390" xr:uid="{575166F1-22DF-4899-B92B-90D9A5BD33F2}"/>
    <cellStyle name="Millares [0] 3 2 2 3 2 2" xfId="729" xr:uid="{64D57989-5AFD-4878-B837-EBD186A05046}"/>
    <cellStyle name="Millares [0] 3 2 2 3 2 2 2" xfId="1400" xr:uid="{6E3197B2-27AA-4604-8752-6F6B2B064A5F}"/>
    <cellStyle name="Millares [0] 3 2 2 3 2 3" xfId="1068" xr:uid="{FAC7C481-1C2C-4627-AC42-21B30738728B}"/>
    <cellStyle name="Millares [0] 3 2 2 3 3" xfId="563" xr:uid="{B913233C-DC30-421F-B55B-4C4994504900}"/>
    <cellStyle name="Millares [0] 3 2 2 3 3 2" xfId="1234" xr:uid="{AEFB79A6-C836-4113-AE50-3966CB2389C8}"/>
    <cellStyle name="Millares [0] 3 2 2 3 4" xfId="902" xr:uid="{1CC06C3E-D2BB-4063-B7A7-C6C9170B2691}"/>
    <cellStyle name="Millares [0] 3 2 2 4" xfId="308" xr:uid="{B5D3AEB5-FEAC-4380-9067-0D3DF86B8949}"/>
    <cellStyle name="Millares [0] 3 2 2 4 2" xfId="647" xr:uid="{4B416B3B-F3C0-433A-8546-CE91C511E5C6}"/>
    <cellStyle name="Millares [0] 3 2 2 4 2 2" xfId="1318" xr:uid="{28241BE2-5C54-4A57-B2E7-93A23207FBD5}"/>
    <cellStyle name="Millares [0] 3 2 2 4 3" xfId="986" xr:uid="{1B4956E9-2060-4B2F-9CE4-4A08D1C4CD9F}"/>
    <cellStyle name="Millares [0] 3 2 2 5" xfId="481" xr:uid="{F235499C-B241-444F-8ADB-D860EB988340}"/>
    <cellStyle name="Millares [0] 3 2 2 5 2" xfId="1152" xr:uid="{C03499AE-4AC1-4EF6-852E-4EA1990CBF9A}"/>
    <cellStyle name="Millares [0] 3 2 2 6" xfId="820" xr:uid="{645FFE1B-E56A-4827-AD32-DB30417B2A4E}"/>
    <cellStyle name="Millares [0] 3 2 3" xfId="136" xr:uid="{49A7AB7B-E5D6-4267-A0A8-53326F865D0C}"/>
    <cellStyle name="Millares [0] 3 2 3 2" xfId="225" xr:uid="{9E577E8F-276A-48E7-88A1-74CA82B6FDCB}"/>
    <cellStyle name="Millares [0] 3 2 3 2 2" xfId="411" xr:uid="{C1A6A8E8-565F-4756-9FD6-FA07D2C5F296}"/>
    <cellStyle name="Millares [0] 3 2 3 2 2 2" xfId="750" xr:uid="{DDC09B90-187B-48E9-911D-272022CE7A42}"/>
    <cellStyle name="Millares [0] 3 2 3 2 2 2 2" xfId="1421" xr:uid="{1CC8A18C-1B2E-43EB-BA6E-F0001FED9E91}"/>
    <cellStyle name="Millares [0] 3 2 3 2 2 3" xfId="1089" xr:uid="{64582D62-E119-43F3-BD87-D3A625226AE3}"/>
    <cellStyle name="Millares [0] 3 2 3 2 3" xfId="584" xr:uid="{A595D008-8E1F-4062-9D40-99C919063C1E}"/>
    <cellStyle name="Millares [0] 3 2 3 2 3 2" xfId="1255" xr:uid="{2DEC52A5-B720-4C9F-8047-15759415F309}"/>
    <cellStyle name="Millares [0] 3 2 3 2 4" xfId="923" xr:uid="{FEE9F57B-2235-4809-B814-605F80C1E70E}"/>
    <cellStyle name="Millares [0] 3 2 3 3" xfId="329" xr:uid="{4DF590E7-0ECC-4507-B9DC-1A687F0B519A}"/>
    <cellStyle name="Millares [0] 3 2 3 3 2" xfId="668" xr:uid="{A06B9B80-8995-48A1-B158-DB8F0D2A4B50}"/>
    <cellStyle name="Millares [0] 3 2 3 3 2 2" xfId="1339" xr:uid="{8A620F6A-67BB-4F04-8348-EDF0FB227485}"/>
    <cellStyle name="Millares [0] 3 2 3 3 3" xfId="1007" xr:uid="{F022FD7F-3E7A-45CE-B9F4-C563DCC45CAC}"/>
    <cellStyle name="Millares [0] 3 2 3 4" xfId="502" xr:uid="{5CC19F49-A0E1-481D-A865-CFD3E7DE3D78}"/>
    <cellStyle name="Millares [0] 3 2 3 4 2" xfId="1173" xr:uid="{A3E18526-08E7-427A-B179-E2B1E54BDD2E}"/>
    <cellStyle name="Millares [0] 3 2 3 5" xfId="841" xr:uid="{14C4B7DF-0AD2-43B4-82C9-C9FE2000E020}"/>
    <cellStyle name="Millares [0] 3 2 4" xfId="185" xr:uid="{A66DC599-6DB5-4B2D-862C-29373B32D088}"/>
    <cellStyle name="Millares [0] 3 2 4 2" xfId="371" xr:uid="{4072F9E8-A59B-40B5-82D0-2E606857D3E9}"/>
    <cellStyle name="Millares [0] 3 2 4 2 2" xfId="710" xr:uid="{2064A65A-FBEB-49C1-8CFA-7926C1231906}"/>
    <cellStyle name="Millares [0] 3 2 4 2 2 2" xfId="1381" xr:uid="{914E6D99-DF54-43D4-915C-22F8257B506C}"/>
    <cellStyle name="Millares [0] 3 2 4 2 3" xfId="1049" xr:uid="{464F8C21-414B-418E-A387-90DA2E73E54B}"/>
    <cellStyle name="Millares [0] 3 2 4 3" xfId="544" xr:uid="{FF8C38D6-8EA3-48FB-9CCC-3AFA8111E356}"/>
    <cellStyle name="Millares [0] 3 2 4 3 2" xfId="1215" xr:uid="{45417F1A-B18E-4AE2-8AC3-65ABDFE0D75F}"/>
    <cellStyle name="Millares [0] 3 2 4 4" xfId="883" xr:uid="{F3B3C072-B98F-4F10-82C9-56E7F038BCD0}"/>
    <cellStyle name="Millares [0] 3 2 5" xfId="289" xr:uid="{033150F5-8697-4BF4-8081-FDD5E3C6A12F}"/>
    <cellStyle name="Millares [0] 3 2 5 2" xfId="628" xr:uid="{EE2C937F-8344-4370-88B4-88B4E2AEAF54}"/>
    <cellStyle name="Millares [0] 3 2 5 2 2" xfId="1299" xr:uid="{FAF0892A-D61F-49ED-BDED-2F8AD9A0B58A}"/>
    <cellStyle name="Millares [0] 3 2 5 3" xfId="967" xr:uid="{886105CD-7C80-4DE9-B9C1-FDB04C4219BE}"/>
    <cellStyle name="Millares [0] 3 2 6" xfId="462" xr:uid="{A79818BD-7AEE-4C1A-8833-98396546A885}"/>
    <cellStyle name="Millares [0] 3 2 6 2" xfId="1133" xr:uid="{6F9ABA91-F3AB-4E87-8023-B9CFE20AFD06}"/>
    <cellStyle name="Millares [0] 3 2 7" xfId="801" xr:uid="{3BD14471-5775-4041-8D7E-FAD0B2B5F4C8}"/>
    <cellStyle name="Millares [0] 3 3" xfId="96" xr:uid="{A8FEA64D-334C-4A45-85DB-F4431C6B1716}"/>
    <cellStyle name="Millares [0] 3 3 2" xfId="146" xr:uid="{33284763-7609-49C3-A289-5DF3750AE2FF}"/>
    <cellStyle name="Millares [0] 3 3 2 2" xfId="235" xr:uid="{7899C6C3-F418-4DF4-B3EB-76B1556A4489}"/>
    <cellStyle name="Millares [0] 3 3 2 2 2" xfId="421" xr:uid="{8CF10F17-F41B-497D-8B7B-C386EDC3561A}"/>
    <cellStyle name="Millares [0] 3 3 2 2 2 2" xfId="760" xr:uid="{C5E527CB-4DD9-4C09-A2CF-749402067F12}"/>
    <cellStyle name="Millares [0] 3 3 2 2 2 2 2" xfId="1431" xr:uid="{34D4A321-907D-45AE-9A91-E86ED54CE307}"/>
    <cellStyle name="Millares [0] 3 3 2 2 2 3" xfId="1099" xr:uid="{55B61790-23C5-4A5A-AB06-52E10B77D5B6}"/>
    <cellStyle name="Millares [0] 3 3 2 2 3" xfId="594" xr:uid="{1725552A-7537-41FE-B03D-E4BAD5B281F9}"/>
    <cellStyle name="Millares [0] 3 3 2 2 3 2" xfId="1265" xr:uid="{64E5743C-CF41-4CF6-94BB-CB7551805493}"/>
    <cellStyle name="Millares [0] 3 3 2 2 4" xfId="933" xr:uid="{EFF51736-3741-44CD-B755-4FE9E94040CF}"/>
    <cellStyle name="Millares [0] 3 3 2 3" xfId="339" xr:uid="{8EE09A28-F86C-4A08-ABF3-D005898A38C4}"/>
    <cellStyle name="Millares [0] 3 3 2 3 2" xfId="678" xr:uid="{72333E62-A928-49E5-A5B9-DC4DA323F4D6}"/>
    <cellStyle name="Millares [0] 3 3 2 3 2 2" xfId="1349" xr:uid="{D3FB5867-CAE6-48E1-B0C2-79481EC4382D}"/>
    <cellStyle name="Millares [0] 3 3 2 3 3" xfId="1017" xr:uid="{8EF62208-44FD-4AFA-AC76-8475A5B255D5}"/>
    <cellStyle name="Millares [0] 3 3 2 4" xfId="512" xr:uid="{AEBA9101-1501-4591-AD5C-56389BC82203}"/>
    <cellStyle name="Millares [0] 3 3 2 4 2" xfId="1183" xr:uid="{0944AF2B-E1B7-4DD7-8C2F-C529FFD467FA}"/>
    <cellStyle name="Millares [0] 3 3 2 5" xfId="851" xr:uid="{057A076D-CF44-447E-A75A-53B3ABE36E5A}"/>
    <cellStyle name="Millares [0] 3 3 3" xfId="195" xr:uid="{0507BA49-518E-4FEC-9C7B-B785B2CC65A2}"/>
    <cellStyle name="Millares [0] 3 3 3 2" xfId="381" xr:uid="{F01D3671-94A4-42E2-A77A-C01C1B37E74D}"/>
    <cellStyle name="Millares [0] 3 3 3 2 2" xfId="720" xr:uid="{88D89B06-6602-4627-AD9F-F8CB3A77F405}"/>
    <cellStyle name="Millares [0] 3 3 3 2 2 2" xfId="1391" xr:uid="{D2A81BEE-7AEC-4871-9CAB-AB4B7CF572A8}"/>
    <cellStyle name="Millares [0] 3 3 3 2 3" xfId="1059" xr:uid="{303FC46D-AA16-4130-9156-6340CF6A6C42}"/>
    <cellStyle name="Millares [0] 3 3 3 3" xfId="554" xr:uid="{911B6DA5-B887-4238-BBC3-D23D2F3F3CF4}"/>
    <cellStyle name="Millares [0] 3 3 3 3 2" xfId="1225" xr:uid="{243EF347-F9FD-4459-B726-A98A50C12B2F}"/>
    <cellStyle name="Millares [0] 3 3 3 4" xfId="893" xr:uid="{21B4BC13-AEBA-4BBE-ACA3-57781AF4B6FC}"/>
    <cellStyle name="Millares [0] 3 3 4" xfId="299" xr:uid="{A5971F20-CF26-4B7B-830C-681B4C764161}"/>
    <cellStyle name="Millares [0] 3 3 4 2" xfId="638" xr:uid="{939C8466-477A-4699-AA26-6C666FA4EA4E}"/>
    <cellStyle name="Millares [0] 3 3 4 2 2" xfId="1309" xr:uid="{7DC82AB0-79D9-425F-BD16-752D7ED50C4A}"/>
    <cellStyle name="Millares [0] 3 3 4 3" xfId="977" xr:uid="{14E9D522-D8AA-4960-8A76-F40A3CCD91CE}"/>
    <cellStyle name="Millares [0] 3 3 5" xfId="472" xr:uid="{CB154404-06D0-4FB2-89B0-DFEE433A117A}"/>
    <cellStyle name="Millares [0] 3 3 5 2" xfId="1143" xr:uid="{9BA5263D-D78B-4227-9922-5583F7BABEC0}"/>
    <cellStyle name="Millares [0] 3 3 6" xfId="811" xr:uid="{75770AAB-B6FF-4770-8A8E-8F5012A9D1EA}"/>
    <cellStyle name="Millares [0] 3 4" xfId="125" xr:uid="{AA8F2DEB-A8FB-4043-980F-1F0FE0202DCD}"/>
    <cellStyle name="Millares [0] 3 4 2" xfId="216" xr:uid="{0E954D79-25AC-4505-BA64-05732ADB5F9C}"/>
    <cellStyle name="Millares [0] 3 4 2 2" xfId="402" xr:uid="{D9AE90C1-12E2-4646-BAD9-7CB2BBB4E2C7}"/>
    <cellStyle name="Millares [0] 3 4 2 2 2" xfId="741" xr:uid="{FCCB76D7-99FF-43BE-AA67-E52F3C13C2F2}"/>
    <cellStyle name="Millares [0] 3 4 2 2 2 2" xfId="1412" xr:uid="{FF73B258-0100-4533-9CE6-7283276076C1}"/>
    <cellStyle name="Millares [0] 3 4 2 2 3" xfId="1080" xr:uid="{6E970160-B0FB-4C35-A600-79C6EC81365F}"/>
    <cellStyle name="Millares [0] 3 4 2 3" xfId="575" xr:uid="{9413AFF9-000C-4C66-BC52-9A694F7E1ADA}"/>
    <cellStyle name="Millares [0] 3 4 2 3 2" xfId="1246" xr:uid="{5433FB03-5FA8-40BC-9B13-5EB037F1A4AE}"/>
    <cellStyle name="Millares [0] 3 4 2 4" xfId="914" xr:uid="{AD427A10-C5F2-4F28-8A95-7B33695D1A92}"/>
    <cellStyle name="Millares [0] 3 4 3" xfId="320" xr:uid="{CAC56C51-04F2-40A2-BC1E-3D8E8FC78CA0}"/>
    <cellStyle name="Millares [0] 3 4 3 2" xfId="659" xr:uid="{D215B5F8-BA13-4CE7-8CF7-3A3A4AA04E59}"/>
    <cellStyle name="Millares [0] 3 4 3 2 2" xfId="1330" xr:uid="{6ED7485A-6F70-49EC-8B70-78EEB2EC9420}"/>
    <cellStyle name="Millares [0] 3 4 3 3" xfId="998" xr:uid="{115205BE-81F5-4BF3-B493-70BF1C58C08C}"/>
    <cellStyle name="Millares [0] 3 4 4" xfId="493" xr:uid="{8933D771-2E7D-49B4-B602-8E12576B4FD1}"/>
    <cellStyle name="Millares [0] 3 4 4 2" xfId="1164" xr:uid="{5B378A2D-055A-4FC1-8196-AE2915CCE331}"/>
    <cellStyle name="Millares [0] 3 4 5" xfId="832" xr:uid="{0A0B6118-9B43-4C06-A21A-75F1AA317B37}"/>
    <cellStyle name="Millares [0] 3 5" xfId="175" xr:uid="{2D4B2737-BA4B-43BC-A2A0-2F844AC6E549}"/>
    <cellStyle name="Millares [0] 3 5 2" xfId="362" xr:uid="{E0155D31-7DAD-459A-801F-BA803D2FA288}"/>
    <cellStyle name="Millares [0] 3 5 2 2" xfId="701" xr:uid="{468238FF-10E8-4E38-BC1A-48AC82CB9C65}"/>
    <cellStyle name="Millares [0] 3 5 2 2 2" xfId="1372" xr:uid="{76C2FE57-7C17-4837-80AD-551BACD1AED6}"/>
    <cellStyle name="Millares [0] 3 5 2 3" xfId="1040" xr:uid="{FD1CFB7A-4DAB-43CC-9A26-C86D7D8A513B}"/>
    <cellStyle name="Millares [0] 3 5 3" xfId="535" xr:uid="{DC4AB766-BD9F-4014-9C48-2FA978753C48}"/>
    <cellStyle name="Millares [0] 3 5 3 2" xfId="1206" xr:uid="{C9D1D72C-F120-4623-AC22-8AB129F98866}"/>
    <cellStyle name="Millares [0] 3 5 4" xfId="874" xr:uid="{5245C865-6EF2-45D9-AEFD-74D71447DDC5}"/>
    <cellStyle name="Millares [0] 3 6" xfId="279" xr:uid="{2863C6E6-FFD7-471C-8802-F8405ED459A0}"/>
    <cellStyle name="Millares [0] 3 6 2" xfId="619" xr:uid="{209D9994-BE84-48F2-A919-7A8584C1B152}"/>
    <cellStyle name="Millares [0] 3 6 2 2" xfId="1290" xr:uid="{377B2B53-F9F5-444E-B36A-DDC336BB05B0}"/>
    <cellStyle name="Millares [0] 3 6 3" xfId="958" xr:uid="{C2AC0EED-C149-45B8-9F79-2EBBFDC7789E}"/>
    <cellStyle name="Millares [0] 3 7" xfId="452" xr:uid="{E91B8B76-E642-4AA6-8276-AC5D2E60B46E}"/>
    <cellStyle name="Millares [0] 3 7 2" xfId="1124" xr:uid="{AAD00E7C-E820-4F19-9F46-E5AE9E3C616F}"/>
    <cellStyle name="Millares [0] 3 8" xfId="791" xr:uid="{C5888B45-A214-4341-8FCD-5FE07AD3A0A0}"/>
    <cellStyle name="Millares [0] 34" xfId="38" xr:uid="{00000000-0005-0000-0000-000026000000}"/>
    <cellStyle name="Millares [0] 34 2" xfId="79" xr:uid="{8653BEBC-6872-44F5-83EA-80429E3A2DFE}"/>
    <cellStyle name="Millares [0] 34 2 2" xfId="108" xr:uid="{2412935E-23F8-451D-9ED0-F023B922C2FA}"/>
    <cellStyle name="Millares [0] 34 2 2 2" xfId="156" xr:uid="{1ED8FF4C-F072-46E3-88BE-F7B3632DC139}"/>
    <cellStyle name="Millares [0] 34 2 2 2 2" xfId="245" xr:uid="{B8A274F9-6F2E-4A7E-9648-9FFA721D050C}"/>
    <cellStyle name="Millares [0] 34 2 2 2 2 2" xfId="431" xr:uid="{14E911EE-572D-4F90-9DAC-696FFA598CC4}"/>
    <cellStyle name="Millares [0] 34 2 2 2 2 2 2" xfId="770" xr:uid="{C859E4C3-4170-4CD1-83F6-626C62667629}"/>
    <cellStyle name="Millares [0] 34 2 2 2 2 2 2 2" xfId="1441" xr:uid="{2EC38E82-CFFE-404E-8CD3-F37B643E812B}"/>
    <cellStyle name="Millares [0] 34 2 2 2 2 2 3" xfId="1109" xr:uid="{1680C66B-BAAE-4296-9C35-ABC576A1A144}"/>
    <cellStyle name="Millares [0] 34 2 2 2 2 3" xfId="604" xr:uid="{C46B3EFD-14D1-46A8-89AB-5FB6B0EA927D}"/>
    <cellStyle name="Millares [0] 34 2 2 2 2 3 2" xfId="1275" xr:uid="{20378D22-9996-463E-8A35-4B9D7960EFC9}"/>
    <cellStyle name="Millares [0] 34 2 2 2 2 4" xfId="943" xr:uid="{A9AFA00C-BED7-412B-9DFF-C03FD9BB7E2B}"/>
    <cellStyle name="Millares [0] 34 2 2 2 3" xfId="349" xr:uid="{25D35DBD-DC64-41B8-B872-07CADF9ACEFD}"/>
    <cellStyle name="Millares [0] 34 2 2 2 3 2" xfId="688" xr:uid="{1F6E2441-509B-4869-B1FB-A725FEA7CFD3}"/>
    <cellStyle name="Millares [0] 34 2 2 2 3 2 2" xfId="1359" xr:uid="{166F71F3-4B64-4698-B728-94961BCD9903}"/>
    <cellStyle name="Millares [0] 34 2 2 2 3 3" xfId="1027" xr:uid="{E4D155BB-5CC5-4C4B-B6A0-DF77F07D5257}"/>
    <cellStyle name="Millares [0] 34 2 2 2 4" xfId="522" xr:uid="{9CBB06F4-9C1F-4943-9BFA-80A8315D46F6}"/>
    <cellStyle name="Millares [0] 34 2 2 2 4 2" xfId="1193" xr:uid="{8D2BB02C-A8FF-4824-8479-F59809B73C3B}"/>
    <cellStyle name="Millares [0] 34 2 2 2 5" xfId="861" xr:uid="{23444EE1-7884-4039-865D-9A935A54A5E0}"/>
    <cellStyle name="Millares [0] 34 2 2 3" xfId="205" xr:uid="{6A93ED07-9F25-4E04-A2BF-C06A7971D870}"/>
    <cellStyle name="Millares [0] 34 2 2 3 2" xfId="391" xr:uid="{DF6E5631-9D19-474D-B3FC-D3E80A4E0803}"/>
    <cellStyle name="Millares [0] 34 2 2 3 2 2" xfId="730" xr:uid="{B2BE94F0-EA07-416F-AA69-8150474F3B11}"/>
    <cellStyle name="Millares [0] 34 2 2 3 2 2 2" xfId="1401" xr:uid="{9E8AB466-F611-4CF5-B890-B4D956E09822}"/>
    <cellStyle name="Millares [0] 34 2 2 3 2 3" xfId="1069" xr:uid="{BDC91775-EE9C-4408-B18A-004D55999F36}"/>
    <cellStyle name="Millares [0] 34 2 2 3 3" xfId="564" xr:uid="{C5B018C6-C184-405A-832D-987C878CA104}"/>
    <cellStyle name="Millares [0] 34 2 2 3 3 2" xfId="1235" xr:uid="{BC821DEA-F2FA-4AB5-A2AC-130C015BAA9E}"/>
    <cellStyle name="Millares [0] 34 2 2 3 4" xfId="903" xr:uid="{DC9F48FA-BBCA-401A-9EBD-015F1F83679C}"/>
    <cellStyle name="Millares [0] 34 2 2 4" xfId="309" xr:uid="{B9AC089D-B34D-409D-9B7E-C4C9BC8722A4}"/>
    <cellStyle name="Millares [0] 34 2 2 4 2" xfId="648" xr:uid="{C44CE541-54C5-4736-B91C-812403972EE7}"/>
    <cellStyle name="Millares [0] 34 2 2 4 2 2" xfId="1319" xr:uid="{94E78950-7D76-4ED5-B1F8-B1DF87772F48}"/>
    <cellStyle name="Millares [0] 34 2 2 4 3" xfId="987" xr:uid="{DAE11D5D-BF29-47F5-804D-8A1548FF859C}"/>
    <cellStyle name="Millares [0] 34 2 2 5" xfId="482" xr:uid="{5C8ED382-05A5-4E01-81B7-9B61CE2EBFDF}"/>
    <cellStyle name="Millares [0] 34 2 2 5 2" xfId="1153" xr:uid="{01992BD5-FEC4-4D50-A579-3DB4864688B9}"/>
    <cellStyle name="Millares [0] 34 2 2 6" xfId="821" xr:uid="{2FCB3EEA-1A5F-4861-93B9-DF1C5ABA6BE5}"/>
    <cellStyle name="Millares [0] 34 2 3" xfId="137" xr:uid="{4CE04C7E-AAEF-439C-980B-DB762890D98A}"/>
    <cellStyle name="Millares [0] 34 2 3 2" xfId="226" xr:uid="{BC2786FB-E001-4FAC-AD7A-FF792E992498}"/>
    <cellStyle name="Millares [0] 34 2 3 2 2" xfId="412" xr:uid="{EEC5A78A-4ED7-413D-BD5C-C2362C40FE0F}"/>
    <cellStyle name="Millares [0] 34 2 3 2 2 2" xfId="751" xr:uid="{A2F410B4-1100-49CF-A366-7F34354BE30E}"/>
    <cellStyle name="Millares [0] 34 2 3 2 2 2 2" xfId="1422" xr:uid="{A2D17077-74F7-4645-B660-2794BF36C81E}"/>
    <cellStyle name="Millares [0] 34 2 3 2 2 3" xfId="1090" xr:uid="{A5ED726D-9995-4B7F-8BFD-0D9AF567A21E}"/>
    <cellStyle name="Millares [0] 34 2 3 2 3" xfId="585" xr:uid="{719F37CD-43E2-4111-85F3-DC76AC262B2A}"/>
    <cellStyle name="Millares [0] 34 2 3 2 3 2" xfId="1256" xr:uid="{7C21FA01-9CA6-44BA-95BD-2A288C646686}"/>
    <cellStyle name="Millares [0] 34 2 3 2 4" xfId="924" xr:uid="{16FB5162-7971-47C6-813E-B1D239F20CDD}"/>
    <cellStyle name="Millares [0] 34 2 3 3" xfId="330" xr:uid="{529E9B12-7CA9-45BF-8084-4B1D829DAF02}"/>
    <cellStyle name="Millares [0] 34 2 3 3 2" xfId="669" xr:uid="{BC3C275E-C568-4C1E-B570-B55693D0412F}"/>
    <cellStyle name="Millares [0] 34 2 3 3 2 2" xfId="1340" xr:uid="{89259299-3DB0-41B9-B77B-B33D0C20E8BF}"/>
    <cellStyle name="Millares [0] 34 2 3 3 3" xfId="1008" xr:uid="{BE059E61-21FF-4B3B-BCEB-2D2079E2D0D8}"/>
    <cellStyle name="Millares [0] 34 2 3 4" xfId="503" xr:uid="{7BEFF773-03E4-43F0-9BA3-1BD21E1AD102}"/>
    <cellStyle name="Millares [0] 34 2 3 4 2" xfId="1174" xr:uid="{6A96ACCD-961E-4FC3-9C64-C568E9C5835B}"/>
    <cellStyle name="Millares [0] 34 2 3 5" xfId="842" xr:uid="{BD900511-2D9A-420C-8450-F6F6CFDB8D44}"/>
    <cellStyle name="Millares [0] 34 2 4" xfId="186" xr:uid="{B1F5F681-0B1C-4B30-A330-5ABF639C4CA9}"/>
    <cellStyle name="Millares [0] 34 2 4 2" xfId="372" xr:uid="{4640998F-7885-44CF-878C-3C2F55D5A0FC}"/>
    <cellStyle name="Millares [0] 34 2 4 2 2" xfId="711" xr:uid="{DF94F509-8FEB-4862-A0B3-4BB125C78DC4}"/>
    <cellStyle name="Millares [0] 34 2 4 2 2 2" xfId="1382" xr:uid="{8DD5302C-895D-4DFB-8B72-6D343C230DFE}"/>
    <cellStyle name="Millares [0] 34 2 4 2 3" xfId="1050" xr:uid="{C5313014-D8AC-41DD-8E27-29848F9222F0}"/>
    <cellStyle name="Millares [0] 34 2 4 3" xfId="545" xr:uid="{5E4B7521-FA70-42D5-AB63-2E2D4CC09D52}"/>
    <cellStyle name="Millares [0] 34 2 4 3 2" xfId="1216" xr:uid="{3449233B-8564-44F1-B95C-9963E8C3ACBB}"/>
    <cellStyle name="Millares [0] 34 2 4 4" xfId="884" xr:uid="{07636CF4-1008-4DF8-8B68-555E02ED673F}"/>
    <cellStyle name="Millares [0] 34 2 5" xfId="290" xr:uid="{A3B7F099-A53D-4290-A997-6730E90D0485}"/>
    <cellStyle name="Millares [0] 34 2 5 2" xfId="629" xr:uid="{1A872914-07D2-4660-9F22-9DAA418C7B13}"/>
    <cellStyle name="Millares [0] 34 2 5 2 2" xfId="1300" xr:uid="{106779CB-CAC1-49F6-A195-FB825111CC22}"/>
    <cellStyle name="Millares [0] 34 2 5 3" xfId="968" xr:uid="{549CB637-B941-47B5-AD62-66DD0E6DDF3E}"/>
    <cellStyle name="Millares [0] 34 2 6" xfId="463" xr:uid="{2AE13B23-ABA8-495A-819A-B996098EE259}"/>
    <cellStyle name="Millares [0] 34 2 6 2" xfId="1134" xr:uid="{24079FBC-26E3-42FF-88AD-6686FCE444DB}"/>
    <cellStyle name="Millares [0] 34 2 7" xfId="802" xr:uid="{9A9D4F5F-665D-4477-9478-9544321E5CF3}"/>
    <cellStyle name="Millares [0] 34 3" xfId="97" xr:uid="{4F50265B-7D4F-4CAF-A2D9-3C4FDC290BDB}"/>
    <cellStyle name="Millares [0] 34 3 2" xfId="147" xr:uid="{14BA1D89-B0D9-4687-B932-00AE9628997D}"/>
    <cellStyle name="Millares [0] 34 3 2 2" xfId="236" xr:uid="{17D97576-31F0-462D-BB0D-78E0FEA6BA1E}"/>
    <cellStyle name="Millares [0] 34 3 2 2 2" xfId="422" xr:uid="{31D357EE-60CB-4435-AAD3-EBBEC16690AB}"/>
    <cellStyle name="Millares [0] 34 3 2 2 2 2" xfId="761" xr:uid="{9986883B-9E4B-4552-8E3F-9738B2231AA6}"/>
    <cellStyle name="Millares [0] 34 3 2 2 2 2 2" xfId="1432" xr:uid="{C4F9BE04-5E1F-456E-AF92-5A6D1F23645D}"/>
    <cellStyle name="Millares [0] 34 3 2 2 2 3" xfId="1100" xr:uid="{F13676E0-F4A3-49DB-A7CB-475878661D0F}"/>
    <cellStyle name="Millares [0] 34 3 2 2 3" xfId="595" xr:uid="{BF031A5F-100A-4B45-9952-4EADC04C43E6}"/>
    <cellStyle name="Millares [0] 34 3 2 2 3 2" xfId="1266" xr:uid="{1FE5AE5F-6AE6-41CB-9B01-C206F990DBE3}"/>
    <cellStyle name="Millares [0] 34 3 2 2 4" xfId="934" xr:uid="{7D4F2A17-FAB1-475F-A5BA-2ECABDB1D6E0}"/>
    <cellStyle name="Millares [0] 34 3 2 3" xfId="340" xr:uid="{FA78079D-2541-4007-84A6-FFAC3BB4A920}"/>
    <cellStyle name="Millares [0] 34 3 2 3 2" xfId="679" xr:uid="{F169D533-AC96-46A4-BCF2-C0D74A8DEB7C}"/>
    <cellStyle name="Millares [0] 34 3 2 3 2 2" xfId="1350" xr:uid="{6623D5AA-E5CA-4F65-8ABF-336E8A582653}"/>
    <cellStyle name="Millares [0] 34 3 2 3 3" xfId="1018" xr:uid="{EFA84EBD-9978-4788-8C20-21C5AD8C6268}"/>
    <cellStyle name="Millares [0] 34 3 2 4" xfId="513" xr:uid="{FE202F9E-84DF-4887-BD40-484ED7A850C0}"/>
    <cellStyle name="Millares [0] 34 3 2 4 2" xfId="1184" xr:uid="{05D19D11-5CE4-4F86-8C06-A708987452CF}"/>
    <cellStyle name="Millares [0] 34 3 2 5" xfId="852" xr:uid="{F410ADFF-E9B4-4444-B252-B43DEA6A1EBD}"/>
    <cellStyle name="Millares [0] 34 3 3" xfId="196" xr:uid="{9C07FEBC-E524-40A2-9E2C-70D6E6274EB3}"/>
    <cellStyle name="Millares [0] 34 3 3 2" xfId="382" xr:uid="{494E2E31-3BDA-4403-8064-6D1A5E1E1C8B}"/>
    <cellStyle name="Millares [0] 34 3 3 2 2" xfId="721" xr:uid="{EE24F5DC-8FA0-4034-B663-1AC57AFF6D5C}"/>
    <cellStyle name="Millares [0] 34 3 3 2 2 2" xfId="1392" xr:uid="{A206086A-A1A7-4BD8-9FAB-721259CF0D21}"/>
    <cellStyle name="Millares [0] 34 3 3 2 3" xfId="1060" xr:uid="{DCDF9AEE-E262-4757-93AF-B69EFF0EB842}"/>
    <cellStyle name="Millares [0] 34 3 3 3" xfId="555" xr:uid="{2DA3AA51-8D75-4A21-B29D-2C76751C758C}"/>
    <cellStyle name="Millares [0] 34 3 3 3 2" xfId="1226" xr:uid="{32AD38AD-7FD2-4CE9-8C69-7F024291BE97}"/>
    <cellStyle name="Millares [0] 34 3 3 4" xfId="894" xr:uid="{72147470-CE10-4273-A1CD-F036D8D2BC97}"/>
    <cellStyle name="Millares [0] 34 3 4" xfId="300" xr:uid="{013DDC9E-FE8F-4AA8-A187-531BCBA4F31F}"/>
    <cellStyle name="Millares [0] 34 3 4 2" xfId="639" xr:uid="{D5A63BA6-2892-42C7-9F76-741EF61B1E7F}"/>
    <cellStyle name="Millares [0] 34 3 4 2 2" xfId="1310" xr:uid="{4D59C54B-31EA-4CEA-9070-DDF1D696A77F}"/>
    <cellStyle name="Millares [0] 34 3 4 3" xfId="978" xr:uid="{6166535C-8019-480F-B445-7DE0481A9B91}"/>
    <cellStyle name="Millares [0] 34 3 5" xfId="473" xr:uid="{69CEF8F1-E9BC-4D41-BDC8-22E64A1BBF38}"/>
    <cellStyle name="Millares [0] 34 3 5 2" xfId="1144" xr:uid="{1D430959-84E0-4B78-91FD-58C7B7D026A4}"/>
    <cellStyle name="Millares [0] 34 3 6" xfId="812" xr:uid="{D1601CE0-D92A-4EC8-AC6E-318562297B8D}"/>
    <cellStyle name="Millares [0] 34 4" xfId="126" xr:uid="{E4EBCC18-35B4-43A2-A742-C65988A70560}"/>
    <cellStyle name="Millares [0] 34 4 2" xfId="217" xr:uid="{88AC430D-F1E0-45EA-9444-FF35C16A4ECD}"/>
    <cellStyle name="Millares [0] 34 4 2 2" xfId="403" xr:uid="{8A102BEC-B119-4C91-A5DA-1A10E592864F}"/>
    <cellStyle name="Millares [0] 34 4 2 2 2" xfId="742" xr:uid="{A9641135-55B9-41EF-BEAB-5A20070A2971}"/>
    <cellStyle name="Millares [0] 34 4 2 2 2 2" xfId="1413" xr:uid="{916C7229-64AB-4B04-A9F7-624BF927830D}"/>
    <cellStyle name="Millares [0] 34 4 2 2 3" xfId="1081" xr:uid="{37D3143C-A190-4077-923B-2DA617B05211}"/>
    <cellStyle name="Millares [0] 34 4 2 3" xfId="576" xr:uid="{90E67687-29F2-4165-8E33-FE779D220AB6}"/>
    <cellStyle name="Millares [0] 34 4 2 3 2" xfId="1247" xr:uid="{D4C6D17B-2971-4EA6-90D7-24318366FDC6}"/>
    <cellStyle name="Millares [0] 34 4 2 4" xfId="915" xr:uid="{E52D3BC2-C965-497F-8579-D7CF33DF9E66}"/>
    <cellStyle name="Millares [0] 34 4 3" xfId="321" xr:uid="{61BCF233-DBD5-448E-9282-E96112CA0CEB}"/>
    <cellStyle name="Millares [0] 34 4 3 2" xfId="660" xr:uid="{77D22C12-D0EB-4315-BFB1-C10C75268287}"/>
    <cellStyle name="Millares [0] 34 4 3 2 2" xfId="1331" xr:uid="{4A65A852-EB63-4CFD-B5FD-3433E4AAC355}"/>
    <cellStyle name="Millares [0] 34 4 3 3" xfId="999" xr:uid="{8E0CB106-47E5-45BA-9826-5873E4B49163}"/>
    <cellStyle name="Millares [0] 34 4 4" xfId="494" xr:uid="{3E7E7FD6-7476-4021-BF5F-2BE5A91FA9A7}"/>
    <cellStyle name="Millares [0] 34 4 4 2" xfId="1165" xr:uid="{E4AA0C26-A5B5-4CA5-8ADA-D1391310CB73}"/>
    <cellStyle name="Millares [0] 34 4 5" xfId="833" xr:uid="{04328650-FC12-4CB2-B07F-4F48AF5238D0}"/>
    <cellStyle name="Millares [0] 34 5" xfId="176" xr:uid="{9857C0CA-337B-48AF-A9D8-0468F9328E3B}"/>
    <cellStyle name="Millares [0] 34 5 2" xfId="363" xr:uid="{A41B9734-065B-4953-99F3-364A6EEB9371}"/>
    <cellStyle name="Millares [0] 34 5 2 2" xfId="702" xr:uid="{5D991286-9C92-4367-BB2F-EF226369A15C}"/>
    <cellStyle name="Millares [0] 34 5 2 2 2" xfId="1373" xr:uid="{1D967BE0-7821-4E3E-B000-C561E1673031}"/>
    <cellStyle name="Millares [0] 34 5 2 3" xfId="1041" xr:uid="{2BEA3F5D-3408-446B-ADF3-A81920580563}"/>
    <cellStyle name="Millares [0] 34 5 3" xfId="536" xr:uid="{D82BEC53-41B6-4694-9B32-CF0DD2F58326}"/>
    <cellStyle name="Millares [0] 34 5 3 2" xfId="1207" xr:uid="{684C9499-1CB5-4C04-8282-FFB0BD71E729}"/>
    <cellStyle name="Millares [0] 34 5 4" xfId="875" xr:uid="{B84CF492-429C-4CCA-91AB-1207CA643653}"/>
    <cellStyle name="Millares [0] 34 6" xfId="280" xr:uid="{A97C15C1-C150-4D9F-957C-608350BEB060}"/>
    <cellStyle name="Millares [0] 34 6 2" xfId="620" xr:uid="{992B080C-A81A-4790-AB1C-5FEE615B79CD}"/>
    <cellStyle name="Millares [0] 34 6 2 2" xfId="1291" xr:uid="{EACB0C7B-5C8A-4904-ADC0-7CC5524272F7}"/>
    <cellStyle name="Millares [0] 34 6 3" xfId="959" xr:uid="{5C7FD855-B37B-4693-96BD-62852D3799B1}"/>
    <cellStyle name="Millares [0] 34 7" xfId="453" xr:uid="{469B750B-654A-47DE-918A-6FB2D7131B0F}"/>
    <cellStyle name="Millares [0] 34 7 2" xfId="1125" xr:uid="{76C8444E-7FD8-4A4D-A3A5-95C369BA264A}"/>
    <cellStyle name="Millares [0] 34 8" xfId="792" xr:uid="{8BDC980F-DA14-415C-806A-F85B2B68366C}"/>
    <cellStyle name="Millares [0] 4" xfId="84" xr:uid="{D1453741-F0A3-43A5-979F-FBED26CE4F7B}"/>
    <cellStyle name="Millares [0] 4 2" xfId="112" xr:uid="{C10BE1FC-A066-499E-86B1-922035CD79E3}"/>
    <cellStyle name="Millares [0] 4 2 2" xfId="160" xr:uid="{9D6A62FE-E3A2-46AB-836F-0CF99ACDE657}"/>
    <cellStyle name="Millares [0] 4 2 2 2" xfId="249" xr:uid="{9893F876-C3FF-46E6-B0E8-5E1CE1B2512D}"/>
    <cellStyle name="Millares [0] 4 2 2 2 2" xfId="435" xr:uid="{3482CD56-9921-4584-BA20-FE93F9458235}"/>
    <cellStyle name="Millares [0] 4 2 2 2 2 2" xfId="774" xr:uid="{E2BC543C-A9BE-424C-B5AF-8EFE4354CF15}"/>
    <cellStyle name="Millares [0] 4 2 2 2 2 2 2" xfId="1445" xr:uid="{7BD5444E-3401-4DC6-B5C7-165FED108431}"/>
    <cellStyle name="Millares [0] 4 2 2 2 2 3" xfId="1113" xr:uid="{DE8377C3-A750-4635-B2C5-A5A482F4A26A}"/>
    <cellStyle name="Millares [0] 4 2 2 2 3" xfId="608" xr:uid="{59F768CB-2907-4323-BC29-391A9AC6FC62}"/>
    <cellStyle name="Millares [0] 4 2 2 2 3 2" xfId="1279" xr:uid="{BFB0652D-CDDC-4EEF-8870-3F9D19DF7F12}"/>
    <cellStyle name="Millares [0] 4 2 2 2 4" xfId="947" xr:uid="{31F97325-B672-4E9C-93D4-05DC46C40190}"/>
    <cellStyle name="Millares [0] 4 2 2 3" xfId="353" xr:uid="{7FF4A821-749F-43C9-A3D7-B3B9A2BEA24C}"/>
    <cellStyle name="Millares [0] 4 2 2 3 2" xfId="692" xr:uid="{9C5CD552-892A-4CD2-B03C-342D56EA1F92}"/>
    <cellStyle name="Millares [0] 4 2 2 3 2 2" xfId="1363" xr:uid="{E484DC2A-6BD8-4FBB-B5D5-26F790B85FB6}"/>
    <cellStyle name="Millares [0] 4 2 2 3 3" xfId="1031" xr:uid="{407B46F7-D13D-4E5C-B153-48802A9204FB}"/>
    <cellStyle name="Millares [0] 4 2 2 4" xfId="526" xr:uid="{35435921-009C-46DA-9D55-CF1FD43009AB}"/>
    <cellStyle name="Millares [0] 4 2 2 4 2" xfId="1197" xr:uid="{819A432C-CACE-40BE-88C5-8ABC8BED9C78}"/>
    <cellStyle name="Millares [0] 4 2 2 5" xfId="865" xr:uid="{5BD4F1A3-5009-4C09-8562-BFD9C870130F}"/>
    <cellStyle name="Millares [0] 4 2 3" xfId="209" xr:uid="{97EE5FD1-5E20-40F7-BBA9-D9A1EB37F3D6}"/>
    <cellStyle name="Millares [0] 4 2 3 2" xfId="395" xr:uid="{DB77AD12-B0B6-4F66-8955-B77ADB888ED2}"/>
    <cellStyle name="Millares [0] 4 2 3 2 2" xfId="734" xr:uid="{A878DDF7-A5C4-4CD2-997D-2FCCA71C2B33}"/>
    <cellStyle name="Millares [0] 4 2 3 2 2 2" xfId="1405" xr:uid="{AFFD2793-E3B7-4CE7-B69C-2ADC1338C41F}"/>
    <cellStyle name="Millares [0] 4 2 3 2 3" xfId="1073" xr:uid="{AF1419A7-8686-44DB-9A0B-4C6F9DBA1E56}"/>
    <cellStyle name="Millares [0] 4 2 3 3" xfId="568" xr:uid="{C265977D-D128-431C-BD45-C89470564E76}"/>
    <cellStyle name="Millares [0] 4 2 3 3 2" xfId="1239" xr:uid="{94BD4FC5-9B03-461F-ACA2-DC6E107C4621}"/>
    <cellStyle name="Millares [0] 4 2 3 4" xfId="907" xr:uid="{718B4DBE-D16C-4ED3-AAB7-4E10C5035BA0}"/>
    <cellStyle name="Millares [0] 4 2 4" xfId="313" xr:uid="{2CAAFCFF-0334-4EE6-93CC-F51A3ED1B3FA}"/>
    <cellStyle name="Millares [0] 4 2 4 2" xfId="652" xr:uid="{13DE27C9-33B3-4E4D-85A0-326CE980D1FA}"/>
    <cellStyle name="Millares [0] 4 2 4 2 2" xfId="1323" xr:uid="{89C38CC8-7E23-4350-935F-8287D55C72CF}"/>
    <cellStyle name="Millares [0] 4 2 4 3" xfId="991" xr:uid="{3EA83C94-5F77-4BB9-B5B5-893F7046A3D2}"/>
    <cellStyle name="Millares [0] 4 2 5" xfId="486" xr:uid="{EC9A9A5E-BC8E-4B26-B918-2F2E2E45B823}"/>
    <cellStyle name="Millares [0] 4 2 5 2" xfId="1157" xr:uid="{98CF6D07-8193-489A-B181-146FB657941C}"/>
    <cellStyle name="Millares [0] 4 2 6" xfId="825" xr:uid="{1F77B131-77AB-4507-8FF9-08E5309DB8FE}"/>
    <cellStyle name="Millares [0] 4 3" xfId="141" xr:uid="{459F9264-2645-4BF4-85F1-81FFCCB5738C}"/>
    <cellStyle name="Millares [0] 4 3 2" xfId="230" xr:uid="{48AC35E4-52A2-45D3-A1A2-4142FD719F66}"/>
    <cellStyle name="Millares [0] 4 3 2 2" xfId="416" xr:uid="{93DDBC1A-2803-41D6-B6DE-5898B3163D3A}"/>
    <cellStyle name="Millares [0] 4 3 2 2 2" xfId="755" xr:uid="{3D3A83AF-36D3-443B-8BE0-0635EE353D17}"/>
    <cellStyle name="Millares [0] 4 3 2 2 2 2" xfId="1426" xr:uid="{747F9C46-0EEF-4821-98E4-956497FB0D31}"/>
    <cellStyle name="Millares [0] 4 3 2 2 3" xfId="1094" xr:uid="{F24A93B4-EA2E-45FA-AF24-6E453D8F6714}"/>
    <cellStyle name="Millares [0] 4 3 2 3" xfId="589" xr:uid="{0C5A20FA-2EDD-4C80-8B1F-D3D15795C1D4}"/>
    <cellStyle name="Millares [0] 4 3 2 3 2" xfId="1260" xr:uid="{FDC30B15-FBC4-46CB-AF9D-25A4B793CB31}"/>
    <cellStyle name="Millares [0] 4 3 2 4" xfId="928" xr:uid="{A04E39A0-DA9B-438C-96F8-D72AC61367E2}"/>
    <cellStyle name="Millares [0] 4 3 3" xfId="334" xr:uid="{5F2FAFB3-12CD-478A-9DC5-997D21E7B29C}"/>
    <cellStyle name="Millares [0] 4 3 3 2" xfId="673" xr:uid="{661DAD91-E86B-41B7-9636-267E21AE1B34}"/>
    <cellStyle name="Millares [0] 4 3 3 2 2" xfId="1344" xr:uid="{8C44324B-A8FF-4423-9C2E-AB1DF5FDC2AB}"/>
    <cellStyle name="Millares [0] 4 3 3 3" xfId="1012" xr:uid="{C902AE76-7503-4AD3-BBA0-2ECC964DEAFB}"/>
    <cellStyle name="Millares [0] 4 3 4" xfId="507" xr:uid="{05045445-F06B-43AE-9045-06462BF608D1}"/>
    <cellStyle name="Millares [0] 4 3 4 2" xfId="1178" xr:uid="{D83D769F-700A-4B4A-B3F2-AACBD87B0A45}"/>
    <cellStyle name="Millares [0] 4 3 5" xfId="846" xr:uid="{A72A1AD5-BE58-42EA-A257-A6125B14B098}"/>
    <cellStyle name="Millares [0] 4 4" xfId="190" xr:uid="{32B55AAB-7412-45FF-BD58-4C7D3132DA13}"/>
    <cellStyle name="Millares [0] 4 4 2" xfId="376" xr:uid="{CBEC8E45-8233-4E04-8927-83FEB586BA7E}"/>
    <cellStyle name="Millares [0] 4 4 2 2" xfId="715" xr:uid="{A720DE4A-34E1-45CA-9232-5F932CE9F7CF}"/>
    <cellStyle name="Millares [0] 4 4 2 2 2" xfId="1386" xr:uid="{5A06E8BF-1D5E-4885-852F-66DC74EE1F08}"/>
    <cellStyle name="Millares [0] 4 4 2 3" xfId="1054" xr:uid="{3E504D15-A59C-43D3-8D4F-513D39660256}"/>
    <cellStyle name="Millares [0] 4 4 3" xfId="549" xr:uid="{578F2538-697F-4606-91B3-B7D7C8117122}"/>
    <cellStyle name="Millares [0] 4 4 3 2" xfId="1220" xr:uid="{B412D6D6-CCF5-4F79-BCBC-5D1D58B1CF9B}"/>
    <cellStyle name="Millares [0] 4 4 4" xfId="888" xr:uid="{FD16D14B-33AD-450A-B3BB-67AF68B18DA9}"/>
    <cellStyle name="Millares [0] 4 5" xfId="294" xr:uid="{15CEE53A-E25F-4721-8FE8-71E795DFDA84}"/>
    <cellStyle name="Millares [0] 4 5 2" xfId="633" xr:uid="{364165C3-49F3-4307-847A-9D2FBFFFBD71}"/>
    <cellStyle name="Millares [0] 4 5 2 2" xfId="1304" xr:uid="{98C94434-F97C-4751-8431-985F628316F0}"/>
    <cellStyle name="Millares [0] 4 5 3" xfId="972" xr:uid="{3719E1EC-7E88-4323-8CC6-0F902F8DA2F7}"/>
    <cellStyle name="Millares [0] 4 6" xfId="467" xr:uid="{ED17D702-7502-43E9-AE76-4880AFC10AF7}"/>
    <cellStyle name="Millares [0] 4 6 2" xfId="1138" xr:uid="{495466E2-A521-43B0-AF3F-0F8F5CC7DB4B}"/>
    <cellStyle name="Millares [0] 4 7" xfId="806" xr:uid="{89BA4662-9CFF-44C7-AE6F-A1C43CD4E5F8}"/>
    <cellStyle name="Millares [0] 5" xfId="69" xr:uid="{7148CE55-D449-4DD0-B3C3-6C4ED726AC03}"/>
    <cellStyle name="Millares [0] 5 2" xfId="104" xr:uid="{156CFB6F-2D7D-4FCB-9373-C9CC84654698}"/>
    <cellStyle name="Millares [0] 5 2 2" xfId="152" xr:uid="{CA8800DC-95B5-4CD7-96DF-0F1B9EB4591A}"/>
    <cellStyle name="Millares [0] 5 2 2 2" xfId="241" xr:uid="{F1226B99-F2F6-4572-8684-FEBE563412E1}"/>
    <cellStyle name="Millares [0] 5 2 2 2 2" xfId="427" xr:uid="{E28FFE8A-90DC-4F3C-8025-D97F72F777A5}"/>
    <cellStyle name="Millares [0] 5 2 2 2 2 2" xfId="766" xr:uid="{A11E4974-451F-430B-A651-6BE258B9EF65}"/>
    <cellStyle name="Millares [0] 5 2 2 2 2 2 2" xfId="1437" xr:uid="{E313B4FE-444A-4B41-85BA-D04464D392B5}"/>
    <cellStyle name="Millares [0] 5 2 2 2 2 3" xfId="1105" xr:uid="{7FEF16BC-4397-4F18-A2C6-9A517256D4A1}"/>
    <cellStyle name="Millares [0] 5 2 2 2 3" xfId="600" xr:uid="{54D84F85-A795-42C4-A54F-DB11356164DF}"/>
    <cellStyle name="Millares [0] 5 2 2 2 3 2" xfId="1271" xr:uid="{FE0E5FF6-5470-4C4E-8ADE-6FF9F2FADD7F}"/>
    <cellStyle name="Millares [0] 5 2 2 2 4" xfId="939" xr:uid="{5BF641FD-7E33-4BDA-BFC9-FA4D09A653AD}"/>
    <cellStyle name="Millares [0] 5 2 2 3" xfId="345" xr:uid="{8BD769DB-CB95-4A6D-BEFA-417FCF84C5DF}"/>
    <cellStyle name="Millares [0] 5 2 2 3 2" xfId="684" xr:uid="{97A9AFB0-E4E2-4514-B750-76482C8BEE9B}"/>
    <cellStyle name="Millares [0] 5 2 2 3 2 2" xfId="1355" xr:uid="{5626090B-EB32-4C35-9325-06F03936EE89}"/>
    <cellStyle name="Millares [0] 5 2 2 3 3" xfId="1023" xr:uid="{574C7F3E-6839-49D2-B624-1E680F29A5BC}"/>
    <cellStyle name="Millares [0] 5 2 2 4" xfId="518" xr:uid="{51D8AF49-26D2-445B-9E82-35BE51A73E86}"/>
    <cellStyle name="Millares [0] 5 2 2 4 2" xfId="1189" xr:uid="{CD85440E-35C0-4D02-8932-27A7B895A856}"/>
    <cellStyle name="Millares [0] 5 2 2 5" xfId="857" xr:uid="{B5CA9D5D-85D6-4A9F-A8AC-EF44ACB1055C}"/>
    <cellStyle name="Millares [0] 5 2 3" xfId="201" xr:uid="{20D7E2C2-14C0-4320-9D87-5CEE46499550}"/>
    <cellStyle name="Millares [0] 5 2 3 2" xfId="387" xr:uid="{E1A538B6-1CB5-42B9-8895-ADE3D354ED88}"/>
    <cellStyle name="Millares [0] 5 2 3 2 2" xfId="726" xr:uid="{46739FF6-1040-4600-9380-AE01EB12950C}"/>
    <cellStyle name="Millares [0] 5 2 3 2 2 2" xfId="1397" xr:uid="{043D2DCF-F104-43DA-B68A-10ACADA0F694}"/>
    <cellStyle name="Millares [0] 5 2 3 2 3" xfId="1065" xr:uid="{E4D79A5A-000F-480C-A2EC-2ED4A5B44896}"/>
    <cellStyle name="Millares [0] 5 2 3 3" xfId="560" xr:uid="{7724E374-FD4A-4872-8AA1-59209FE7D864}"/>
    <cellStyle name="Millares [0] 5 2 3 3 2" xfId="1231" xr:uid="{04ED4722-10EE-4D81-97A5-0BB7F171B732}"/>
    <cellStyle name="Millares [0] 5 2 3 4" xfId="899" xr:uid="{08BAC0CF-9972-4849-A670-ECA546625F47}"/>
    <cellStyle name="Millares [0] 5 2 4" xfId="305" xr:uid="{7C9A51B6-2AEF-44D6-95AE-43609C3F2669}"/>
    <cellStyle name="Millares [0] 5 2 4 2" xfId="644" xr:uid="{B104E52C-75EC-4A34-A123-726E360755B9}"/>
    <cellStyle name="Millares [0] 5 2 4 2 2" xfId="1315" xr:uid="{14A25C12-EA08-439E-81C1-A636F7F3852E}"/>
    <cellStyle name="Millares [0] 5 2 4 3" xfId="983" xr:uid="{F38E257D-DD41-46B4-9ACD-DF9BC6E9E459}"/>
    <cellStyle name="Millares [0] 5 2 5" xfId="478" xr:uid="{4830AF5E-B229-4423-82A7-C6675AEA1A3C}"/>
    <cellStyle name="Millares [0] 5 2 5 2" xfId="1149" xr:uid="{08CFD08B-B6DC-4AAE-ABF8-00133630BB66}"/>
    <cellStyle name="Millares [0] 5 2 6" xfId="817" xr:uid="{9F4792FB-716A-4AD5-B61A-4631D5226EF4}"/>
    <cellStyle name="Millares [0] 5 3" xfId="133" xr:uid="{134E3261-3F5E-4DCF-9830-D255B6B625E3}"/>
    <cellStyle name="Millares [0] 5 3 2" xfId="222" xr:uid="{2B7BF3FF-968A-4981-AB16-C6215E1D8F00}"/>
    <cellStyle name="Millares [0] 5 3 2 2" xfId="408" xr:uid="{4C899026-580D-4644-A3D1-F4D68BBBE560}"/>
    <cellStyle name="Millares [0] 5 3 2 2 2" xfId="747" xr:uid="{3B036B57-3BBC-4AE6-A773-71399BED8FDB}"/>
    <cellStyle name="Millares [0] 5 3 2 2 2 2" xfId="1418" xr:uid="{4630C47F-EEBA-465C-BDF3-1B10C15C5B12}"/>
    <cellStyle name="Millares [0] 5 3 2 2 3" xfId="1086" xr:uid="{C8644BF0-29AC-48AD-B30C-8CDFA71042EA}"/>
    <cellStyle name="Millares [0] 5 3 2 3" xfId="581" xr:uid="{0C5A8BCC-2CDA-4918-BBCA-D2B679FCDA06}"/>
    <cellStyle name="Millares [0] 5 3 2 3 2" xfId="1252" xr:uid="{6C542133-6728-44FC-B613-A14B8D14EDB7}"/>
    <cellStyle name="Millares [0] 5 3 2 4" xfId="920" xr:uid="{BAB44778-10EC-45AE-9AD5-0C8BDC128F37}"/>
    <cellStyle name="Millares [0] 5 3 3" xfId="326" xr:uid="{D9D4B07D-0509-483F-A9EC-725735F5FDC6}"/>
    <cellStyle name="Millares [0] 5 3 3 2" xfId="665" xr:uid="{7E368160-A63C-4A8A-A443-9F16067B6D0A}"/>
    <cellStyle name="Millares [0] 5 3 3 2 2" xfId="1336" xr:uid="{9E770569-7EC9-48F7-98DF-222BB83D220E}"/>
    <cellStyle name="Millares [0] 5 3 3 3" xfId="1004" xr:uid="{59DB068A-F94D-45B5-8BCE-A6603348AB4A}"/>
    <cellStyle name="Millares [0] 5 3 4" xfId="499" xr:uid="{0E792FCD-CE26-457F-9C9E-F4E106C42442}"/>
    <cellStyle name="Millares [0] 5 3 4 2" xfId="1170" xr:uid="{6AC0ED22-630A-41FD-A528-7567427B0E1B}"/>
    <cellStyle name="Millares [0] 5 3 5" xfId="838" xr:uid="{7F2D1F95-36B7-4DDA-BB02-E254A28BD80B}"/>
    <cellStyle name="Millares [0] 5 4" xfId="182" xr:uid="{AC47C8C5-2529-4953-A0E2-CE971A3B1595}"/>
    <cellStyle name="Millares [0] 5 4 2" xfId="368" xr:uid="{452A85E1-C04C-4DA6-ADDA-B5FFBB3B82FB}"/>
    <cellStyle name="Millares [0] 5 4 2 2" xfId="707" xr:uid="{53C3A434-98FB-4E24-9E44-D71EE5A1BF1D}"/>
    <cellStyle name="Millares [0] 5 4 2 2 2" xfId="1378" xr:uid="{B5AE3F90-5AC8-4190-B7E0-9AA9DEED1F5C}"/>
    <cellStyle name="Millares [0] 5 4 2 3" xfId="1046" xr:uid="{E0A49E62-5800-4B2D-A359-526621F30BF1}"/>
    <cellStyle name="Millares [0] 5 4 3" xfId="541" xr:uid="{6D8A2010-0574-440F-A89F-43BA3C1093E4}"/>
    <cellStyle name="Millares [0] 5 4 3 2" xfId="1212" xr:uid="{5424EF9D-52E7-43F4-AAC3-077D24475658}"/>
    <cellStyle name="Millares [0] 5 4 4" xfId="880" xr:uid="{E4733E0C-DC14-4275-A4B9-1EFE1FB55A87}"/>
    <cellStyle name="Millares [0] 5 5" xfId="286" xr:uid="{B6AC80EF-3F1A-47A4-86D2-1497139D1E86}"/>
    <cellStyle name="Millares [0] 5 5 2" xfId="625" xr:uid="{B2B253EE-ECC1-4352-B854-828CDECCEA37}"/>
    <cellStyle name="Millares [0] 5 5 2 2" xfId="1296" xr:uid="{C31130EC-9DF4-41E7-9876-805C2EC27D65}"/>
    <cellStyle name="Millares [0] 5 5 3" xfId="964" xr:uid="{D9E250F1-DB50-40B2-BEA1-9F8F4B7FC053}"/>
    <cellStyle name="Millares [0] 5 6" xfId="459" xr:uid="{65975C08-D628-4C61-8030-67D9A4FFDDA0}"/>
    <cellStyle name="Millares [0] 5 6 2" xfId="1130" xr:uid="{4F779247-B039-4718-9A95-70D51241BF50}"/>
    <cellStyle name="Millares [0] 5 7" xfId="798" xr:uid="{0558B391-B675-4359-B266-7DFECB36CE3E}"/>
    <cellStyle name="Millares [0] 6" xfId="102" xr:uid="{BB9C01D6-C9FC-4B02-94D9-7F4DD2747243}"/>
    <cellStyle name="Millares [0] 6 2" xfId="151" xr:uid="{F25284FA-529B-4750-B7BE-DA42315146EC}"/>
    <cellStyle name="Millares [0] 6 2 2" xfId="240" xr:uid="{55634A6B-DA27-479B-BC4E-0D24EA0B6AFE}"/>
    <cellStyle name="Millares [0] 6 2 2 2" xfId="426" xr:uid="{33538586-55BB-4C2C-99F2-6F2059719225}"/>
    <cellStyle name="Millares [0] 6 2 2 2 2" xfId="765" xr:uid="{D5D6868F-E4F8-436E-B822-47401399D5A7}"/>
    <cellStyle name="Millares [0] 6 2 2 2 2 2" xfId="1436" xr:uid="{BD4D8CD2-8D55-4A0C-A1CC-65B67A8027E4}"/>
    <cellStyle name="Millares [0] 6 2 2 2 3" xfId="1104" xr:uid="{35103F87-154F-4013-92E0-5C5D4B202ECA}"/>
    <cellStyle name="Millares [0] 6 2 2 3" xfId="599" xr:uid="{8C70C179-A83D-4DAD-852C-6843D141E64F}"/>
    <cellStyle name="Millares [0] 6 2 2 3 2" xfId="1270" xr:uid="{6065800F-9EAB-458C-A193-732CF99BF2A8}"/>
    <cellStyle name="Millares [0] 6 2 2 4" xfId="938" xr:uid="{2CD4D878-C526-4633-A149-059A1DC1DE06}"/>
    <cellStyle name="Millares [0] 6 2 3" xfId="344" xr:uid="{323626DD-BC84-45F6-BEF1-59280BDB7572}"/>
    <cellStyle name="Millares [0] 6 2 3 2" xfId="683" xr:uid="{4B82C45D-CA7C-4310-A09F-734E61266320}"/>
    <cellStyle name="Millares [0] 6 2 3 2 2" xfId="1354" xr:uid="{A2BEAE5D-15D5-4E98-B48C-46FCF2146D43}"/>
    <cellStyle name="Millares [0] 6 2 3 3" xfId="1022" xr:uid="{57752409-263B-46D5-980C-BE39E08C956E}"/>
    <cellStyle name="Millares [0] 6 2 4" xfId="517" xr:uid="{7E7F7744-6C33-483C-A4A9-DB33393EE98E}"/>
    <cellStyle name="Millares [0] 6 2 4 2" xfId="1188" xr:uid="{5CD767E8-5468-46D0-8578-19ACB4AC872D}"/>
    <cellStyle name="Millares [0] 6 2 5" xfId="856" xr:uid="{8AC3F6F7-E477-4B81-B59B-F13BCA03AD36}"/>
    <cellStyle name="Millares [0] 6 3" xfId="200" xr:uid="{2B3E3637-F5CA-43DA-97E3-00C1BAFD46F7}"/>
    <cellStyle name="Millares [0] 6 3 2" xfId="386" xr:uid="{AB333913-DE0F-4FD8-AEA4-5C91B650C152}"/>
    <cellStyle name="Millares [0] 6 3 2 2" xfId="725" xr:uid="{AFFE7E82-441E-4012-8D54-ABDF26EA3EDC}"/>
    <cellStyle name="Millares [0] 6 3 2 2 2" xfId="1396" xr:uid="{17DDD789-68B0-4881-9B59-90CEB0A2CA74}"/>
    <cellStyle name="Millares [0] 6 3 2 3" xfId="1064" xr:uid="{B9091728-3B59-4985-80D3-A34A682FF651}"/>
    <cellStyle name="Millares [0] 6 3 3" xfId="559" xr:uid="{8CB95FBC-6D3F-4963-99D3-2D4B8D0261AB}"/>
    <cellStyle name="Millares [0] 6 3 3 2" xfId="1230" xr:uid="{0ADDAE97-2CBC-4ED2-82EB-814680E08FFF}"/>
    <cellStyle name="Millares [0] 6 3 4" xfId="898" xr:uid="{51F17E33-AED7-4532-AE2A-FB4B16345AC4}"/>
    <cellStyle name="Millares [0] 6 4" xfId="304" xr:uid="{CB94228D-5E5F-4B2C-BF9A-50F5B8517C21}"/>
    <cellStyle name="Millares [0] 6 4 2" xfId="643" xr:uid="{2AA84CFC-582C-4E6E-A52C-2820364CA3B3}"/>
    <cellStyle name="Millares [0] 6 4 2 2" xfId="1314" xr:uid="{AFE67373-17B0-4DFF-A74E-03B87D2C713C}"/>
    <cellStyle name="Millares [0] 6 4 3" xfId="982" xr:uid="{0E5AA47A-0436-4924-939E-3D3E2B874596}"/>
    <cellStyle name="Millares [0] 6 5" xfId="477" xr:uid="{9624FFFE-DE1B-425D-8E7E-6CFD5B375900}"/>
    <cellStyle name="Millares [0] 6 5 2" xfId="1148" xr:uid="{1F54B6C0-4DD0-4B9E-8274-7E47A46FD0C3}"/>
    <cellStyle name="Millares [0] 6 6" xfId="816" xr:uid="{F5139A61-BC35-4A61-99E9-19A85C43BC47}"/>
    <cellStyle name="Millares [0] 7" xfId="131" xr:uid="{3BD572C3-5954-43D8-9ED4-F3E000F4BEEB}"/>
    <cellStyle name="Millares [0] 7 2" xfId="221" xr:uid="{3EC11E78-40B2-4DFC-8218-48A987EC9B1E}"/>
    <cellStyle name="Millares [0] 7 2 2" xfId="407" xr:uid="{6549F703-D485-475D-A581-4F1382FF54DA}"/>
    <cellStyle name="Millares [0] 7 2 2 2" xfId="746" xr:uid="{47628A2C-9F00-43BF-B8BB-A098F5270566}"/>
    <cellStyle name="Millares [0] 7 2 2 2 2" xfId="1417" xr:uid="{6216A187-FFAC-4139-9AB3-CBA141FB0030}"/>
    <cellStyle name="Millares [0] 7 2 2 3" xfId="1085" xr:uid="{A49C2889-54C5-495F-9C45-F7D334714662}"/>
    <cellStyle name="Millares [0] 7 2 3" xfId="580" xr:uid="{82A5BCA5-81EF-4286-A482-AEF99026DD31}"/>
    <cellStyle name="Millares [0] 7 2 3 2" xfId="1251" xr:uid="{041819A3-DF2F-431F-B282-4085A80D703E}"/>
    <cellStyle name="Millares [0] 7 2 4" xfId="919" xr:uid="{DC0D7EB4-990E-401D-9CC0-76C70D269358}"/>
    <cellStyle name="Millares [0] 7 3" xfId="325" xr:uid="{F22C6E27-2304-4F16-860D-C214A6FC2E9A}"/>
    <cellStyle name="Millares [0] 7 3 2" xfId="664" xr:uid="{F9D8B118-5870-435A-A168-3307619E9EA6}"/>
    <cellStyle name="Millares [0] 7 3 2 2" xfId="1335" xr:uid="{8EC76269-80F8-4828-97FA-C4C793AFA14C}"/>
    <cellStyle name="Millares [0] 7 3 3" xfId="1003" xr:uid="{8406755F-CAA3-4B4C-AF0B-4FCC8C14CB6E}"/>
    <cellStyle name="Millares [0] 7 4" xfId="498" xr:uid="{605FCEAD-C224-45E9-8251-FC5951A8E682}"/>
    <cellStyle name="Millares [0] 7 4 2" xfId="1169" xr:uid="{EA85F9CA-25CD-49FD-9294-6FD2CF0ECDED}"/>
    <cellStyle name="Millares [0] 7 5" xfId="837" xr:uid="{CC954F1D-69AF-43D5-B384-B8766988E9F7}"/>
    <cellStyle name="Millares [0] 8" xfId="117" xr:uid="{FF8583FD-4418-471C-916B-F737A4775E0B}"/>
    <cellStyle name="Millares [0] 8 2" xfId="214" xr:uid="{6C6CA116-F714-47BA-BDA4-5B9E05F63BD2}"/>
    <cellStyle name="Millares [0] 8 2 2" xfId="400" xr:uid="{FA0D6376-9D2B-4808-B031-9FAD57490AED}"/>
    <cellStyle name="Millares [0] 8 2 2 2" xfId="739" xr:uid="{EA763430-ECA5-450C-B4B6-D52E4FB0EF8F}"/>
    <cellStyle name="Millares [0] 8 2 2 2 2" xfId="1410" xr:uid="{6E68083E-E2AB-47FA-84AE-5B385977B188}"/>
    <cellStyle name="Millares [0] 8 2 2 3" xfId="1078" xr:uid="{A2FB272D-CFDC-4A93-B8AD-2F0B1D89A4BC}"/>
    <cellStyle name="Millares [0] 8 2 3" xfId="573" xr:uid="{4E21ABAE-AF62-417F-A4D4-928F48916FCA}"/>
    <cellStyle name="Millares [0] 8 2 3 2" xfId="1244" xr:uid="{505E0028-FD25-45F1-A4D5-3FCBE121A7AD}"/>
    <cellStyle name="Millares [0] 8 2 4" xfId="912" xr:uid="{72E2AD99-4239-43E2-89C3-E476FF776B9E}"/>
    <cellStyle name="Millares [0] 8 3" xfId="318" xr:uid="{3E02BBE0-3388-497C-9FC6-0140DFCDE8E3}"/>
    <cellStyle name="Millares [0] 8 3 2" xfId="657" xr:uid="{890EA32C-60DE-4AA0-B472-5DBDDDB6C5F6}"/>
    <cellStyle name="Millares [0] 8 3 2 2" xfId="1328" xr:uid="{5C0BEB8F-F9DA-41BA-8770-22BA5BFFF67A}"/>
    <cellStyle name="Millares [0] 8 3 3" xfId="996" xr:uid="{447C51CF-75A3-44D3-B142-4DA73BA2A080}"/>
    <cellStyle name="Millares [0] 8 4" xfId="491" xr:uid="{1CB52E24-D1AB-4B2D-9AE2-B859C4D39A68}"/>
    <cellStyle name="Millares [0] 8 4 2" xfId="1162" xr:uid="{916DFCD1-E48B-445C-A66B-5882752031C0}"/>
    <cellStyle name="Millares [0] 8 5" xfId="830" xr:uid="{9074C57F-331B-4BDA-B884-3634502C2914}"/>
    <cellStyle name="Millares [0] 9" xfId="167" xr:uid="{23A4FFE8-E7BE-4E78-A0C6-313922CFF1C3}"/>
    <cellStyle name="Millares [0] 9 2" xfId="256" xr:uid="{9AC958D8-9C61-4B14-B8C6-E8BDED2259C1}"/>
    <cellStyle name="Millares [0] 9 2 2" xfId="442" xr:uid="{5795EED2-8FC4-4803-983A-FBD45CD7C261}"/>
    <cellStyle name="Millares [0] 9 2 2 2" xfId="781" xr:uid="{E49E3C06-E8A2-40F8-B5C9-593E809A7874}"/>
    <cellStyle name="Millares [0] 9 2 2 2 2" xfId="1452" xr:uid="{4F1F30DE-932A-4506-AB31-ED5179E10D3B}"/>
    <cellStyle name="Millares [0] 9 2 2 3" xfId="1120" xr:uid="{D88E9966-7D80-403A-9BE2-FB967294E04C}"/>
    <cellStyle name="Millares [0] 9 2 3" xfId="615" xr:uid="{CF38BF4F-8A7C-45C9-9BAD-FC22FE054A50}"/>
    <cellStyle name="Millares [0] 9 2 3 2" xfId="1286" xr:uid="{F1A7E497-526C-4672-BB0A-D79466D76359}"/>
    <cellStyle name="Millares [0] 9 2 4" xfId="954" xr:uid="{5F881D17-5653-4F16-8EB4-BF7429616B65}"/>
    <cellStyle name="Millares [0] 9 3" xfId="360" xr:uid="{AA44A87D-4E77-4760-83C4-BF64740E525E}"/>
    <cellStyle name="Millares [0] 9 3 2" xfId="699" xr:uid="{0D9C1BE7-4668-472E-A0E9-F33FDD636C75}"/>
    <cellStyle name="Millares [0] 9 3 2 2" xfId="1370" xr:uid="{8F00EE24-52BA-49C8-9C17-FD90E546F3FC}"/>
    <cellStyle name="Millares [0] 9 3 3" xfId="1038" xr:uid="{062D2E8A-A19B-4AAD-BAE4-A25A6158DE21}"/>
    <cellStyle name="Millares [0] 9 4" xfId="533" xr:uid="{EFAB169D-D174-42AC-B70F-FDB74567E380}"/>
    <cellStyle name="Millares [0] 9 4 2" xfId="1204" xr:uid="{DE4FF555-023D-4D78-8C09-87A3F59FC7AF}"/>
    <cellStyle name="Millares [0] 9 5" xfId="872" xr:uid="{0858AF3A-D59D-4F76-B158-678F947BDE14}"/>
    <cellStyle name="Millares 10" xfId="124" xr:uid="{4C976E26-5155-42D6-A419-957025BB654B}"/>
    <cellStyle name="Millares 10 2" xfId="215" xr:uid="{409A85CC-962C-4BF8-97E0-E7FA082A567E}"/>
    <cellStyle name="Millares 10 2 2" xfId="401" xr:uid="{78D53C80-EE00-4E0D-8E21-1A5567055C1D}"/>
    <cellStyle name="Millares 10 2 2 2" xfId="740" xr:uid="{6EC2FC39-89AE-48F3-8CE8-FC0FB710D057}"/>
    <cellStyle name="Millares 10 2 2 2 2" xfId="1411" xr:uid="{B9F14BFF-413C-40C6-9D8F-CB21A83E43EB}"/>
    <cellStyle name="Millares 10 2 2 3" xfId="1079" xr:uid="{B629B0E5-1934-4CB4-B8C3-21276CFB0813}"/>
    <cellStyle name="Millares 10 2 3" xfId="574" xr:uid="{7B500204-55F6-4C51-B74F-F84F3207892C}"/>
    <cellStyle name="Millares 10 2 3 2" xfId="1245" xr:uid="{F33BA77A-800B-4462-886D-9624B0A78B08}"/>
    <cellStyle name="Millares 10 2 4" xfId="913" xr:uid="{99B9194D-79EB-45BC-8D4B-BBAB1FD1FC46}"/>
    <cellStyle name="Millares 10 3" xfId="319" xr:uid="{DE6095A6-269F-4EE1-9AFD-0D27E6B05642}"/>
    <cellStyle name="Millares 10 3 2" xfId="658" xr:uid="{45BDFC8C-DD4F-4D2C-97F1-8EBB4CCE5AF8}"/>
    <cellStyle name="Millares 10 3 2 2" xfId="1329" xr:uid="{FC304397-4B4D-4EAB-94AC-FBD2E92EB6D5}"/>
    <cellStyle name="Millares 10 3 3" xfId="997" xr:uid="{CE6BFD7C-7F9A-49C3-8377-485186F076B3}"/>
    <cellStyle name="Millares 10 4" xfId="492" xr:uid="{5F1459A9-C8FF-411A-8AE2-EC986354EFA0}"/>
    <cellStyle name="Millares 10 4 2" xfId="1163" xr:uid="{A5BFAE37-D613-4858-B877-256CDAB13F88}"/>
    <cellStyle name="Millares 10 5" xfId="831" xr:uid="{8CB22DC3-94D5-4C23-94B3-929B2B38C351}"/>
    <cellStyle name="Millares 100 2" xfId="61" xr:uid="{00000000-0005-0000-0000-000027000000}"/>
    <cellStyle name="Millares 100 2 2" xfId="268" xr:uid="{18917C78-DD9B-4F00-8809-C0437A079C1B}"/>
    <cellStyle name="Millares 11" xfId="165" xr:uid="{F4D9ADB2-A5CD-4ADE-828F-F0AFB6E57258}"/>
    <cellStyle name="Millares 11 2" xfId="254" xr:uid="{51AD50CE-0B54-40E8-B402-5E663BE3FE9E}"/>
    <cellStyle name="Millares 11 2 2" xfId="440" xr:uid="{8F4E2CC4-8C27-4A35-BC6E-455E4EACC0E4}"/>
    <cellStyle name="Millares 11 2 2 2" xfId="779" xr:uid="{54ACFAFD-D31C-43F5-830E-656B0EA1F221}"/>
    <cellStyle name="Millares 11 2 2 2 2" xfId="1450" xr:uid="{812F9830-5310-495A-92E4-65F1BD8A2E60}"/>
    <cellStyle name="Millares 11 2 2 3" xfId="1118" xr:uid="{3B64AEC0-7B6D-4870-85AF-9B9912DBED19}"/>
    <cellStyle name="Millares 11 2 3" xfId="613" xr:uid="{5FDC0000-19A1-4D14-BA01-FFF3CBD9CB83}"/>
    <cellStyle name="Millares 11 2 3 2" xfId="1284" xr:uid="{E0483DB9-43FA-4227-8DFF-1B5842073EE1}"/>
    <cellStyle name="Millares 11 2 4" xfId="952" xr:uid="{C69158F8-9EA3-47A4-B63C-F583F800839C}"/>
    <cellStyle name="Millares 11 3" xfId="358" xr:uid="{5F29B3F4-1AF2-4BBB-B1FE-64DE8988B8AD}"/>
    <cellStyle name="Millares 11 3 2" xfId="697" xr:uid="{AC8086CF-4973-4174-8110-63C05BCE6705}"/>
    <cellStyle name="Millares 11 3 2 2" xfId="1368" xr:uid="{462E13CE-F721-4098-B258-8BA3101E8942}"/>
    <cellStyle name="Millares 11 3 3" xfId="1036" xr:uid="{972C43E4-E047-4584-8D97-955ED8F19978}"/>
    <cellStyle name="Millares 11 4" xfId="531" xr:uid="{9548511A-307F-4637-9698-621C1302573F}"/>
    <cellStyle name="Millares 11 4 2" xfId="1202" xr:uid="{91576138-4932-47F7-94E0-82A171FD6E9C}"/>
    <cellStyle name="Millares 11 5" xfId="870" xr:uid="{F9B30F24-0632-4E45-A5A5-D732CC8921C0}"/>
    <cellStyle name="Millares 12" xfId="166" xr:uid="{262FDB65-3522-45E2-B656-446CF23D038E}"/>
    <cellStyle name="Millares 12 2" xfId="255" xr:uid="{86EB38F8-0A70-40E9-B0A3-7A93F6C587C6}"/>
    <cellStyle name="Millares 12 2 2" xfId="441" xr:uid="{E14B623E-0E06-4001-AB6D-3EEF0418DCED}"/>
    <cellStyle name="Millares 12 2 2 2" xfId="780" xr:uid="{B8CA2284-EC99-4EBC-AFEB-D50F0A95D25F}"/>
    <cellStyle name="Millares 12 2 2 2 2" xfId="1451" xr:uid="{BB152FE4-060E-4EA2-9475-5199FBD4A1A1}"/>
    <cellStyle name="Millares 12 2 2 3" xfId="1119" xr:uid="{8D4D4D17-20CD-406F-9956-91CB6B2CA63F}"/>
    <cellStyle name="Millares 12 2 3" xfId="614" xr:uid="{5031F163-33DA-40AC-AEA8-AF4CE6528618}"/>
    <cellStyle name="Millares 12 2 3 2" xfId="1285" xr:uid="{0B11A7EE-A70B-4145-99DC-FAF9E323A3A7}"/>
    <cellStyle name="Millares 12 2 4" xfId="953" xr:uid="{BA57314B-1C39-4B7F-8DB1-F92291A339A6}"/>
    <cellStyle name="Millares 12 3" xfId="359" xr:uid="{C81888D2-4DD5-40F2-A11A-9AD4DD8881ED}"/>
    <cellStyle name="Millares 12 3 2" xfId="698" xr:uid="{092A54B6-412D-4694-8F75-3D09642FB0A2}"/>
    <cellStyle name="Millares 12 3 2 2" xfId="1369" xr:uid="{8B38CB7D-4099-4881-A647-F72BB97C0AFA}"/>
    <cellStyle name="Millares 12 3 3" xfId="1037" xr:uid="{D29C69F6-8B5C-441D-94A5-BABC3914B9AE}"/>
    <cellStyle name="Millares 12 4" xfId="532" xr:uid="{FF8F725E-3898-4D30-BF57-E0D789181032}"/>
    <cellStyle name="Millares 12 4 2" xfId="1203" xr:uid="{39FB2EC5-46D7-4740-81E7-6C491029BF4D}"/>
    <cellStyle name="Millares 12 5" xfId="871" xr:uid="{CF97DC4D-DACB-4A20-8D61-A22997448490}"/>
    <cellStyle name="Millares 13" xfId="174" xr:uid="{01ADC684-54C5-448C-A9D0-C264BD4A5817}"/>
    <cellStyle name="Millares 13 2" xfId="361" xr:uid="{1D74AE4C-813D-4A92-8E6B-9FE4661EEE6C}"/>
    <cellStyle name="Millares 13 2 2" xfId="700" xr:uid="{EEFBB685-3832-4A3A-B42B-05F6DEFD4FCA}"/>
    <cellStyle name="Millares 13 2 2 2" xfId="1371" xr:uid="{72785012-C517-4D7E-A0A4-7E17049C77B4}"/>
    <cellStyle name="Millares 13 2 3" xfId="1039" xr:uid="{064BED0D-6E2E-43E5-80C9-57FB6D89760A}"/>
    <cellStyle name="Millares 13 3" xfId="534" xr:uid="{74B8D8F6-E4D5-4305-AE8E-15C188957C72}"/>
    <cellStyle name="Millares 13 3 2" xfId="1205" xr:uid="{A1A38199-A5B8-4C3A-96F0-3DC3C8E2361D}"/>
    <cellStyle name="Millares 13 4" xfId="873" xr:uid="{5B57C158-3A52-44BE-8ECC-6A0FB26D8ABD}"/>
    <cellStyle name="Millares 14" xfId="263" xr:uid="{B6F9C12E-0E89-4A48-957C-48DD56B017B0}"/>
    <cellStyle name="Millares 14 2" xfId="443" xr:uid="{D24CC08D-C8A6-4E31-8DC5-73DBEC7D21EA}"/>
    <cellStyle name="Millares 14 2 2" xfId="782" xr:uid="{FD198A00-566C-4DE8-8558-0A471CDBB61E}"/>
    <cellStyle name="Millares 14 2 2 2" xfId="1453" xr:uid="{3DC4992C-8B1F-4739-842D-FA20692A2184}"/>
    <cellStyle name="Millares 14 2 3" xfId="1121" xr:uid="{E5272B1B-2728-4339-8FF9-E7E18C6CB63E}"/>
    <cellStyle name="Millares 14 3" xfId="616" xr:uid="{C4632D16-3EDD-49C8-B0DF-B138C3CD6173}"/>
    <cellStyle name="Millares 14 3 2" xfId="1287" xr:uid="{632A9AD9-0AC3-4951-80B9-30A014308834}"/>
    <cellStyle name="Millares 14 4" xfId="955" xr:uid="{C383BBF4-1B82-4DBD-A3CA-985C7A4F2DFB}"/>
    <cellStyle name="Millares 15" xfId="278" xr:uid="{74FBE3EA-E539-49D4-9A86-12B427B6700C}"/>
    <cellStyle name="Millares 15 2" xfId="618" xr:uid="{7769CA52-F161-4ED7-B392-53488101A36D}"/>
    <cellStyle name="Millares 15 2 2" xfId="1289" xr:uid="{F909DAA7-05FA-488C-9633-88D0C2262372}"/>
    <cellStyle name="Millares 15 3" xfId="957" xr:uid="{2DD5CF5B-34AD-483B-8539-8D8C8257DBB8}"/>
    <cellStyle name="Millares 16" xfId="451" xr:uid="{18DA8C68-7409-4128-87A7-7228D6F6413E}"/>
    <cellStyle name="Millares 16 2" xfId="1123" xr:uid="{AF6B8B64-832D-4850-8187-7AEDE978BA12}"/>
    <cellStyle name="Millares 17" xfId="790" xr:uid="{0E870F46-D237-4C2D-B79D-6F2BC1B10392}"/>
    <cellStyle name="Millares 18" xfId="63" xr:uid="{00000000-0005-0000-0000-000028000000}"/>
    <cellStyle name="Millares 2" xfId="39" xr:uid="{00000000-0005-0000-0000-000029000000}"/>
    <cellStyle name="Millares 2 2" xfId="80" xr:uid="{C180F323-6A6A-481E-AF51-D834CDD8CF43}"/>
    <cellStyle name="Millares 2 2 2" xfId="109" xr:uid="{2619773E-F53B-4AAB-B160-FCB74ADDE65B}"/>
    <cellStyle name="Millares 2 2 2 2" xfId="157" xr:uid="{6DCD6DAA-5DA2-4D23-A734-F90AC5AE4176}"/>
    <cellStyle name="Millares 2 2 2 2 2" xfId="246" xr:uid="{DE80487F-DC6E-49C2-917F-659F06980118}"/>
    <cellStyle name="Millares 2 2 2 2 2 2" xfId="432" xr:uid="{1A3DE761-13E9-45CE-93FC-EFB9BB043114}"/>
    <cellStyle name="Millares 2 2 2 2 2 2 2" xfId="771" xr:uid="{EAF79B13-7A4F-4D58-86D6-EB2D6F932C07}"/>
    <cellStyle name="Millares 2 2 2 2 2 2 2 2" xfId="1442" xr:uid="{0CE42CB7-E298-4AE8-9E2F-3E3918D98A17}"/>
    <cellStyle name="Millares 2 2 2 2 2 2 3" xfId="1110" xr:uid="{4EBFCFD8-4912-4302-A17A-0A0A2BB3694E}"/>
    <cellStyle name="Millares 2 2 2 2 2 3" xfId="605" xr:uid="{2563D0E4-D6BD-4F77-9462-F49B111A6DF4}"/>
    <cellStyle name="Millares 2 2 2 2 2 3 2" xfId="1276" xr:uid="{90669A55-2F41-4616-A9A4-8D14A06EF4D6}"/>
    <cellStyle name="Millares 2 2 2 2 2 4" xfId="944" xr:uid="{E66CDC27-456B-4B04-8698-0144EA5AD8D3}"/>
    <cellStyle name="Millares 2 2 2 2 3" xfId="350" xr:uid="{BA76DA1E-2B5D-4996-887D-D440EA84F337}"/>
    <cellStyle name="Millares 2 2 2 2 3 2" xfId="689" xr:uid="{2A99E0AF-2184-4939-8702-C56118349806}"/>
    <cellStyle name="Millares 2 2 2 2 3 2 2" xfId="1360" xr:uid="{535F2E1D-CEC3-4768-8154-A5AB8A57F05B}"/>
    <cellStyle name="Millares 2 2 2 2 3 3" xfId="1028" xr:uid="{CBD17765-7394-42C8-8D64-8308A95ED75F}"/>
    <cellStyle name="Millares 2 2 2 2 4" xfId="523" xr:uid="{0F64DB31-7892-46A4-AD0B-62D7AE45A401}"/>
    <cellStyle name="Millares 2 2 2 2 4 2" xfId="1194" xr:uid="{4EBB0168-733A-4A12-A944-66B2117616D9}"/>
    <cellStyle name="Millares 2 2 2 2 5" xfId="862" xr:uid="{B2ED05C4-5CFD-462E-BA16-16F4C4139865}"/>
    <cellStyle name="Millares 2 2 2 3" xfId="206" xr:uid="{F3CB13BA-4571-4C39-B9E2-747EB5DBEFF0}"/>
    <cellStyle name="Millares 2 2 2 3 2" xfId="392" xr:uid="{667DD5C8-8407-45FB-9E54-F56EEFC1845B}"/>
    <cellStyle name="Millares 2 2 2 3 2 2" xfId="731" xr:uid="{5D8ACCC8-F5DC-40A0-B060-2078AB1D751C}"/>
    <cellStyle name="Millares 2 2 2 3 2 2 2" xfId="1402" xr:uid="{433D8CF8-1CAF-45E1-A2BC-8477C6F0D77E}"/>
    <cellStyle name="Millares 2 2 2 3 2 3" xfId="1070" xr:uid="{102E9695-5C17-4899-B073-59DB298E6AE7}"/>
    <cellStyle name="Millares 2 2 2 3 3" xfId="565" xr:uid="{20746E98-4D68-465A-AE8E-ABE2E2BD4AB1}"/>
    <cellStyle name="Millares 2 2 2 3 3 2" xfId="1236" xr:uid="{0C10B0D2-6F4A-430A-BE87-A8F65384BD3F}"/>
    <cellStyle name="Millares 2 2 2 3 4" xfId="904" xr:uid="{9C10A9F6-4908-4306-8575-6988B2EBCFE4}"/>
    <cellStyle name="Millares 2 2 2 4" xfId="310" xr:uid="{67128BE6-DC7D-4614-A520-4C88B4F1FF98}"/>
    <cellStyle name="Millares 2 2 2 4 2" xfId="649" xr:uid="{E6C387C0-01B1-4EB7-A0EC-180B506A6E07}"/>
    <cellStyle name="Millares 2 2 2 4 2 2" xfId="1320" xr:uid="{DC515EEC-A332-4BB7-87D6-C3B7099DDD66}"/>
    <cellStyle name="Millares 2 2 2 4 3" xfId="988" xr:uid="{00EEBF22-AD58-402B-B846-E05271F16DC6}"/>
    <cellStyle name="Millares 2 2 2 5" xfId="483" xr:uid="{7543BAE4-642F-4B1B-8318-B7BC0A887BB0}"/>
    <cellStyle name="Millares 2 2 2 5 2" xfId="1154" xr:uid="{67A1629E-1D2F-438A-B5D7-0BD8DE608AA2}"/>
    <cellStyle name="Millares 2 2 2 6" xfId="822" xr:uid="{99E7328B-815F-4932-9677-E1A5E2691D8B}"/>
    <cellStyle name="Millares 2 2 3" xfId="138" xr:uid="{7E91C5DA-426C-4CFA-B805-941FD248A7B1}"/>
    <cellStyle name="Millares 2 2 3 2" xfId="227" xr:uid="{9B008148-CE76-4344-8297-BFF857540684}"/>
    <cellStyle name="Millares 2 2 3 2 2" xfId="413" xr:uid="{842C19C5-3C28-481B-A1D7-3E39E7E009A3}"/>
    <cellStyle name="Millares 2 2 3 2 2 2" xfId="752" xr:uid="{5E3402C4-58F5-4ECA-AA0B-5E4E9E3C934A}"/>
    <cellStyle name="Millares 2 2 3 2 2 2 2" xfId="1423" xr:uid="{5DA1B53F-E430-42C2-825F-D9698997DF84}"/>
    <cellStyle name="Millares 2 2 3 2 2 3" xfId="1091" xr:uid="{41DF6DE2-BCFB-4258-B32D-45F8F5F0CC4F}"/>
    <cellStyle name="Millares 2 2 3 2 3" xfId="586" xr:uid="{17A12DBD-7A8E-44F0-A514-8A84631D8D32}"/>
    <cellStyle name="Millares 2 2 3 2 3 2" xfId="1257" xr:uid="{66D90478-C5D9-482B-9D1E-CB715ABAFA79}"/>
    <cellStyle name="Millares 2 2 3 2 4" xfId="925" xr:uid="{D2222C4E-2858-4019-B317-10F6479AEB3F}"/>
    <cellStyle name="Millares 2 2 3 3" xfId="331" xr:uid="{EB7B3224-19E0-4815-BD39-E105A8C6D28C}"/>
    <cellStyle name="Millares 2 2 3 3 2" xfId="670" xr:uid="{27732A49-384D-4D07-8B1A-E571AADFCF67}"/>
    <cellStyle name="Millares 2 2 3 3 2 2" xfId="1341" xr:uid="{BAE32D95-519B-493E-8935-BEB2C37E71AC}"/>
    <cellStyle name="Millares 2 2 3 3 3" xfId="1009" xr:uid="{0401EF25-0729-4F30-89B9-E0FDB8BDC61E}"/>
    <cellStyle name="Millares 2 2 3 4" xfId="504" xr:uid="{4D81BDB4-335D-45D4-978D-C64731E7388A}"/>
    <cellStyle name="Millares 2 2 3 4 2" xfId="1175" xr:uid="{7EBB4B69-E839-4BD1-A1DC-B1D76FDC05C3}"/>
    <cellStyle name="Millares 2 2 3 5" xfId="843" xr:uid="{8891B933-E88E-4943-AF2D-45EA86849F65}"/>
    <cellStyle name="Millares 2 2 4" xfId="187" xr:uid="{A897380A-7E26-47FA-AD0E-0D9F60559E3C}"/>
    <cellStyle name="Millares 2 2 4 2" xfId="373" xr:uid="{27BF035B-B0EF-4C86-A8AE-330760D5F5FA}"/>
    <cellStyle name="Millares 2 2 4 2 2" xfId="712" xr:uid="{2DF34DC8-937D-4096-A7C3-FE3152F7CD6D}"/>
    <cellStyle name="Millares 2 2 4 2 2 2" xfId="1383" xr:uid="{57CF3860-4F01-44E5-A74E-F29E1F5C78BB}"/>
    <cellStyle name="Millares 2 2 4 2 3" xfId="1051" xr:uid="{A871CB26-4460-484D-A26E-5D232994D5C8}"/>
    <cellStyle name="Millares 2 2 4 3" xfId="546" xr:uid="{1B6C21F1-8ACB-4151-8CB5-8BF0D16E7CA1}"/>
    <cellStyle name="Millares 2 2 4 3 2" xfId="1217" xr:uid="{E19927C7-CE89-4337-BCAC-3BFBD79E4061}"/>
    <cellStyle name="Millares 2 2 4 4" xfId="885" xr:uid="{CA205434-848E-4B2D-8201-6B22FDD3DF76}"/>
    <cellStyle name="Millares 2 2 5" xfId="291" xr:uid="{72140FD0-E041-41BD-A398-417F17C57D8C}"/>
    <cellStyle name="Millares 2 2 5 2" xfId="630" xr:uid="{DFFFD2B4-FD72-41BC-86D0-F82553F4A678}"/>
    <cellStyle name="Millares 2 2 5 2 2" xfId="1301" xr:uid="{6A903225-CCD1-43C3-8F9C-1466E5A7D448}"/>
    <cellStyle name="Millares 2 2 5 3" xfId="969" xr:uid="{23AE57F2-33DE-403D-B17A-EA1A8D5C7C0B}"/>
    <cellStyle name="Millares 2 2 6" xfId="464" xr:uid="{57EE03F2-68FB-4C82-B6B9-0D2668B3F2AE}"/>
    <cellStyle name="Millares 2 2 6 2" xfId="1135" xr:uid="{8F8F5C7D-D5BC-472D-A56B-4CD1651DF028}"/>
    <cellStyle name="Millares 2 2 7" xfId="803" xr:uid="{D1339207-71AF-4ECF-A722-3192F096E8CE}"/>
    <cellStyle name="Millares 2 3" xfId="98" xr:uid="{F958A31D-E6EC-4A06-A467-A1508479997B}"/>
    <cellStyle name="Millares 2 3 2" xfId="148" xr:uid="{56B26301-F59A-48EA-99BC-E35C1AED4E41}"/>
    <cellStyle name="Millares 2 3 2 2" xfId="237" xr:uid="{6695936F-F5B2-4DDE-BB93-E1D5273449FC}"/>
    <cellStyle name="Millares 2 3 2 2 2" xfId="423" xr:uid="{D3B906B2-675F-489D-ACE2-2337241D8640}"/>
    <cellStyle name="Millares 2 3 2 2 2 2" xfId="762" xr:uid="{917219A4-3419-460E-A6A4-2D97292F2537}"/>
    <cellStyle name="Millares 2 3 2 2 2 2 2" xfId="1433" xr:uid="{103FF5C1-B50D-4F6D-B943-68A2550D1B26}"/>
    <cellStyle name="Millares 2 3 2 2 2 3" xfId="1101" xr:uid="{804099A1-A625-45B2-9AEB-F46443316299}"/>
    <cellStyle name="Millares 2 3 2 2 3" xfId="596" xr:uid="{9DEFD26C-5D07-4562-AC50-DC7D9483C7BE}"/>
    <cellStyle name="Millares 2 3 2 2 3 2" xfId="1267" xr:uid="{B854A6C2-AA71-4F40-96A6-1B3B3AB1845C}"/>
    <cellStyle name="Millares 2 3 2 2 4" xfId="935" xr:uid="{E575BD7B-B4BF-4B38-B080-B89096A678B7}"/>
    <cellStyle name="Millares 2 3 2 3" xfId="341" xr:uid="{A26861E0-7E1B-45D1-BB2D-D76E88B2AF39}"/>
    <cellStyle name="Millares 2 3 2 3 2" xfId="680" xr:uid="{1088B2E6-5A7E-4FF8-BFE7-AFEA1DF63A7D}"/>
    <cellStyle name="Millares 2 3 2 3 2 2" xfId="1351" xr:uid="{45A9CAB2-7341-491F-AF45-C5B0869FCAA7}"/>
    <cellStyle name="Millares 2 3 2 3 3" xfId="1019" xr:uid="{BEAC5BCA-916B-43E0-97DE-46E3F1FF7E3B}"/>
    <cellStyle name="Millares 2 3 2 4" xfId="514" xr:uid="{2230C496-004C-44F3-A402-7E3EAE63670A}"/>
    <cellStyle name="Millares 2 3 2 4 2" xfId="1185" xr:uid="{31A2AEB1-089F-49E5-B48D-CE9C88EB8329}"/>
    <cellStyle name="Millares 2 3 2 5" xfId="853" xr:uid="{09C21949-8EFA-4CFE-98A1-B379CE0B2DB0}"/>
    <cellStyle name="Millares 2 3 3" xfId="197" xr:uid="{1A0DBA3F-058F-4B26-8089-B0B510C39614}"/>
    <cellStyle name="Millares 2 3 3 2" xfId="383" xr:uid="{ABFDFDEC-2DA9-4BBD-92BC-F83F97385C2C}"/>
    <cellStyle name="Millares 2 3 3 2 2" xfId="722" xr:uid="{2E3D0A01-1AD7-4C4A-B56E-CCC68BB4DE5A}"/>
    <cellStyle name="Millares 2 3 3 2 2 2" xfId="1393" xr:uid="{3981B169-51B4-4292-A483-17B854B8E5F0}"/>
    <cellStyle name="Millares 2 3 3 2 3" xfId="1061" xr:uid="{EF9ECDD0-1B16-4EDD-B19E-362C45E30B90}"/>
    <cellStyle name="Millares 2 3 3 3" xfId="556" xr:uid="{73B35811-A92D-4CCB-8E7D-6A7C7A5FB607}"/>
    <cellStyle name="Millares 2 3 3 3 2" xfId="1227" xr:uid="{21EE58CE-2B63-41C4-A124-E44C79011644}"/>
    <cellStyle name="Millares 2 3 3 4" xfId="895" xr:uid="{291465EA-9266-4183-A6F9-248F63FE7CAF}"/>
    <cellStyle name="Millares 2 3 4" xfId="301" xr:uid="{B1E706B8-4467-4AE7-BD26-377FBF4AE527}"/>
    <cellStyle name="Millares 2 3 4 2" xfId="640" xr:uid="{16131E17-E954-4CCE-9A9D-8FCBF0AF0C17}"/>
    <cellStyle name="Millares 2 3 4 2 2" xfId="1311" xr:uid="{D256A65C-129F-400B-9CDE-DD63D747180A}"/>
    <cellStyle name="Millares 2 3 4 3" xfId="979" xr:uid="{8AA9AED2-E3EA-4A5D-8C65-C25F2989051F}"/>
    <cellStyle name="Millares 2 3 5" xfId="474" xr:uid="{159ADE71-F27A-417C-BBE5-95D65E12CCF3}"/>
    <cellStyle name="Millares 2 3 5 2" xfId="1145" xr:uid="{07323CFF-52B1-4310-930E-4EAEB0ED6025}"/>
    <cellStyle name="Millares 2 3 6" xfId="813" xr:uid="{8C6066A0-7422-45B1-A6F2-8F8DE6D5CD8E}"/>
    <cellStyle name="Millares 2 4" xfId="127" xr:uid="{449FBA87-0865-4842-A05C-8058C16EBE7C}"/>
    <cellStyle name="Millares 2 4 2" xfId="218" xr:uid="{762934F3-05C7-4378-B663-0E0D0548D8C1}"/>
    <cellStyle name="Millares 2 4 2 2" xfId="404" xr:uid="{67FF189D-3F91-419A-B715-4C8B5AD6C446}"/>
    <cellStyle name="Millares 2 4 2 2 2" xfId="743" xr:uid="{F79075C2-1945-4BEE-BF59-1BBB70FE22DB}"/>
    <cellStyle name="Millares 2 4 2 2 2 2" xfId="1414" xr:uid="{A8D02887-2828-4E29-AD73-EAAF51B4F497}"/>
    <cellStyle name="Millares 2 4 2 2 3" xfId="1082" xr:uid="{C89D3C4F-ED1D-465B-AB13-0DD33568D3B2}"/>
    <cellStyle name="Millares 2 4 2 3" xfId="577" xr:uid="{93A7DEC4-D758-48B3-95A9-3986D997A5E9}"/>
    <cellStyle name="Millares 2 4 2 3 2" xfId="1248" xr:uid="{1454CBD2-860F-44A3-B59F-16267A15DF31}"/>
    <cellStyle name="Millares 2 4 2 4" xfId="916" xr:uid="{66A89D02-7D72-41FE-AF3F-3E30E05040EA}"/>
    <cellStyle name="Millares 2 4 3" xfId="322" xr:uid="{781EE1E0-1453-42A5-AC39-039B917165D2}"/>
    <cellStyle name="Millares 2 4 3 2" xfId="661" xr:uid="{1E6F4374-28C8-4D84-8DBE-6EB271024E46}"/>
    <cellStyle name="Millares 2 4 3 2 2" xfId="1332" xr:uid="{4140CD75-048B-4A47-A40F-BCBF16A3C45B}"/>
    <cellStyle name="Millares 2 4 3 3" xfId="1000" xr:uid="{084B78C9-C256-473C-B280-DD3DD163B7E3}"/>
    <cellStyle name="Millares 2 4 4" xfId="495" xr:uid="{CFEBF265-3AE5-495B-8F8F-BF4C9064C9B8}"/>
    <cellStyle name="Millares 2 4 4 2" xfId="1166" xr:uid="{0501ABCE-9742-4A2B-A03C-EBA9FA9D2E60}"/>
    <cellStyle name="Millares 2 4 5" xfId="834" xr:uid="{4B458409-13A6-4193-A7A9-FC08B89A52CD}"/>
    <cellStyle name="Millares 2 5" xfId="177" xr:uid="{1E4A392A-3F56-4F15-8AC9-BB8DD32E4AF8}"/>
    <cellStyle name="Millares 2 5 2" xfId="364" xr:uid="{6CA61786-F737-4952-A453-C6E2A7619CAF}"/>
    <cellStyle name="Millares 2 5 2 2" xfId="703" xr:uid="{33CADBB1-159B-4031-A42E-740289CF4B42}"/>
    <cellStyle name="Millares 2 5 2 2 2" xfId="1374" xr:uid="{AE9CDF96-3F29-42B0-8796-36734810826C}"/>
    <cellStyle name="Millares 2 5 2 3" xfId="1042" xr:uid="{810F9BCD-F5DC-4367-8336-E77B522A49F5}"/>
    <cellStyle name="Millares 2 5 3" xfId="537" xr:uid="{135A594C-E1D0-47AE-B0D7-F3D4A0A620FE}"/>
    <cellStyle name="Millares 2 5 3 2" xfId="1208" xr:uid="{749BF675-D6DA-4E84-90A5-AB52B5DC7DE7}"/>
    <cellStyle name="Millares 2 5 4" xfId="876" xr:uid="{D5FC3B93-3A11-4CA6-A4F2-FA309F00EF35}"/>
    <cellStyle name="Millares 2 6" xfId="265" xr:uid="{D923FAAB-466D-495A-A81A-F8BFE014B690}"/>
    <cellStyle name="Millares 2 7" xfId="281" xr:uid="{0239E453-BC3E-4366-A93F-5EB793B38294}"/>
    <cellStyle name="Millares 2 7 2" xfId="621" xr:uid="{E3C41BAC-76A6-4658-B611-C00A3994DC68}"/>
    <cellStyle name="Millares 2 7 2 2" xfId="1292" xr:uid="{7765ABB3-9A8C-45F3-AA96-382A485FC36E}"/>
    <cellStyle name="Millares 2 7 3" xfId="960" xr:uid="{ACF9C103-2EB4-47A5-A8A0-BD5202781862}"/>
    <cellStyle name="Millares 2 8" xfId="454" xr:uid="{544218C7-B757-44EA-B1B8-882D7FAF21F9}"/>
    <cellStyle name="Millares 2 8 2" xfId="1126" xr:uid="{45F6CDAA-012E-4444-9986-6088989F7A92}"/>
    <cellStyle name="Millares 2 9" xfId="793" xr:uid="{A8A4D516-B0A3-41C4-9EB2-468FA3A089F1}"/>
    <cellStyle name="Millares 3" xfId="77" xr:uid="{8125CAEA-A1F0-444D-AF9A-4D9A8FACB258}"/>
    <cellStyle name="Millares 3 2" xfId="106" xr:uid="{B5C32972-BB91-4E3F-8F25-EBA3988018E4}"/>
    <cellStyle name="Millares 3 2 2" xfId="64" xr:uid="{00000000-0005-0000-0000-00002A000000}"/>
    <cellStyle name="Millares 3 2 2 2" xfId="270" xr:uid="{A4DAEC2D-93DA-4F28-BC03-3D89F928F269}"/>
    <cellStyle name="Millares 3 2 3" xfId="154" xr:uid="{FB931F88-E7C8-421A-A9E6-334B7DEC76B9}"/>
    <cellStyle name="Millares 3 2 3 2" xfId="243" xr:uid="{47646094-F713-429A-B358-E2603E9D0A64}"/>
    <cellStyle name="Millares 3 2 3 2 2" xfId="429" xr:uid="{1C58F666-4C83-4B25-B340-0C8D81813D77}"/>
    <cellStyle name="Millares 3 2 3 2 2 2" xfId="768" xr:uid="{590C354A-45E9-4CAB-A1AD-09DEAA594D3B}"/>
    <cellStyle name="Millares 3 2 3 2 2 2 2" xfId="1439" xr:uid="{DF1E1F68-146F-479F-8A45-64D403789425}"/>
    <cellStyle name="Millares 3 2 3 2 2 3" xfId="1107" xr:uid="{C783CF89-A600-44FF-B0C7-EAD3DC2515F0}"/>
    <cellStyle name="Millares 3 2 3 2 3" xfId="602" xr:uid="{222C004E-AA3A-4ADC-B9B8-DEF082FC3C5B}"/>
    <cellStyle name="Millares 3 2 3 2 3 2" xfId="1273" xr:uid="{A19082F0-DC4F-42EA-BF42-7DA9CAA778C1}"/>
    <cellStyle name="Millares 3 2 3 2 4" xfId="941" xr:uid="{767B17BD-5635-4C4C-9388-97971DBA458A}"/>
    <cellStyle name="Millares 3 2 3 3" xfId="347" xr:uid="{3F9DD1F6-5109-41E7-BBEC-847CD61404D8}"/>
    <cellStyle name="Millares 3 2 3 3 2" xfId="686" xr:uid="{ADF5CD21-7FF5-4426-8F54-465E4807CCC6}"/>
    <cellStyle name="Millares 3 2 3 3 2 2" xfId="1357" xr:uid="{1E140DB2-6D60-4716-9607-B6F3AD283813}"/>
    <cellStyle name="Millares 3 2 3 3 3" xfId="1025" xr:uid="{46172428-3CDC-42AD-8DCD-C921A1E61951}"/>
    <cellStyle name="Millares 3 2 3 4" xfId="520" xr:uid="{9FC98C13-9B6F-4B34-B14C-199AF0D84EBB}"/>
    <cellStyle name="Millares 3 2 3 4 2" xfId="1191" xr:uid="{910C32C9-B6ED-4434-A278-FF0DB39C5C99}"/>
    <cellStyle name="Millares 3 2 3 5" xfId="859" xr:uid="{C6112A8A-ED1C-4987-AA73-3358E96585FB}"/>
    <cellStyle name="Millares 3 2 4" xfId="203" xr:uid="{F9753AF7-7136-4E2D-AE31-E8EA16EBFF44}"/>
    <cellStyle name="Millares 3 2 4 2" xfId="389" xr:uid="{34A605FD-FC39-4AA3-85EA-C122E8F91EC2}"/>
    <cellStyle name="Millares 3 2 4 2 2" xfId="728" xr:uid="{9C5ED902-F2CA-4FAE-BA31-18ACEE5A5CA5}"/>
    <cellStyle name="Millares 3 2 4 2 2 2" xfId="1399" xr:uid="{1A97BC70-8823-488F-8C83-BC43C1251A4E}"/>
    <cellStyle name="Millares 3 2 4 2 3" xfId="1067" xr:uid="{74FE4BBE-8CC9-480A-96AC-83AE072B3184}"/>
    <cellStyle name="Millares 3 2 4 3" xfId="562" xr:uid="{E874C012-F339-4ADB-9F6B-3AB09D65CB99}"/>
    <cellStyle name="Millares 3 2 4 3 2" xfId="1233" xr:uid="{AE706983-DDE9-48E8-A264-4F0E7B49D835}"/>
    <cellStyle name="Millares 3 2 4 4" xfId="901" xr:uid="{8FBA08FA-5CAB-456B-961F-0C81ACDB938B}"/>
    <cellStyle name="Millares 3 2 5" xfId="307" xr:uid="{3A6E39D0-CAE3-4452-B2B9-DFB6EA42D3A0}"/>
    <cellStyle name="Millares 3 2 5 2" xfId="646" xr:uid="{39069C8A-3407-42CB-A4E7-FE2DDD5C9141}"/>
    <cellStyle name="Millares 3 2 5 2 2" xfId="1317" xr:uid="{4F819216-FC40-4079-BED6-97462865C572}"/>
    <cellStyle name="Millares 3 2 5 3" xfId="985" xr:uid="{CB867303-FFA4-4B5C-85CE-9CE1F705D3E6}"/>
    <cellStyle name="Millares 3 2 6" xfId="480" xr:uid="{B2E8A751-138D-4B2F-B9A5-18440F299D71}"/>
    <cellStyle name="Millares 3 2 6 2" xfId="1151" xr:uid="{531DE5E6-6317-4BE7-9650-68414FE0CF16}"/>
    <cellStyle name="Millares 3 2 7" xfId="819" xr:uid="{C30E5EE5-E293-4FD4-B5BE-4284ED35B297}"/>
    <cellStyle name="Millares 3 3" xfId="135" xr:uid="{923AB79C-9CF0-42E5-A81C-8ED70AA2604A}"/>
    <cellStyle name="Millares 3 3 2" xfId="224" xr:uid="{A4CF8440-BB02-4BF1-B04D-AC2A1502154B}"/>
    <cellStyle name="Millares 3 3 2 2" xfId="410" xr:uid="{7473E524-C436-4A3B-8602-1941C88E6CDB}"/>
    <cellStyle name="Millares 3 3 2 2 2" xfId="749" xr:uid="{E34791E5-D838-46AB-8B96-AC743E2ECAFF}"/>
    <cellStyle name="Millares 3 3 2 2 2 2" xfId="1420" xr:uid="{6130E4EE-8607-4BBA-A5A5-6C95B778B852}"/>
    <cellStyle name="Millares 3 3 2 2 3" xfId="1088" xr:uid="{27F11ED7-1542-4274-BFE5-1E6882E9403B}"/>
    <cellStyle name="Millares 3 3 2 3" xfId="583" xr:uid="{CC41A6E0-AFCE-4FA4-8FAA-A28664102D07}"/>
    <cellStyle name="Millares 3 3 2 3 2" xfId="1254" xr:uid="{F041F679-7891-497A-8B37-2B39DC600CA9}"/>
    <cellStyle name="Millares 3 3 2 4" xfId="922" xr:uid="{C91379A0-E149-4C05-8F4F-98E8EDD99B95}"/>
    <cellStyle name="Millares 3 3 3" xfId="328" xr:uid="{BF0B5C45-C724-4457-81A3-D22CEEED3F45}"/>
    <cellStyle name="Millares 3 3 3 2" xfId="667" xr:uid="{CEEE6F47-2713-4BB7-9CBB-0F2369253FD8}"/>
    <cellStyle name="Millares 3 3 3 2 2" xfId="1338" xr:uid="{5F424CBC-8192-4E0E-963B-48B19D764ABA}"/>
    <cellStyle name="Millares 3 3 3 3" xfId="1006" xr:uid="{0B8F6F68-5410-4D92-B573-930767AF3540}"/>
    <cellStyle name="Millares 3 3 4" xfId="501" xr:uid="{D4136541-0063-4E55-81D9-896F60236D34}"/>
    <cellStyle name="Millares 3 3 4 2" xfId="1172" xr:uid="{CDBA93B6-C33B-46B7-9684-D82DC83BFDEA}"/>
    <cellStyle name="Millares 3 3 5" xfId="840" xr:uid="{4727B410-BE0D-4F6F-BD45-AE38DD0B117F}"/>
    <cellStyle name="Millares 3 4" xfId="184" xr:uid="{BC864754-C4EA-40E1-A0A5-4C48956CAA1B}"/>
    <cellStyle name="Millares 3 4 2" xfId="370" xr:uid="{6E72020A-CE50-41CD-A46A-33CEECC28A18}"/>
    <cellStyle name="Millares 3 4 2 2" xfId="709" xr:uid="{60FD28D9-E1F7-4FE6-9E37-81E29986944C}"/>
    <cellStyle name="Millares 3 4 2 2 2" xfId="1380" xr:uid="{F9EF0412-5A65-4E0A-9C84-434E45BAC6B8}"/>
    <cellStyle name="Millares 3 4 2 3" xfId="1048" xr:uid="{8C943B1C-AC31-4134-B3BC-38C1AA8AAC02}"/>
    <cellStyle name="Millares 3 4 3" xfId="543" xr:uid="{FD0CDD90-2D4C-46C6-8458-37D92FCA0BD6}"/>
    <cellStyle name="Millares 3 4 3 2" xfId="1214" xr:uid="{A543E87F-3F03-4B23-B497-A8F7745330CA}"/>
    <cellStyle name="Millares 3 4 4" xfId="882" xr:uid="{5E620D2C-B625-46A4-9B0D-A700F49F8BFB}"/>
    <cellStyle name="Millares 3 5" xfId="288" xr:uid="{60F2EDF0-0982-4BE4-9867-E99FCF6AA420}"/>
    <cellStyle name="Millares 3 5 2" xfId="627" xr:uid="{C0123CEB-89D7-4542-9AFF-10197D863ECE}"/>
    <cellStyle name="Millares 3 5 2 2" xfId="1298" xr:uid="{277F62C2-2FB6-441B-A6A3-3283C2AE0589}"/>
    <cellStyle name="Millares 3 5 3" xfId="966" xr:uid="{934D8E7E-EACB-4DE7-9008-0871EE12A4F9}"/>
    <cellStyle name="Millares 3 6" xfId="461" xr:uid="{E8B8B6F6-41FF-4637-9E9F-80CB248C9E75}"/>
    <cellStyle name="Millares 3 6 2" xfId="1132" xr:uid="{7C67976A-08DB-4B57-B9D2-54DE7D4969BC}"/>
    <cellStyle name="Millares 3 7" xfId="800" xr:uid="{E5629D35-D522-4BA2-BED7-D854A1498D4F}"/>
    <cellStyle name="Millares 30 2 2" xfId="62" xr:uid="{00000000-0005-0000-0000-00002B000000}"/>
    <cellStyle name="Millares 30 2 2 2" xfId="83" xr:uid="{796EBA30-E851-4C27-936B-EFC415F0D5E5}"/>
    <cellStyle name="Millares 30 2 2 2 2" xfId="111" xr:uid="{C4790EB3-A15C-4B85-A2EB-25188DB1F8C9}"/>
    <cellStyle name="Millares 30 2 2 2 2 2" xfId="159" xr:uid="{21DFE396-1860-49CB-98C6-CADC274F620D}"/>
    <cellStyle name="Millares 30 2 2 2 2 2 2" xfId="248" xr:uid="{0E731129-13B0-4301-8F8C-D5027E8FF125}"/>
    <cellStyle name="Millares 30 2 2 2 2 2 2 2" xfId="434" xr:uid="{3538455A-78EF-47FE-A10C-B91A082495C1}"/>
    <cellStyle name="Millares 30 2 2 2 2 2 2 2 2" xfId="773" xr:uid="{428D91B6-F551-4575-B533-3FB72DB94569}"/>
    <cellStyle name="Millares 30 2 2 2 2 2 2 2 2 2" xfId="1444" xr:uid="{F7CF2B0F-A3AF-41BC-B034-E374DDFBFA63}"/>
    <cellStyle name="Millares 30 2 2 2 2 2 2 2 3" xfId="1112" xr:uid="{D5775DCC-EE6F-49B4-B94E-1108FCFF9DA6}"/>
    <cellStyle name="Millares 30 2 2 2 2 2 2 3" xfId="607" xr:uid="{42CB9311-5552-4081-80F8-9E4ACE491EFC}"/>
    <cellStyle name="Millares 30 2 2 2 2 2 2 3 2" xfId="1278" xr:uid="{DEA49A34-CB22-4E91-9143-F0C02ED960E7}"/>
    <cellStyle name="Millares 30 2 2 2 2 2 2 4" xfId="946" xr:uid="{89044412-DA35-46BD-9C86-3CF876021DB3}"/>
    <cellStyle name="Millares 30 2 2 2 2 2 3" xfId="352" xr:uid="{61C9CD23-0568-4E7A-BED4-73116BE58C11}"/>
    <cellStyle name="Millares 30 2 2 2 2 2 3 2" xfId="691" xr:uid="{E0CAC90A-62B4-4773-911F-3499A5BDC0D1}"/>
    <cellStyle name="Millares 30 2 2 2 2 2 3 2 2" xfId="1362" xr:uid="{BA8853A9-CC83-4912-B072-C4381E76FDD0}"/>
    <cellStyle name="Millares 30 2 2 2 2 2 3 3" xfId="1030" xr:uid="{591D95C6-BD26-4A71-A6E8-8813FECE455B}"/>
    <cellStyle name="Millares 30 2 2 2 2 2 4" xfId="525" xr:uid="{78AFA7B6-D4F9-4997-8CCF-A30B48458F0F}"/>
    <cellStyle name="Millares 30 2 2 2 2 2 4 2" xfId="1196" xr:uid="{D2FD931E-520A-4803-BA67-9692AB9B5D55}"/>
    <cellStyle name="Millares 30 2 2 2 2 2 5" xfId="864" xr:uid="{85C42BA0-3509-4180-BD81-60F6B3CC802B}"/>
    <cellStyle name="Millares 30 2 2 2 2 3" xfId="208" xr:uid="{6586CC8A-F07F-4F6E-8C7F-44E31A87C1C7}"/>
    <cellStyle name="Millares 30 2 2 2 2 3 2" xfId="394" xr:uid="{1BCE81FB-B2A7-4D1A-A190-247DB91C67E7}"/>
    <cellStyle name="Millares 30 2 2 2 2 3 2 2" xfId="733" xr:uid="{95F9BCF9-DB50-4116-A037-8E3A4DA24774}"/>
    <cellStyle name="Millares 30 2 2 2 2 3 2 2 2" xfId="1404" xr:uid="{6919C79E-4278-48D7-86B0-D3DC732AFEB5}"/>
    <cellStyle name="Millares 30 2 2 2 2 3 2 3" xfId="1072" xr:uid="{C490A1E5-0931-4986-947C-0407FCF03BBD}"/>
    <cellStyle name="Millares 30 2 2 2 2 3 3" xfId="567" xr:uid="{0ED5AE22-B61A-400A-A11E-99C8413696FE}"/>
    <cellStyle name="Millares 30 2 2 2 2 3 3 2" xfId="1238" xr:uid="{184A0075-B689-4579-BE59-D469FF15ED9D}"/>
    <cellStyle name="Millares 30 2 2 2 2 3 4" xfId="906" xr:uid="{648E30F6-8C61-47F9-ACE9-1B6F6844018A}"/>
    <cellStyle name="Millares 30 2 2 2 2 4" xfId="312" xr:uid="{785B7C58-5B9C-4355-8EBC-124A71CD04EC}"/>
    <cellStyle name="Millares 30 2 2 2 2 4 2" xfId="651" xr:uid="{A34CD3A2-B7D1-4E90-9302-D92C07634FAB}"/>
    <cellStyle name="Millares 30 2 2 2 2 4 2 2" xfId="1322" xr:uid="{F24790C2-201F-4547-ACC3-D8ADC506DEC2}"/>
    <cellStyle name="Millares 30 2 2 2 2 4 3" xfId="990" xr:uid="{EF77DC0D-0F82-464D-B20A-41D5AB4A38A3}"/>
    <cellStyle name="Millares 30 2 2 2 2 5" xfId="485" xr:uid="{38534B9B-340A-49DE-9712-C0BEF09E17C2}"/>
    <cellStyle name="Millares 30 2 2 2 2 5 2" xfId="1156" xr:uid="{C148CEF8-2E06-4AAE-8648-7940CD03EE71}"/>
    <cellStyle name="Millares 30 2 2 2 2 6" xfId="824" xr:uid="{16356C02-49C6-4586-8A86-D8EF5F6A39E7}"/>
    <cellStyle name="Millares 30 2 2 2 3" xfId="140" xr:uid="{4B03158C-FA0C-4A9B-8220-3EFC0B3B01AA}"/>
    <cellStyle name="Millares 30 2 2 2 3 2" xfId="229" xr:uid="{5CA7752F-B423-4C92-8AA9-14320EA2B3A6}"/>
    <cellStyle name="Millares 30 2 2 2 3 2 2" xfId="415" xr:uid="{4DBDB345-E9C8-4C43-81D2-35C4B1D84913}"/>
    <cellStyle name="Millares 30 2 2 2 3 2 2 2" xfId="754" xr:uid="{76DA6ABE-782C-4056-814E-50A6AE5B3E77}"/>
    <cellStyle name="Millares 30 2 2 2 3 2 2 2 2" xfId="1425" xr:uid="{5114A04E-D5F8-49B2-9C0A-4CF2EE88F2AC}"/>
    <cellStyle name="Millares 30 2 2 2 3 2 2 3" xfId="1093" xr:uid="{7CA2181F-E2A3-475A-8CA9-F60EEA11E0FC}"/>
    <cellStyle name="Millares 30 2 2 2 3 2 3" xfId="588" xr:uid="{85F03074-C8C8-4032-B901-98EBF292B1A7}"/>
    <cellStyle name="Millares 30 2 2 2 3 2 3 2" xfId="1259" xr:uid="{D7C92239-A76A-492B-B32F-0FCD3E60D565}"/>
    <cellStyle name="Millares 30 2 2 2 3 2 4" xfId="927" xr:uid="{B4BBA9FB-5F93-4864-A0F4-D69228DAD50D}"/>
    <cellStyle name="Millares 30 2 2 2 3 3" xfId="333" xr:uid="{FD8963F2-8151-4256-AA7B-2C1EA17D7AB5}"/>
    <cellStyle name="Millares 30 2 2 2 3 3 2" xfId="672" xr:uid="{21D67C82-D87A-4D13-ADAF-B24E4D9D18F5}"/>
    <cellStyle name="Millares 30 2 2 2 3 3 2 2" xfId="1343" xr:uid="{A2DC4E32-40A5-4BEC-9A53-BED304450C41}"/>
    <cellStyle name="Millares 30 2 2 2 3 3 3" xfId="1011" xr:uid="{BDC4CB17-544A-4199-B296-CEBAA5AA1E2F}"/>
    <cellStyle name="Millares 30 2 2 2 3 4" xfId="506" xr:uid="{40CFBB22-CB6A-4C47-A55F-732A42FDC5C9}"/>
    <cellStyle name="Millares 30 2 2 2 3 4 2" xfId="1177" xr:uid="{30BCF9A5-BF99-48E0-AE90-6CE4B386B987}"/>
    <cellStyle name="Millares 30 2 2 2 3 5" xfId="845" xr:uid="{F5E9AE41-A9E5-4E31-B092-4DE4774AB7FA}"/>
    <cellStyle name="Millares 30 2 2 2 4" xfId="189" xr:uid="{88C0A94C-BFF1-4C2D-A9B6-C9C65E311BD9}"/>
    <cellStyle name="Millares 30 2 2 2 4 2" xfId="375" xr:uid="{3FF49324-32BF-46E2-80A6-A014107502D5}"/>
    <cellStyle name="Millares 30 2 2 2 4 2 2" xfId="714" xr:uid="{6C4D4057-B4EC-44E9-A7A0-0D67C606DE05}"/>
    <cellStyle name="Millares 30 2 2 2 4 2 2 2" xfId="1385" xr:uid="{43C93C89-A8CC-4352-A202-81408BF781E2}"/>
    <cellStyle name="Millares 30 2 2 2 4 2 3" xfId="1053" xr:uid="{24EBD146-B8AB-49A9-8ACC-BBFF6C0D159D}"/>
    <cellStyle name="Millares 30 2 2 2 4 3" xfId="548" xr:uid="{09CC2D22-49C7-4450-A7EC-E85BF99E5C11}"/>
    <cellStyle name="Millares 30 2 2 2 4 3 2" xfId="1219" xr:uid="{0A1A4CB5-29FC-4D0A-80A7-7E439778C54E}"/>
    <cellStyle name="Millares 30 2 2 2 4 4" xfId="887" xr:uid="{EA59B746-0054-42EA-A04D-1FBC4CBFE86C}"/>
    <cellStyle name="Millares 30 2 2 2 5" xfId="293" xr:uid="{3ADDD96D-544D-4C17-B982-25E02266AC14}"/>
    <cellStyle name="Millares 30 2 2 2 5 2" xfId="632" xr:uid="{8C1E1EBF-E69D-4359-9425-A0E319400ABA}"/>
    <cellStyle name="Millares 30 2 2 2 5 2 2" xfId="1303" xr:uid="{22A0D7E2-905B-48A5-B25A-268DFE0BB7C1}"/>
    <cellStyle name="Millares 30 2 2 2 5 3" xfId="971" xr:uid="{13FDCFA3-37E3-4092-8B6F-00C98DE55C8D}"/>
    <cellStyle name="Millares 30 2 2 2 6" xfId="466" xr:uid="{52EF8A5D-8047-4CF8-BE6D-2CE8F7BE947F}"/>
    <cellStyle name="Millares 30 2 2 2 6 2" xfId="1137" xr:uid="{7C611C07-CA3F-4752-AF5C-B32C1D30D9C7}"/>
    <cellStyle name="Millares 30 2 2 2 7" xfId="805" xr:uid="{9CFB4A06-BA4E-47F4-8010-99051D653244}"/>
    <cellStyle name="Millares 30 2 2 3" xfId="101" xr:uid="{8A1E2FBD-7092-45EB-9B7C-8904F532E945}"/>
    <cellStyle name="Millares 30 2 2 3 2" xfId="150" xr:uid="{CADC819A-43BE-4D6F-8DF8-5B0DF8C09816}"/>
    <cellStyle name="Millares 30 2 2 3 2 2" xfId="239" xr:uid="{CA33B8C1-A856-41CA-B941-82F69001C33E}"/>
    <cellStyle name="Millares 30 2 2 3 2 2 2" xfId="425" xr:uid="{167A71BA-543C-4A83-A266-474B181D7BFB}"/>
    <cellStyle name="Millares 30 2 2 3 2 2 2 2" xfId="764" xr:uid="{046AE161-6879-4050-97DB-AFA675020798}"/>
    <cellStyle name="Millares 30 2 2 3 2 2 2 2 2" xfId="1435" xr:uid="{91CA0A07-507C-4990-A933-918220E737BB}"/>
    <cellStyle name="Millares 30 2 2 3 2 2 2 3" xfId="1103" xr:uid="{6ACC7CF4-2F31-4656-BECA-298E4664BF7A}"/>
    <cellStyle name="Millares 30 2 2 3 2 2 3" xfId="598" xr:uid="{D4B04AAB-671A-47DB-8582-5185FEF71C12}"/>
    <cellStyle name="Millares 30 2 2 3 2 2 3 2" xfId="1269" xr:uid="{8A2C1B67-8972-499F-A96F-14C2FEBA2095}"/>
    <cellStyle name="Millares 30 2 2 3 2 2 4" xfId="937" xr:uid="{E7082847-F84B-4193-B3E9-0AB2F613CCA7}"/>
    <cellStyle name="Millares 30 2 2 3 2 3" xfId="343" xr:uid="{BD4729D0-89F1-4B19-B10B-D6BA1534D52D}"/>
    <cellStyle name="Millares 30 2 2 3 2 3 2" xfId="682" xr:uid="{EA8D974C-CBFF-494C-BB3A-1FF17F9A0C9A}"/>
    <cellStyle name="Millares 30 2 2 3 2 3 2 2" xfId="1353" xr:uid="{A84CB6FC-3C2B-4703-AEBD-FCBAA023B8D8}"/>
    <cellStyle name="Millares 30 2 2 3 2 3 3" xfId="1021" xr:uid="{4DE3B44D-6BEC-4A2F-91D0-92AFC27A8F43}"/>
    <cellStyle name="Millares 30 2 2 3 2 4" xfId="516" xr:uid="{83CE8E6F-D907-47E3-AB06-3063B723F50E}"/>
    <cellStyle name="Millares 30 2 2 3 2 4 2" xfId="1187" xr:uid="{3A12D3A1-1AEC-46BB-A26B-39B4405985D4}"/>
    <cellStyle name="Millares 30 2 2 3 2 5" xfId="855" xr:uid="{9EEF9396-FD8E-4B7B-850F-02C59C070D1B}"/>
    <cellStyle name="Millares 30 2 2 3 3" xfId="199" xr:uid="{4C88EF59-3592-448D-8616-59FE9713E797}"/>
    <cellStyle name="Millares 30 2 2 3 3 2" xfId="385" xr:uid="{FB2047D8-3DB7-4AE3-95AB-D3F3A0A7FEBF}"/>
    <cellStyle name="Millares 30 2 2 3 3 2 2" xfId="724" xr:uid="{07EACB5B-DB04-49FA-93A8-70D3FD0FDB98}"/>
    <cellStyle name="Millares 30 2 2 3 3 2 2 2" xfId="1395" xr:uid="{2BF02096-2990-409E-9BA5-B2C5A637E4A0}"/>
    <cellStyle name="Millares 30 2 2 3 3 2 3" xfId="1063" xr:uid="{DD1AEC78-E59B-43B6-A21D-E4DC73120125}"/>
    <cellStyle name="Millares 30 2 2 3 3 3" xfId="558" xr:uid="{EADD8008-A4C4-4026-B2AB-96136D42D74F}"/>
    <cellStyle name="Millares 30 2 2 3 3 3 2" xfId="1229" xr:uid="{12AAB764-C02E-468D-AC5C-4CF2D4F0C483}"/>
    <cellStyle name="Millares 30 2 2 3 3 4" xfId="897" xr:uid="{E7118E96-131E-473A-9EE9-F8091C558747}"/>
    <cellStyle name="Millares 30 2 2 3 4" xfId="303" xr:uid="{2520EF43-2209-4953-A3A3-5866F27A068C}"/>
    <cellStyle name="Millares 30 2 2 3 4 2" xfId="642" xr:uid="{640F2D93-90D1-4B66-984B-0B38F309CEDD}"/>
    <cellStyle name="Millares 30 2 2 3 4 2 2" xfId="1313" xr:uid="{10FEE310-091C-4097-9C80-7178439E7E48}"/>
    <cellStyle name="Millares 30 2 2 3 4 3" xfId="981" xr:uid="{6DF43DA5-583C-4702-80D8-ACDB3490F871}"/>
    <cellStyle name="Millares 30 2 2 3 5" xfId="476" xr:uid="{9FDC321D-5D4B-4CB3-8315-3AE3AFD066BD}"/>
    <cellStyle name="Millares 30 2 2 3 5 2" xfId="1147" xr:uid="{D3086199-FE36-4341-9DCD-D8BCFF41521A}"/>
    <cellStyle name="Millares 30 2 2 3 6" xfId="815" xr:uid="{E93523C2-01D0-4CAA-8760-8CF0453962AB}"/>
    <cellStyle name="Millares 30 2 2 4" xfId="130" xr:uid="{8ED59073-57EF-435F-8092-0DB2ECACD37A}"/>
    <cellStyle name="Millares 30 2 2 4 2" xfId="220" xr:uid="{DDBF1A55-A8B1-4777-A90A-AC5E4A2551B9}"/>
    <cellStyle name="Millares 30 2 2 4 2 2" xfId="406" xr:uid="{8987D6F1-D49F-4E88-9232-AF3FA433DE6C}"/>
    <cellStyle name="Millares 30 2 2 4 2 2 2" xfId="745" xr:uid="{7D25E7DF-59A6-4F62-9209-953CF569A5EE}"/>
    <cellStyle name="Millares 30 2 2 4 2 2 2 2" xfId="1416" xr:uid="{CC1FEE6D-5DE9-4DC8-A04D-E3850A6B7240}"/>
    <cellStyle name="Millares 30 2 2 4 2 2 3" xfId="1084" xr:uid="{5BBDD159-92F3-4781-9356-19664B2E5E14}"/>
    <cellStyle name="Millares 30 2 2 4 2 3" xfId="579" xr:uid="{9B8C103C-EC18-4D2D-9A28-F68572E48F80}"/>
    <cellStyle name="Millares 30 2 2 4 2 3 2" xfId="1250" xr:uid="{5B7C3ED1-50FF-4EF5-B452-C8A1358299D4}"/>
    <cellStyle name="Millares 30 2 2 4 2 4" xfId="918" xr:uid="{0C94CF96-0648-4933-A6CE-E9BA530DC6FE}"/>
    <cellStyle name="Millares 30 2 2 4 3" xfId="324" xr:uid="{DA07F35B-8E72-4E86-BED3-5E3EE372B14C}"/>
    <cellStyle name="Millares 30 2 2 4 3 2" xfId="663" xr:uid="{60AA21DF-B8CE-4FCA-8252-94377F5D751B}"/>
    <cellStyle name="Millares 30 2 2 4 3 2 2" xfId="1334" xr:uid="{EEF0785D-5AD5-4CA4-8139-40307ED6F05B}"/>
    <cellStyle name="Millares 30 2 2 4 3 3" xfId="1002" xr:uid="{493DD05F-7E3C-4524-8755-4C0DC351C6BE}"/>
    <cellStyle name="Millares 30 2 2 4 4" xfId="497" xr:uid="{EACF3655-685E-4BA4-9A32-69C4DAD96DF7}"/>
    <cellStyle name="Millares 30 2 2 4 4 2" xfId="1168" xr:uid="{FBED69A6-E9E8-4695-BAA2-30A643AC378A}"/>
    <cellStyle name="Millares 30 2 2 4 5" xfId="836" xr:uid="{2C483528-B628-43EB-8BEA-F8A627D9CCC7}"/>
    <cellStyle name="Millares 30 2 2 5" xfId="180" xr:uid="{34E2ADD5-7C4F-419B-9CB5-F8FEB8A129DE}"/>
    <cellStyle name="Millares 30 2 2 5 2" xfId="366" xr:uid="{6D2A98C2-D104-4E7F-A92A-259BC261569C}"/>
    <cellStyle name="Millares 30 2 2 5 2 2" xfId="705" xr:uid="{2A7AA9CC-F6BE-4559-AA39-303A208F4F80}"/>
    <cellStyle name="Millares 30 2 2 5 2 2 2" xfId="1376" xr:uid="{A6745AB4-0DFD-4B86-90A0-A1902EE73E2B}"/>
    <cellStyle name="Millares 30 2 2 5 2 3" xfId="1044" xr:uid="{02AFEF8C-B015-498E-A467-44827F7A1619}"/>
    <cellStyle name="Millares 30 2 2 5 3" xfId="539" xr:uid="{8CA54C68-4833-4CE9-B963-A0CE04503EA1}"/>
    <cellStyle name="Millares 30 2 2 5 3 2" xfId="1210" xr:uid="{D9342CC4-C82A-4A63-9188-F7DFA795629F}"/>
    <cellStyle name="Millares 30 2 2 5 4" xfId="878" xr:uid="{EF8E80C0-8D33-4C5B-85AB-A1AE705B9880}"/>
    <cellStyle name="Millares 30 2 2 6" xfId="269" xr:uid="{AF27BD78-3864-4EA3-B4CF-CD14E5B910CF}"/>
    <cellStyle name="Millares 30 2 2 7" xfId="284" xr:uid="{A075BEED-F6E6-41C6-ADB3-F99C2981EEDE}"/>
    <cellStyle name="Millares 30 2 2 7 2" xfId="623" xr:uid="{3995F12B-0DBF-4FA1-BAFA-F48EE9B5C157}"/>
    <cellStyle name="Millares 30 2 2 7 2 2" xfId="1294" xr:uid="{55A75B05-247B-43C6-BEAE-EF62C1CF5719}"/>
    <cellStyle name="Millares 30 2 2 7 3" xfId="962" xr:uid="{B17439B3-A256-47C5-9673-C1AF19BF9F12}"/>
    <cellStyle name="Millares 30 2 2 8" xfId="457" xr:uid="{DACDECF5-A99A-4EE2-AC46-9976629BB10F}"/>
    <cellStyle name="Millares 30 2 2 8 2" xfId="1128" xr:uid="{94C5CFD4-E809-4D80-9CAA-EBAED08637BA}"/>
    <cellStyle name="Millares 30 2 2 9" xfId="796" xr:uid="{0ABD3EEC-6FB5-4C7B-9EA7-6F2E79D015E3}"/>
    <cellStyle name="Millares 4" xfId="86" xr:uid="{08B365DA-75A6-4419-A0E6-6DD2CCE08AA2}"/>
    <cellStyle name="Millares 4 2" xfId="113" xr:uid="{3ECE4609-F767-4CFC-800B-B7E2331BFC3D}"/>
    <cellStyle name="Millares 4 2 2" xfId="161" xr:uid="{0F84ABF8-99F7-4BCE-B999-9B2AF5999B31}"/>
    <cellStyle name="Millares 4 2 2 2" xfId="250" xr:uid="{805A229C-2B80-4197-AA4F-BDAD711FC3B2}"/>
    <cellStyle name="Millares 4 2 2 2 2" xfId="436" xr:uid="{B5835E31-AF53-4D74-8F01-019C516B2CFD}"/>
    <cellStyle name="Millares 4 2 2 2 2 2" xfId="775" xr:uid="{62F90A70-8839-44DE-994A-D64BCA0BA5E1}"/>
    <cellStyle name="Millares 4 2 2 2 2 2 2" xfId="1446" xr:uid="{21519AEC-D73D-42C2-888C-F058967C9493}"/>
    <cellStyle name="Millares 4 2 2 2 2 3" xfId="1114" xr:uid="{175D6DBE-25B8-406C-A191-4520821F5B12}"/>
    <cellStyle name="Millares 4 2 2 2 3" xfId="609" xr:uid="{5977CBE7-DDF1-4761-8C5D-2E0D223C32C5}"/>
    <cellStyle name="Millares 4 2 2 2 3 2" xfId="1280" xr:uid="{9D58460E-29AE-406E-83E7-2A8EE25F458E}"/>
    <cellStyle name="Millares 4 2 2 2 4" xfId="948" xr:uid="{C598A9EA-626A-4846-BC62-D44DCBB1CBA5}"/>
    <cellStyle name="Millares 4 2 2 3" xfId="354" xr:uid="{65E614FB-6F18-4538-B14F-B9C16018C662}"/>
    <cellStyle name="Millares 4 2 2 3 2" xfId="693" xr:uid="{692DA37F-E316-46AC-9FD1-49609215F592}"/>
    <cellStyle name="Millares 4 2 2 3 2 2" xfId="1364" xr:uid="{CA2F3818-1FE2-4B45-9F97-1004F55AB696}"/>
    <cellStyle name="Millares 4 2 2 3 3" xfId="1032" xr:uid="{0CB2F997-4B1A-48EE-B139-4F1B1A2F8568}"/>
    <cellStyle name="Millares 4 2 2 4" xfId="527" xr:uid="{AB34CC75-8A80-41C1-923B-ADE9E7C0F96E}"/>
    <cellStyle name="Millares 4 2 2 4 2" xfId="1198" xr:uid="{69342184-CC72-469C-88EA-DDEE5404F263}"/>
    <cellStyle name="Millares 4 2 2 5" xfId="866" xr:uid="{C7EBD584-D673-4A33-8DAD-FE440333BCBC}"/>
    <cellStyle name="Millares 4 2 3" xfId="210" xr:uid="{ADF0D787-78CF-4CC0-99A0-BA110859ECEA}"/>
    <cellStyle name="Millares 4 2 3 2" xfId="396" xr:uid="{BF737D63-39CC-427E-8F71-51EA700098CC}"/>
    <cellStyle name="Millares 4 2 3 2 2" xfId="735" xr:uid="{710668A1-741E-4E47-80C5-FC7A779CD89F}"/>
    <cellStyle name="Millares 4 2 3 2 2 2" xfId="1406" xr:uid="{9C8CDB8D-43F8-4A74-8657-59ADB974043C}"/>
    <cellStyle name="Millares 4 2 3 2 3" xfId="1074" xr:uid="{087B57E3-67D2-4881-8338-74861E7215D3}"/>
    <cellStyle name="Millares 4 2 3 3" xfId="569" xr:uid="{010E4EEF-B602-4131-A467-0B785F7FAFA2}"/>
    <cellStyle name="Millares 4 2 3 3 2" xfId="1240" xr:uid="{8980D7B0-4ADB-403F-83A0-60BE63630F12}"/>
    <cellStyle name="Millares 4 2 3 4" xfId="908" xr:uid="{9B1ABCBB-A76E-4E2C-9939-241654C4625C}"/>
    <cellStyle name="Millares 4 2 4" xfId="314" xr:uid="{C50E6D60-5E56-483D-8D3D-2F3CDE6A7871}"/>
    <cellStyle name="Millares 4 2 4 2" xfId="653" xr:uid="{454C1931-72B8-49D2-AACE-47FB459B3219}"/>
    <cellStyle name="Millares 4 2 4 2 2" xfId="1324" xr:uid="{B2080B68-8D03-4B68-B393-6F93B19B5EE6}"/>
    <cellStyle name="Millares 4 2 4 3" xfId="992" xr:uid="{B86AD3FE-EE72-4D80-9462-116E700248C1}"/>
    <cellStyle name="Millares 4 2 5" xfId="487" xr:uid="{4F228336-FE41-40A0-B14D-5DC7565F03C4}"/>
    <cellStyle name="Millares 4 2 5 2" xfId="1158" xr:uid="{96E0CA22-9159-4F59-913F-6F7D1099A57D}"/>
    <cellStyle name="Millares 4 2 6" xfId="826" xr:uid="{654F4840-F45E-452E-ACA8-90FB9FF0533B}"/>
    <cellStyle name="Millares 4 3" xfId="142" xr:uid="{315B2BA4-B274-4B2C-86FB-81DB613E81F0}"/>
    <cellStyle name="Millares 4 3 2" xfId="231" xr:uid="{950CBD55-7E97-4FA4-89FE-803DA14F4534}"/>
    <cellStyle name="Millares 4 3 2 2" xfId="417" xr:uid="{7750E3DB-C4F2-48D6-8680-A48833F4B8B7}"/>
    <cellStyle name="Millares 4 3 2 2 2" xfId="756" xr:uid="{AE1E5129-2691-47CE-946E-AE46C43A46F1}"/>
    <cellStyle name="Millares 4 3 2 2 2 2" xfId="1427" xr:uid="{A7FD7A9C-12A6-44FE-965F-5F069D4FAAE7}"/>
    <cellStyle name="Millares 4 3 2 2 3" xfId="1095" xr:uid="{AADFEDD2-40F7-49C1-9B60-12FB213CF687}"/>
    <cellStyle name="Millares 4 3 2 3" xfId="590" xr:uid="{DCE84727-F64B-4F85-AE8A-81D07AC7A0FD}"/>
    <cellStyle name="Millares 4 3 2 3 2" xfId="1261" xr:uid="{A919E4D2-1394-4032-9D19-40289E620560}"/>
    <cellStyle name="Millares 4 3 2 4" xfId="929" xr:uid="{B3692323-A07C-4605-8A4F-FF9A53ECED8C}"/>
    <cellStyle name="Millares 4 3 3" xfId="335" xr:uid="{9CF719D4-F835-4DBF-AA4C-1288C4E93D60}"/>
    <cellStyle name="Millares 4 3 3 2" xfId="674" xr:uid="{943B9DA5-34C5-49C0-8F5D-C068124FFB8C}"/>
    <cellStyle name="Millares 4 3 3 2 2" xfId="1345" xr:uid="{ACE6D4A9-A943-4CF5-BF02-B1354CEA5BB1}"/>
    <cellStyle name="Millares 4 3 3 3" xfId="1013" xr:uid="{E437C8D4-40D0-4B96-87B4-4A663F223062}"/>
    <cellStyle name="Millares 4 3 4" xfId="508" xr:uid="{5B78A357-2D47-44BE-A178-868650890F11}"/>
    <cellStyle name="Millares 4 3 4 2" xfId="1179" xr:uid="{E5A17DAB-603F-48F8-B8C8-067793DF01D0}"/>
    <cellStyle name="Millares 4 3 5" xfId="847" xr:uid="{BCB1A1D5-AC5D-41EF-8A25-A5AA7D468F24}"/>
    <cellStyle name="Millares 4 4" xfId="191" xr:uid="{DCD15848-BE86-47BF-B7D9-F172429F4A02}"/>
    <cellStyle name="Millares 4 4 2" xfId="377" xr:uid="{B8B7250A-476F-4AFB-82E1-7DE7E968CBD5}"/>
    <cellStyle name="Millares 4 4 2 2" xfId="716" xr:uid="{D807B6C9-401D-417F-AAFC-E15C2B518CE9}"/>
    <cellStyle name="Millares 4 4 2 2 2" xfId="1387" xr:uid="{978D73B3-5E4F-4802-ACC6-A0A42AA9A6D9}"/>
    <cellStyle name="Millares 4 4 2 3" xfId="1055" xr:uid="{010DDAB6-BA22-4668-A08E-98F296EA8BF2}"/>
    <cellStyle name="Millares 4 4 3" xfId="550" xr:uid="{991C9DD4-DF6C-4819-B965-05388282D04A}"/>
    <cellStyle name="Millares 4 4 3 2" xfId="1221" xr:uid="{B8727584-2689-4BC9-9C9B-540AA196AE50}"/>
    <cellStyle name="Millares 4 4 4" xfId="889" xr:uid="{3984DCA9-8873-4732-B63B-53EB36720D50}"/>
    <cellStyle name="Millares 4 5" xfId="295" xr:uid="{4B61598D-CCCC-4284-97C5-1E1BAAF69941}"/>
    <cellStyle name="Millares 4 5 2" xfId="634" xr:uid="{D09DCE85-8FBE-4694-B96E-43A2DCECEE12}"/>
    <cellStyle name="Millares 4 5 2 2" xfId="1305" xr:uid="{923084E3-017B-4CA3-A4F1-FC71948B6DDF}"/>
    <cellStyle name="Millares 4 5 3" xfId="973" xr:uid="{BAC0F1D1-FBB5-4C63-B102-A2EC159E6E4E}"/>
    <cellStyle name="Millares 4 6" xfId="468" xr:uid="{40FD2D19-BBBB-42C1-88FC-2A4A7AA28770}"/>
    <cellStyle name="Millares 4 6 2" xfId="1139" xr:uid="{F73E0024-A65D-4EC0-BC28-C4C38F4A83D3}"/>
    <cellStyle name="Millares 4 7" xfId="807" xr:uid="{91F023DA-9BBE-4575-9961-BB7F52308C66}"/>
    <cellStyle name="Millares 5" xfId="70" xr:uid="{5AE64EA6-DDD9-4014-88F6-3BE67490438E}"/>
    <cellStyle name="Millares 5 2" xfId="105" xr:uid="{B17F66E4-AD67-4E07-AA5E-86F933EAEBC8}"/>
    <cellStyle name="Millares 5 2 2" xfId="153" xr:uid="{AA1BC325-A61F-4FC3-88A8-60019142A644}"/>
    <cellStyle name="Millares 5 2 2 2" xfId="242" xr:uid="{A2E60167-DC8D-4C11-AFFD-AB7906311794}"/>
    <cellStyle name="Millares 5 2 2 2 2" xfId="428" xr:uid="{4A7DD09C-7BE1-4DD9-8D56-91C894E917A0}"/>
    <cellStyle name="Millares 5 2 2 2 2 2" xfId="767" xr:uid="{0D131B75-F268-41DD-8D7A-8BE6EF3AF0D8}"/>
    <cellStyle name="Millares 5 2 2 2 2 2 2" xfId="1438" xr:uid="{FA447A10-AF1D-4E2C-8555-F51F1CA965F1}"/>
    <cellStyle name="Millares 5 2 2 2 2 3" xfId="1106" xr:uid="{E164C94C-473B-464F-89B9-3B65E6FD8045}"/>
    <cellStyle name="Millares 5 2 2 2 3" xfId="601" xr:uid="{8D4D56DD-3FDC-4D4E-84E1-BC7D1B53FE81}"/>
    <cellStyle name="Millares 5 2 2 2 3 2" xfId="1272" xr:uid="{A5179219-5245-406F-A3A7-74E3F1A256CC}"/>
    <cellStyle name="Millares 5 2 2 2 4" xfId="940" xr:uid="{DB7A5271-84B0-41FC-92CA-1F292E075E39}"/>
    <cellStyle name="Millares 5 2 2 3" xfId="346" xr:uid="{C43FF9E9-8B3F-4B28-8842-AECD16016B76}"/>
    <cellStyle name="Millares 5 2 2 3 2" xfId="685" xr:uid="{4722BDD3-6ABD-49D1-80AD-9C0AEFF28C7E}"/>
    <cellStyle name="Millares 5 2 2 3 2 2" xfId="1356" xr:uid="{1EAC50BA-AE03-464B-B01D-DB9803A5478E}"/>
    <cellStyle name="Millares 5 2 2 3 3" xfId="1024" xr:uid="{1158C9D0-0536-4DB4-BF03-F3B39E3F5B7E}"/>
    <cellStyle name="Millares 5 2 2 4" xfId="519" xr:uid="{FF35B3F3-1B71-4BB9-AE44-327BA71F4073}"/>
    <cellStyle name="Millares 5 2 2 4 2" xfId="1190" xr:uid="{08F8FC49-B853-4834-B3EC-67038453B29A}"/>
    <cellStyle name="Millares 5 2 2 5" xfId="858" xr:uid="{670AE9CC-6511-4B03-AF16-12C798DAB0BB}"/>
    <cellStyle name="Millares 5 2 3" xfId="202" xr:uid="{83097C3D-5E39-468F-9D3E-5B54609A0006}"/>
    <cellStyle name="Millares 5 2 3 2" xfId="388" xr:uid="{4905A2C7-8858-447D-9B2D-A25C411BE22C}"/>
    <cellStyle name="Millares 5 2 3 2 2" xfId="727" xr:uid="{CACC7798-06D0-46DA-878D-93A03CB7D4EA}"/>
    <cellStyle name="Millares 5 2 3 2 2 2" xfId="1398" xr:uid="{E4D57CE3-0961-4AA4-A6DD-C386416632A6}"/>
    <cellStyle name="Millares 5 2 3 2 3" xfId="1066" xr:uid="{A682C0F6-4E46-4ACF-A22B-E676F1144F84}"/>
    <cellStyle name="Millares 5 2 3 3" xfId="561" xr:uid="{7B00D357-91D3-43A8-B2A8-F8B52ADECFF2}"/>
    <cellStyle name="Millares 5 2 3 3 2" xfId="1232" xr:uid="{C02F66DA-4011-4A9D-A5DA-66F6241E6F8B}"/>
    <cellStyle name="Millares 5 2 3 4" xfId="900" xr:uid="{F91628B2-30E4-448B-94FF-EEBB67500DCB}"/>
    <cellStyle name="Millares 5 2 4" xfId="306" xr:uid="{8CD1B2BD-2E17-4C1D-93A3-667AEBB637E4}"/>
    <cellStyle name="Millares 5 2 4 2" xfId="645" xr:uid="{95BB08DB-D5E9-406A-856A-6996E2C6D0C8}"/>
    <cellStyle name="Millares 5 2 4 2 2" xfId="1316" xr:uid="{5108AEC2-5278-4FD0-88AA-E8C8D84F2D3E}"/>
    <cellStyle name="Millares 5 2 4 3" xfId="984" xr:uid="{A2B900AC-54D0-4DD7-A117-797E22B9ADB6}"/>
    <cellStyle name="Millares 5 2 5" xfId="479" xr:uid="{AF8728A7-5619-4B40-BF8B-4DFB16EFC012}"/>
    <cellStyle name="Millares 5 2 5 2" xfId="1150" xr:uid="{F2338F25-B59A-444A-877F-BADA6C52A350}"/>
    <cellStyle name="Millares 5 2 6" xfId="818" xr:uid="{D0C5F518-9AD4-436A-BA7E-1247991843E2}"/>
    <cellStyle name="Millares 5 3" xfId="134" xr:uid="{A43669CF-397F-4DC0-841E-00DFFA407E67}"/>
    <cellStyle name="Millares 5 3 2" xfId="223" xr:uid="{7FC0CC43-7172-4BAA-8E36-5BA85D91B2F6}"/>
    <cellStyle name="Millares 5 3 2 2" xfId="409" xr:uid="{3313A5F8-EDE0-4A7C-A9AE-6BB10A67A862}"/>
    <cellStyle name="Millares 5 3 2 2 2" xfId="748" xr:uid="{BF40B340-5CEC-4E7C-B4F4-365BDED86971}"/>
    <cellStyle name="Millares 5 3 2 2 2 2" xfId="1419" xr:uid="{83A59AC7-A458-4393-ABBB-25662380CD1A}"/>
    <cellStyle name="Millares 5 3 2 2 3" xfId="1087" xr:uid="{6688C6A0-355B-42FF-9409-9DAFCE3F3D80}"/>
    <cellStyle name="Millares 5 3 2 3" xfId="582" xr:uid="{6E04FCAA-B86B-4419-8F64-72BC0356E4E9}"/>
    <cellStyle name="Millares 5 3 2 3 2" xfId="1253" xr:uid="{918EDD7D-6E41-49BD-81F9-3C35E3609E6E}"/>
    <cellStyle name="Millares 5 3 2 4" xfId="921" xr:uid="{5A13F86D-F8C9-4AD2-A882-D0027FB5B85C}"/>
    <cellStyle name="Millares 5 3 3" xfId="327" xr:uid="{8DE68147-26FE-42F5-BAF3-BDEFBBE4E4F2}"/>
    <cellStyle name="Millares 5 3 3 2" xfId="666" xr:uid="{B7C0AB80-B758-41A3-B087-0F3A9AE15BB5}"/>
    <cellStyle name="Millares 5 3 3 2 2" xfId="1337" xr:uid="{468E1272-0622-45F0-80EC-D24637E6262E}"/>
    <cellStyle name="Millares 5 3 3 3" xfId="1005" xr:uid="{57EB057D-2D55-47FC-B4C4-D77474EC41EE}"/>
    <cellStyle name="Millares 5 3 4" xfId="500" xr:uid="{6F6114E3-6EEF-4632-BAB4-866145EE5205}"/>
    <cellStyle name="Millares 5 3 4 2" xfId="1171" xr:uid="{47FEF253-1938-4280-8CE9-F821CD817868}"/>
    <cellStyle name="Millares 5 3 5" xfId="839" xr:uid="{3263F918-274A-41FF-AC3C-81BEEB31F49D}"/>
    <cellStyle name="Millares 5 4" xfId="183" xr:uid="{DF51E684-B701-4D42-AAE9-C017EA1EFBA1}"/>
    <cellStyle name="Millares 5 4 2" xfId="369" xr:uid="{B214C3A0-09C7-491A-93B4-8681DD69F44D}"/>
    <cellStyle name="Millares 5 4 2 2" xfId="708" xr:uid="{77834744-4CE5-4AFD-A8E3-74ACBECAAE60}"/>
    <cellStyle name="Millares 5 4 2 2 2" xfId="1379" xr:uid="{EA024271-7D59-49E9-B47E-42F18A933A92}"/>
    <cellStyle name="Millares 5 4 2 3" xfId="1047" xr:uid="{69D180E9-FFDC-46A0-AFD4-D64577916C2E}"/>
    <cellStyle name="Millares 5 4 3" xfId="542" xr:uid="{5C170BE3-C834-4F0A-BB88-0C6069D65BCA}"/>
    <cellStyle name="Millares 5 4 3 2" xfId="1213" xr:uid="{6D03C1C4-911B-4933-BADB-0B713D29A33E}"/>
    <cellStyle name="Millares 5 4 4" xfId="881" xr:uid="{24C2478D-70A7-4768-A31C-49C76D16B8F3}"/>
    <cellStyle name="Millares 5 5" xfId="287" xr:uid="{129FAE71-1515-497E-8BFC-1785D14AADE0}"/>
    <cellStyle name="Millares 5 5 2" xfId="626" xr:uid="{E246E4DA-8916-4C58-804B-BFA86BEC2EE5}"/>
    <cellStyle name="Millares 5 5 2 2" xfId="1297" xr:uid="{0032B086-F65E-4BDA-8BC9-8B67D5F7398F}"/>
    <cellStyle name="Millares 5 5 3" xfId="965" xr:uid="{17CA4B32-8273-4477-B194-B69764F37E9B}"/>
    <cellStyle name="Millares 5 6" xfId="460" xr:uid="{279D3DEC-65EC-4129-9C4A-028F4639D353}"/>
    <cellStyle name="Millares 5 6 2" xfId="1131" xr:uid="{2A5191DA-2A08-4489-902F-E9FA6E4B6449}"/>
    <cellStyle name="Millares 5 7" xfId="799" xr:uid="{6E66C4F2-EF19-4806-91A4-AF7E2E7D7061}"/>
    <cellStyle name="Millares 6" xfId="87" xr:uid="{55D6FB63-9480-4F52-900D-65FDC9794B42}"/>
    <cellStyle name="Millares 6 2" xfId="114" xr:uid="{C8271B63-8485-4F9F-B77C-4B4CB89F1C98}"/>
    <cellStyle name="Millares 6 2 2" xfId="162" xr:uid="{D26E7622-6F04-46AE-B00F-397C0EBFF843}"/>
    <cellStyle name="Millares 6 2 2 2" xfId="251" xr:uid="{4147EF3B-11CE-48DF-AFD1-FFE5E05B437C}"/>
    <cellStyle name="Millares 6 2 2 2 2" xfId="437" xr:uid="{B64F6DDB-80ED-4607-BA10-0CBA12DFD9B3}"/>
    <cellStyle name="Millares 6 2 2 2 2 2" xfId="776" xr:uid="{BC8FE1E9-2AF6-46EA-B488-F768242962BF}"/>
    <cellStyle name="Millares 6 2 2 2 2 2 2" xfId="1447" xr:uid="{41ACAB4C-38AF-4DB9-8100-0B0FBF3D3EB9}"/>
    <cellStyle name="Millares 6 2 2 2 2 3" xfId="1115" xr:uid="{76C48E4A-1DEE-4ACD-9DF3-5831B3B55A91}"/>
    <cellStyle name="Millares 6 2 2 2 3" xfId="610" xr:uid="{FE109650-F8E8-4DEB-94BE-F1D359CFF332}"/>
    <cellStyle name="Millares 6 2 2 2 3 2" xfId="1281" xr:uid="{98C51B74-F971-4B0D-A8D2-FD592DE71444}"/>
    <cellStyle name="Millares 6 2 2 2 4" xfId="949" xr:uid="{098D8DCF-045B-4044-A6CF-424F4F0AECA4}"/>
    <cellStyle name="Millares 6 2 2 3" xfId="355" xr:uid="{C084753A-05EF-4ED4-9743-F0200DB4165B}"/>
    <cellStyle name="Millares 6 2 2 3 2" xfId="694" xr:uid="{C9CE8DD1-F7FA-4956-962F-96552B56BDC3}"/>
    <cellStyle name="Millares 6 2 2 3 2 2" xfId="1365" xr:uid="{3D88A7B3-933D-4DA2-BE43-796EFC87AB5A}"/>
    <cellStyle name="Millares 6 2 2 3 3" xfId="1033" xr:uid="{AB1F968E-660F-4F00-A406-48B2A8ED7EB9}"/>
    <cellStyle name="Millares 6 2 2 4" xfId="528" xr:uid="{45D00979-5493-4385-887D-EFE77F3C5249}"/>
    <cellStyle name="Millares 6 2 2 4 2" xfId="1199" xr:uid="{C312DFE2-8589-4536-A476-564A6644AEB6}"/>
    <cellStyle name="Millares 6 2 2 5" xfId="867" xr:uid="{F243A664-D33E-4FC6-BC01-F963D1656FB9}"/>
    <cellStyle name="Millares 6 2 3" xfId="211" xr:uid="{7BFA1F18-05C7-40A1-A2CF-40DFFC27F6A2}"/>
    <cellStyle name="Millares 6 2 3 2" xfId="397" xr:uid="{D1DB7D47-EF36-49E6-8BCD-75E07F1AB5BD}"/>
    <cellStyle name="Millares 6 2 3 2 2" xfId="736" xr:uid="{62DF42A9-7E26-492D-A40C-334735C5ECAC}"/>
    <cellStyle name="Millares 6 2 3 2 2 2" xfId="1407" xr:uid="{D065ADFC-EADD-4008-96FE-A36A19264D5E}"/>
    <cellStyle name="Millares 6 2 3 2 3" xfId="1075" xr:uid="{8DCB7A07-91F9-4651-9E5B-808232DAF2A6}"/>
    <cellStyle name="Millares 6 2 3 3" xfId="570" xr:uid="{D72262A1-A4A6-4041-A9CD-5DDA67102594}"/>
    <cellStyle name="Millares 6 2 3 3 2" xfId="1241" xr:uid="{335DA7A8-76CF-45B8-AB68-4B523D62935C}"/>
    <cellStyle name="Millares 6 2 3 4" xfId="909" xr:uid="{B7BD6C41-F09A-487C-874D-9FC158F27BB9}"/>
    <cellStyle name="Millares 6 2 4" xfId="315" xr:uid="{E2531D26-A01D-488F-8F95-EA5412AF8652}"/>
    <cellStyle name="Millares 6 2 4 2" xfId="654" xr:uid="{333A9772-5915-4FD6-82FA-06A5086E084E}"/>
    <cellStyle name="Millares 6 2 4 2 2" xfId="1325" xr:uid="{243C9795-6419-41E6-84C6-B581A61FDFEE}"/>
    <cellStyle name="Millares 6 2 4 3" xfId="993" xr:uid="{71992F93-45C8-42D3-A0B7-64068DA26FAD}"/>
    <cellStyle name="Millares 6 2 5" xfId="488" xr:uid="{57DDA354-0C4B-4E55-8AD9-138703F2A579}"/>
    <cellStyle name="Millares 6 2 5 2" xfId="1159" xr:uid="{61F274B9-EEAE-4257-A04D-4D884A29DB3A}"/>
    <cellStyle name="Millares 6 2 6" xfId="827" xr:uid="{1DF6CEB7-C96C-463E-A27B-F9C7685927ED}"/>
    <cellStyle name="Millares 6 3" xfId="143" xr:uid="{C9A12F06-6CE3-4D53-A1A3-57D5BA9F4811}"/>
    <cellStyle name="Millares 6 3 2" xfId="232" xr:uid="{6BD3DBEF-6CF9-403D-A10C-ACB972F20273}"/>
    <cellStyle name="Millares 6 3 2 2" xfId="418" xr:uid="{EA9C147A-5AFF-4CF5-BAAC-B031AA4FFD07}"/>
    <cellStyle name="Millares 6 3 2 2 2" xfId="757" xr:uid="{89B75A3B-E996-4304-8225-990230D5ED9A}"/>
    <cellStyle name="Millares 6 3 2 2 2 2" xfId="1428" xr:uid="{6E06875D-4F40-4DA7-808B-23703D78846E}"/>
    <cellStyle name="Millares 6 3 2 2 3" xfId="1096" xr:uid="{57BFBCE6-1337-4B00-87CE-9FDC87428B60}"/>
    <cellStyle name="Millares 6 3 2 3" xfId="591" xr:uid="{39387D89-46E8-4B43-9282-A569A2A2F282}"/>
    <cellStyle name="Millares 6 3 2 3 2" xfId="1262" xr:uid="{8A440A50-B7C4-4AFE-ABC6-BF5C5493EDBF}"/>
    <cellStyle name="Millares 6 3 2 4" xfId="930" xr:uid="{F6FC5251-D4E1-464C-BF6A-EAC3437740B3}"/>
    <cellStyle name="Millares 6 3 3" xfId="336" xr:uid="{F47EBAEF-BB34-4AE6-9D49-126D70A5835C}"/>
    <cellStyle name="Millares 6 3 3 2" xfId="675" xr:uid="{5419F4D6-4148-4D13-9F1A-265D2BF0510B}"/>
    <cellStyle name="Millares 6 3 3 2 2" xfId="1346" xr:uid="{7B7AF6E0-1F7A-4F0F-B6F3-AF2810AE7CF7}"/>
    <cellStyle name="Millares 6 3 3 3" xfId="1014" xr:uid="{5A3D1B7A-0218-45A8-8157-07555D915B6A}"/>
    <cellStyle name="Millares 6 3 4" xfId="509" xr:uid="{83086061-0129-45B9-B59A-85902208B4E7}"/>
    <cellStyle name="Millares 6 3 4 2" xfId="1180" xr:uid="{E9A7B224-6AD4-4749-A5E0-DD8D71D3A6D5}"/>
    <cellStyle name="Millares 6 3 5" xfId="848" xr:uid="{5D9333B0-4AA7-4C37-978A-7487402ACF9B}"/>
    <cellStyle name="Millares 6 4" xfId="192" xr:uid="{8B89CF34-0403-4C54-9069-CA952CD6F451}"/>
    <cellStyle name="Millares 6 4 2" xfId="378" xr:uid="{B38322BE-4687-4CAD-8EB5-DEDB51523AEB}"/>
    <cellStyle name="Millares 6 4 2 2" xfId="717" xr:uid="{25F220B8-8C3E-4F73-A9AA-60E26F132206}"/>
    <cellStyle name="Millares 6 4 2 2 2" xfId="1388" xr:uid="{2D43309F-7DEA-4C9A-913B-DB74C38B7AF9}"/>
    <cellStyle name="Millares 6 4 2 3" xfId="1056" xr:uid="{07A9BB66-1CA3-482E-B296-B524B0D36316}"/>
    <cellStyle name="Millares 6 4 3" xfId="551" xr:uid="{1B1095CA-B1A7-4DF1-BCC1-E36210282779}"/>
    <cellStyle name="Millares 6 4 3 2" xfId="1222" xr:uid="{58EDD9E4-5E80-441F-AD6A-49440FA3F2E8}"/>
    <cellStyle name="Millares 6 4 4" xfId="890" xr:uid="{C2FF3B5F-2D7F-4453-AA61-FE7E92201E0A}"/>
    <cellStyle name="Millares 6 5" xfId="296" xr:uid="{4982001B-9371-41BC-B6A9-0F185C101B9A}"/>
    <cellStyle name="Millares 6 5 2" xfId="635" xr:uid="{C8767A48-EBC3-4A4A-BA0F-B5C82B53C700}"/>
    <cellStyle name="Millares 6 5 2 2" xfId="1306" xr:uid="{7A35CD86-8EE0-4319-AF84-78F76A3B6C2B}"/>
    <cellStyle name="Millares 6 5 3" xfId="974" xr:uid="{E333344E-1C63-43A9-A267-EFC7EDF1D061}"/>
    <cellStyle name="Millares 6 6" xfId="469" xr:uid="{43FB465C-96AD-486A-A943-EE0D64FE8529}"/>
    <cellStyle name="Millares 6 6 2" xfId="1140" xr:uid="{CB8F843C-D4EF-4F2B-8C36-FCC00B8C134D}"/>
    <cellStyle name="Millares 6 7" xfId="808" xr:uid="{6EA696FF-E42E-4CBF-B1F9-AD31212722F3}"/>
    <cellStyle name="Millares 7" xfId="88" xr:uid="{9C73A5FC-47D5-497F-8FE4-2572A73B4CBB}"/>
    <cellStyle name="Millares 7 2" xfId="115" xr:uid="{905C5B10-1B44-440D-910E-AE128E1A08FF}"/>
    <cellStyle name="Millares 7 2 2" xfId="163" xr:uid="{BB0B6D8F-4DED-4688-B61D-36D79FADB4DE}"/>
    <cellStyle name="Millares 7 2 2 2" xfId="252" xr:uid="{C45B51AE-2157-4A7A-BC35-335FD5D7A1FB}"/>
    <cellStyle name="Millares 7 2 2 2 2" xfId="438" xr:uid="{D41E6006-CA18-464B-84D3-4320C6C3884C}"/>
    <cellStyle name="Millares 7 2 2 2 2 2" xfId="777" xr:uid="{65B0A5CC-7A9F-4B7E-BE60-8FD0E9F4FF55}"/>
    <cellStyle name="Millares 7 2 2 2 2 2 2" xfId="1448" xr:uid="{12F679CA-2B3B-4992-B2FE-FC667D4D6525}"/>
    <cellStyle name="Millares 7 2 2 2 2 3" xfId="1116" xr:uid="{A62F4D81-FB22-4DBF-AB91-440F964D7567}"/>
    <cellStyle name="Millares 7 2 2 2 3" xfId="611" xr:uid="{D330B8AF-98EE-4C2D-837D-34DDBFF4227F}"/>
    <cellStyle name="Millares 7 2 2 2 3 2" xfId="1282" xr:uid="{6E268E2E-28C8-48F8-92B3-0071D5D291FA}"/>
    <cellStyle name="Millares 7 2 2 2 4" xfId="950" xr:uid="{9A193AED-72DB-475A-9543-9CD4BFAB971B}"/>
    <cellStyle name="Millares 7 2 2 3" xfId="356" xr:uid="{AB1A8AA6-21F0-415F-AC4D-9FB6E42F4442}"/>
    <cellStyle name="Millares 7 2 2 3 2" xfId="695" xr:uid="{5A3FCDDA-5B67-45B7-B98C-D1D671036CD5}"/>
    <cellStyle name="Millares 7 2 2 3 2 2" xfId="1366" xr:uid="{7CE53ACD-907E-40FE-BB97-693E52F4C0A2}"/>
    <cellStyle name="Millares 7 2 2 3 3" xfId="1034" xr:uid="{5A3B02E9-E2F4-43AB-BA0A-2AA3570DEB7A}"/>
    <cellStyle name="Millares 7 2 2 4" xfId="529" xr:uid="{AF76C18A-8664-4156-A3F6-8E1E99264A1F}"/>
    <cellStyle name="Millares 7 2 2 4 2" xfId="1200" xr:uid="{B3F440F4-26E7-4F21-8727-55026556F885}"/>
    <cellStyle name="Millares 7 2 2 5" xfId="868" xr:uid="{E531D14A-B263-493B-91D4-C7CEB43756D1}"/>
    <cellStyle name="Millares 7 2 3" xfId="212" xr:uid="{6E8412AF-5288-474E-84B4-D5DA59A00354}"/>
    <cellStyle name="Millares 7 2 3 2" xfId="398" xr:uid="{CBCC9E6A-00BB-4133-A46B-EF4FA237FF3C}"/>
    <cellStyle name="Millares 7 2 3 2 2" xfId="737" xr:uid="{BB93C0BC-09D5-42CE-A433-963ADBB4A220}"/>
    <cellStyle name="Millares 7 2 3 2 2 2" xfId="1408" xr:uid="{4C4382D9-39DC-45C2-A05E-18A69AA07989}"/>
    <cellStyle name="Millares 7 2 3 2 3" xfId="1076" xr:uid="{A5033DCB-FEC4-40C9-B244-2FC23024D86E}"/>
    <cellStyle name="Millares 7 2 3 3" xfId="571" xr:uid="{AFAAF563-8179-4F2A-A6EC-03A7A9B03A14}"/>
    <cellStyle name="Millares 7 2 3 3 2" xfId="1242" xr:uid="{8E005DFA-D9BB-425B-B79B-2B5E036A5B9F}"/>
    <cellStyle name="Millares 7 2 3 4" xfId="910" xr:uid="{457EE4DE-77CD-42A1-9618-063880A7174E}"/>
    <cellStyle name="Millares 7 2 4" xfId="316" xr:uid="{C066BB1E-CA06-47B8-BE93-B850FDF116DB}"/>
    <cellStyle name="Millares 7 2 4 2" xfId="655" xr:uid="{89AEE410-261A-46D7-8329-29157EEFF20E}"/>
    <cellStyle name="Millares 7 2 4 2 2" xfId="1326" xr:uid="{FCABFB0E-12DE-45A0-901C-B7A98F56B967}"/>
    <cellStyle name="Millares 7 2 4 3" xfId="994" xr:uid="{4E137497-C83F-4D5E-83F4-8B803421D254}"/>
    <cellStyle name="Millares 7 2 5" xfId="489" xr:uid="{342B52CE-0D75-403E-AF10-3003A0BB71D1}"/>
    <cellStyle name="Millares 7 2 5 2" xfId="1160" xr:uid="{74B97172-F359-4E61-A0CD-EDEBCDD32403}"/>
    <cellStyle name="Millares 7 2 6" xfId="828" xr:uid="{E9336616-064C-4925-98A4-1D401E7C3135}"/>
    <cellStyle name="Millares 7 3" xfId="144" xr:uid="{051CEE1F-60B4-4EB9-8644-9983CFE5263F}"/>
    <cellStyle name="Millares 7 3 2" xfId="233" xr:uid="{5DE0F43C-57B9-4253-9D0E-19D2328F3A71}"/>
    <cellStyle name="Millares 7 3 2 2" xfId="419" xr:uid="{C9484A43-3D74-45D7-83F3-682E037B615A}"/>
    <cellStyle name="Millares 7 3 2 2 2" xfId="758" xr:uid="{5A8539CE-99FC-4D3E-BFF9-13F14BB0F599}"/>
    <cellStyle name="Millares 7 3 2 2 2 2" xfId="1429" xr:uid="{41B14191-EE41-489B-9B5F-9AAD556217A6}"/>
    <cellStyle name="Millares 7 3 2 2 3" xfId="1097" xr:uid="{61EF3135-42BC-493C-9206-F83C2E06EC14}"/>
    <cellStyle name="Millares 7 3 2 3" xfId="592" xr:uid="{7FE6447B-7DC5-46D9-969C-58138CB86951}"/>
    <cellStyle name="Millares 7 3 2 3 2" xfId="1263" xr:uid="{4662F550-87D6-4B91-8D0A-74761DAAAF06}"/>
    <cellStyle name="Millares 7 3 2 4" xfId="931" xr:uid="{3DF71655-FC89-4D47-878C-47D1015253F2}"/>
    <cellStyle name="Millares 7 3 3" xfId="337" xr:uid="{9FFB678F-B6DC-4DBE-A8FC-5338765FBD18}"/>
    <cellStyle name="Millares 7 3 3 2" xfId="676" xr:uid="{E6A8C544-8F20-4AA5-85A5-E97E3F9B7DFC}"/>
    <cellStyle name="Millares 7 3 3 2 2" xfId="1347" xr:uid="{CF05EFCB-3EC3-4F2A-B837-801EECCA01BD}"/>
    <cellStyle name="Millares 7 3 3 3" xfId="1015" xr:uid="{8B5CFA89-C340-45BE-A6EC-36E598494B45}"/>
    <cellStyle name="Millares 7 3 4" xfId="510" xr:uid="{71AA9541-F8E5-4605-AAEF-E9B0790AAB21}"/>
    <cellStyle name="Millares 7 3 4 2" xfId="1181" xr:uid="{EA7A5E47-A252-479F-9788-9457F28C79A8}"/>
    <cellStyle name="Millares 7 3 5" xfId="849" xr:uid="{E7C46367-3FB5-4171-97CE-DD3D87AF0D8E}"/>
    <cellStyle name="Millares 7 4" xfId="193" xr:uid="{E7E561AA-F450-4DC9-B1C0-01C8965EBB6C}"/>
    <cellStyle name="Millares 7 4 2" xfId="379" xr:uid="{E015E984-83ED-4AAE-8BC5-314AD59695F5}"/>
    <cellStyle name="Millares 7 4 2 2" xfId="718" xr:uid="{33C3E061-BCAE-4309-A2EC-FC34F34F2275}"/>
    <cellStyle name="Millares 7 4 2 2 2" xfId="1389" xr:uid="{58F583DE-5B73-4683-9023-29283E1B7E9E}"/>
    <cellStyle name="Millares 7 4 2 3" xfId="1057" xr:uid="{A4652358-0DFA-4EB4-9AF6-50414A1A1FE5}"/>
    <cellStyle name="Millares 7 4 3" xfId="552" xr:uid="{7AE0C110-94C0-4CE0-82B6-73FFB783218C}"/>
    <cellStyle name="Millares 7 4 3 2" xfId="1223" xr:uid="{C81DDCF5-B0FA-4A87-AA49-023E186FECB1}"/>
    <cellStyle name="Millares 7 4 4" xfId="891" xr:uid="{EACA6863-C14A-42E2-9B52-11FFFC336B2B}"/>
    <cellStyle name="Millares 7 5" xfId="297" xr:uid="{BCD6B3BA-03FB-4FB0-897A-74FC2366610D}"/>
    <cellStyle name="Millares 7 5 2" xfId="636" xr:uid="{850104E2-6C72-43F3-AA52-3CE17DABFD39}"/>
    <cellStyle name="Millares 7 5 2 2" xfId="1307" xr:uid="{5E377B65-F4BD-4172-AA13-CC245B7735AD}"/>
    <cellStyle name="Millares 7 5 3" xfId="975" xr:uid="{EAA04F67-AEE2-4718-8FDB-4B13CEC941E1}"/>
    <cellStyle name="Millares 7 6" xfId="470" xr:uid="{E6D2EF93-F8DC-4B88-9304-D25DDDADED9D}"/>
    <cellStyle name="Millares 7 6 2" xfId="1141" xr:uid="{541B4C3F-B078-412E-8ADD-DD04FC2772F1}"/>
    <cellStyle name="Millares 7 7" xfId="809" xr:uid="{11B62BEE-113B-403C-BFD2-221A73DF391B}"/>
    <cellStyle name="Millares 79" xfId="40" xr:uid="{00000000-0005-0000-0000-00002C000000}"/>
    <cellStyle name="Millares 79 2" xfId="81" xr:uid="{58CDE93F-3E8F-4AD9-A793-DF31208EFA9E}"/>
    <cellStyle name="Millares 79 2 2" xfId="110" xr:uid="{6086196C-DF92-4C38-B4B7-D3BD89761127}"/>
    <cellStyle name="Millares 79 2 2 2" xfId="158" xr:uid="{0DB65FB3-783D-4FE9-A99A-EF5A28F1825A}"/>
    <cellStyle name="Millares 79 2 2 2 2" xfId="247" xr:uid="{4DCE15FF-DBD8-4D55-A005-A84DF9692F2B}"/>
    <cellStyle name="Millares 79 2 2 2 2 2" xfId="433" xr:uid="{F47BEF95-3AAB-4FBB-8250-1884020B40E3}"/>
    <cellStyle name="Millares 79 2 2 2 2 2 2" xfId="772" xr:uid="{2DC0520A-704D-40D2-919D-D7B9A81F33C9}"/>
    <cellStyle name="Millares 79 2 2 2 2 2 2 2" xfId="1443" xr:uid="{70502B7C-092F-4C32-9425-7C840101A26D}"/>
    <cellStyle name="Millares 79 2 2 2 2 2 3" xfId="1111" xr:uid="{B6D5700B-783C-4946-99C5-786CC0098C5B}"/>
    <cellStyle name="Millares 79 2 2 2 2 3" xfId="606" xr:uid="{D4D9325F-D9A1-408F-81B6-EE95954346DF}"/>
    <cellStyle name="Millares 79 2 2 2 2 3 2" xfId="1277" xr:uid="{69F7F543-728A-4E37-A611-1FAFCCC1F1F1}"/>
    <cellStyle name="Millares 79 2 2 2 2 4" xfId="945" xr:uid="{20C41A4A-2304-488C-B1EF-2B32D7AD2331}"/>
    <cellStyle name="Millares 79 2 2 2 3" xfId="351" xr:uid="{123A4A62-741F-4017-9DD5-5D2238DCFBD2}"/>
    <cellStyle name="Millares 79 2 2 2 3 2" xfId="690" xr:uid="{89095BD7-4CFE-453D-B7DC-5B00DA39339B}"/>
    <cellStyle name="Millares 79 2 2 2 3 2 2" xfId="1361" xr:uid="{85264375-28D7-443C-9D27-DFC1548E4ADE}"/>
    <cellStyle name="Millares 79 2 2 2 3 3" xfId="1029" xr:uid="{897D1415-DBA5-42BD-8E9C-9FED2E98D41A}"/>
    <cellStyle name="Millares 79 2 2 2 4" xfId="524" xr:uid="{BB44EDDA-44D9-417F-AF23-691502BC8EEC}"/>
    <cellStyle name="Millares 79 2 2 2 4 2" xfId="1195" xr:uid="{8E09AB2B-B286-45BB-99A4-65CE46766FCB}"/>
    <cellStyle name="Millares 79 2 2 2 5" xfId="863" xr:uid="{2BB98BE1-D524-4886-A7D0-17EB49D02572}"/>
    <cellStyle name="Millares 79 2 2 3" xfId="207" xr:uid="{A21F1513-7812-498B-A4BF-4531E36A2C78}"/>
    <cellStyle name="Millares 79 2 2 3 2" xfId="393" xr:uid="{093D63B0-F075-4480-8A83-828E9C2B475B}"/>
    <cellStyle name="Millares 79 2 2 3 2 2" xfId="732" xr:uid="{C30636EB-B1E8-41F7-A17F-AB08800DFB11}"/>
    <cellStyle name="Millares 79 2 2 3 2 2 2" xfId="1403" xr:uid="{1C128C17-A1A6-4F77-B4AB-C2184B838637}"/>
    <cellStyle name="Millares 79 2 2 3 2 3" xfId="1071" xr:uid="{D00139C3-0119-442B-B674-79595C91A23E}"/>
    <cellStyle name="Millares 79 2 2 3 3" xfId="566" xr:uid="{FDEE025B-06C6-4265-8E43-41DCAF31F5AC}"/>
    <cellStyle name="Millares 79 2 2 3 3 2" xfId="1237" xr:uid="{60D8B158-E3A3-4083-9123-6C951D6D7A35}"/>
    <cellStyle name="Millares 79 2 2 3 4" xfId="905" xr:uid="{4D546647-15C5-4643-9E66-EB5E8BD336DA}"/>
    <cellStyle name="Millares 79 2 2 4" xfId="311" xr:uid="{D7B4A439-26BD-44F7-8C07-241A62B76B17}"/>
    <cellStyle name="Millares 79 2 2 4 2" xfId="650" xr:uid="{F272BA87-868A-4D82-8E45-A1F434A0FE90}"/>
    <cellStyle name="Millares 79 2 2 4 2 2" xfId="1321" xr:uid="{3D01AD4C-8DEB-4EFF-A8A8-B9EF0FEEE4FB}"/>
    <cellStyle name="Millares 79 2 2 4 3" xfId="989" xr:uid="{854EEC53-9DA9-488D-99C4-6422110A8A2F}"/>
    <cellStyle name="Millares 79 2 2 5" xfId="484" xr:uid="{B94D50DF-586B-4882-AC3C-1B0FA61FEF99}"/>
    <cellStyle name="Millares 79 2 2 5 2" xfId="1155" xr:uid="{390ED166-8E45-4D87-8E51-53FC5715586B}"/>
    <cellStyle name="Millares 79 2 2 6" xfId="823" xr:uid="{E4BB7A95-AA1B-4285-8B39-943A60DF07A5}"/>
    <cellStyle name="Millares 79 2 3" xfId="139" xr:uid="{C39DBAE2-5D12-4473-8E0C-7539C9137C39}"/>
    <cellStyle name="Millares 79 2 3 2" xfId="228" xr:uid="{9B08DA66-9385-4C7D-9DDB-256CBB000020}"/>
    <cellStyle name="Millares 79 2 3 2 2" xfId="414" xr:uid="{A00547D7-9B7E-449A-8D1E-10B8FADF4495}"/>
    <cellStyle name="Millares 79 2 3 2 2 2" xfId="753" xr:uid="{9353C5F5-C0CC-4252-B598-A6AEB633C210}"/>
    <cellStyle name="Millares 79 2 3 2 2 2 2" xfId="1424" xr:uid="{C7A33113-CA3D-4CBC-92B5-F5568431762F}"/>
    <cellStyle name="Millares 79 2 3 2 2 3" xfId="1092" xr:uid="{8D9EB491-58CF-44BD-BCC5-B5DD75FEB49F}"/>
    <cellStyle name="Millares 79 2 3 2 3" xfId="587" xr:uid="{1A5722EB-2364-490C-9449-BF8E67BC6A84}"/>
    <cellStyle name="Millares 79 2 3 2 3 2" xfId="1258" xr:uid="{B6656DE0-0357-48E0-A91E-B461B0A6EA93}"/>
    <cellStyle name="Millares 79 2 3 2 4" xfId="926" xr:uid="{0A2F3D47-80B7-4599-8DED-96BB5CE51BA7}"/>
    <cellStyle name="Millares 79 2 3 3" xfId="332" xr:uid="{EF294091-0601-4382-B50B-48E1CA210177}"/>
    <cellStyle name="Millares 79 2 3 3 2" xfId="671" xr:uid="{821C8C84-97B2-401F-962F-AC94814D7674}"/>
    <cellStyle name="Millares 79 2 3 3 2 2" xfId="1342" xr:uid="{CA0D4A1D-073A-4A12-A8B9-1DFA0F032D5A}"/>
    <cellStyle name="Millares 79 2 3 3 3" xfId="1010" xr:uid="{66D56025-1D65-4C2A-9F0F-F9B8F4D97200}"/>
    <cellStyle name="Millares 79 2 3 4" xfId="505" xr:uid="{E4ECD2E0-E1F1-41BB-B517-A455BA84731E}"/>
    <cellStyle name="Millares 79 2 3 4 2" xfId="1176" xr:uid="{A3E3364C-4887-4BE6-A9D8-9E0E87535C08}"/>
    <cellStyle name="Millares 79 2 3 5" xfId="844" xr:uid="{7817F157-EFA1-4E93-9DCD-243CA5BCB4EB}"/>
    <cellStyle name="Millares 79 2 4" xfId="188" xr:uid="{6C1EEDBB-BF4C-4DB8-9D0A-AF6BCE77E6E8}"/>
    <cellStyle name="Millares 79 2 4 2" xfId="374" xr:uid="{B623668F-E9B0-4E14-8931-A37D06A1578C}"/>
    <cellStyle name="Millares 79 2 4 2 2" xfId="713" xr:uid="{6C548BB2-A242-47C3-AEE2-E52AE20A0E73}"/>
    <cellStyle name="Millares 79 2 4 2 2 2" xfId="1384" xr:uid="{ECB4387C-8082-45F0-A653-E2D648A0119E}"/>
    <cellStyle name="Millares 79 2 4 2 3" xfId="1052" xr:uid="{FD295059-9148-47AA-B379-908CF1A11BD7}"/>
    <cellStyle name="Millares 79 2 4 3" xfId="547" xr:uid="{8BFD7E44-429D-44A2-A8BB-1A6E4D874BA3}"/>
    <cellStyle name="Millares 79 2 4 3 2" xfId="1218" xr:uid="{A713741A-5DBC-4DC4-98EF-A06AB7251B5F}"/>
    <cellStyle name="Millares 79 2 4 4" xfId="886" xr:uid="{ED5EB740-C805-4D0F-9239-8C3885A132FC}"/>
    <cellStyle name="Millares 79 2 5" xfId="292" xr:uid="{40569E3D-F4C6-43D3-A4E6-8380AC43C2C6}"/>
    <cellStyle name="Millares 79 2 5 2" xfId="631" xr:uid="{B136361D-8F5E-45E0-B834-8A891D6759EC}"/>
    <cellStyle name="Millares 79 2 5 2 2" xfId="1302" xr:uid="{D5BC4019-F9B8-428A-ABA7-DE0A34557BF9}"/>
    <cellStyle name="Millares 79 2 5 3" xfId="970" xr:uid="{333A1A63-4F99-4FA3-85C8-3BFA5E66FD66}"/>
    <cellStyle name="Millares 79 2 6" xfId="465" xr:uid="{DBCE7524-664D-4AE2-A246-FB701E9D6515}"/>
    <cellStyle name="Millares 79 2 6 2" xfId="1136" xr:uid="{DC8D780B-FF31-42CD-947F-738BFFA10BBC}"/>
    <cellStyle name="Millares 79 2 7" xfId="804" xr:uid="{E754D4CD-DADC-4E18-B3F1-8943C229150C}"/>
    <cellStyle name="Millares 79 3" xfId="99" xr:uid="{6B11E2ED-BACE-4F13-9993-CEB658999064}"/>
    <cellStyle name="Millares 79 3 2" xfId="149" xr:uid="{45BBDC28-CF8B-411B-9967-219C1BD03E06}"/>
    <cellStyle name="Millares 79 3 2 2" xfId="238" xr:uid="{0A990937-5E07-4AE0-9378-03CC2C575BAF}"/>
    <cellStyle name="Millares 79 3 2 2 2" xfId="424" xr:uid="{1F35D43D-688E-4711-830D-B5955CBF316C}"/>
    <cellStyle name="Millares 79 3 2 2 2 2" xfId="763" xr:uid="{83E5E2CB-1493-4A29-A6DC-15F633AC5D89}"/>
    <cellStyle name="Millares 79 3 2 2 2 2 2" xfId="1434" xr:uid="{1669CF11-354D-4E0C-8284-1E69EF788B4C}"/>
    <cellStyle name="Millares 79 3 2 2 2 3" xfId="1102" xr:uid="{650FFA77-4697-443A-9923-B635F6907C0F}"/>
    <cellStyle name="Millares 79 3 2 2 3" xfId="597" xr:uid="{47AA3D33-2415-4C1F-BEC5-E222280E4013}"/>
    <cellStyle name="Millares 79 3 2 2 3 2" xfId="1268" xr:uid="{6E16E6E3-98D4-4FD5-ABEC-9358AEB3FB24}"/>
    <cellStyle name="Millares 79 3 2 2 4" xfId="936" xr:uid="{3ADE797C-CFAA-43F8-8ACE-45685B6EF218}"/>
    <cellStyle name="Millares 79 3 2 3" xfId="342" xr:uid="{783B4AD7-2F66-4275-B884-E4DB08F64F30}"/>
    <cellStyle name="Millares 79 3 2 3 2" xfId="681" xr:uid="{BBC53B51-7B74-4591-BDCE-BE0AD50F7AB7}"/>
    <cellStyle name="Millares 79 3 2 3 2 2" xfId="1352" xr:uid="{021BE605-F3A2-4736-82B6-97AE267CFE96}"/>
    <cellStyle name="Millares 79 3 2 3 3" xfId="1020" xr:uid="{9A5C4792-1E24-46A1-846A-E6FD24A9B215}"/>
    <cellStyle name="Millares 79 3 2 4" xfId="515" xr:uid="{D3219D09-03AF-4302-A983-DF321C6461CB}"/>
    <cellStyle name="Millares 79 3 2 4 2" xfId="1186" xr:uid="{8EDB6C7B-96CB-4D3D-AA32-F2BCDD4D3E8B}"/>
    <cellStyle name="Millares 79 3 2 5" xfId="854" xr:uid="{06522354-8ABD-44FD-AE45-31FD32B2221B}"/>
    <cellStyle name="Millares 79 3 3" xfId="198" xr:uid="{D1D25951-A7A0-4DA6-8801-C2DD498730BF}"/>
    <cellStyle name="Millares 79 3 3 2" xfId="384" xr:uid="{F015C8BF-33CD-44B0-9885-A069A388467C}"/>
    <cellStyle name="Millares 79 3 3 2 2" xfId="723" xr:uid="{FEF52971-804F-4A21-A80C-FAB4EAC2063E}"/>
    <cellStyle name="Millares 79 3 3 2 2 2" xfId="1394" xr:uid="{07DA177D-6F9D-48F4-8EF0-EFBDFF003F39}"/>
    <cellStyle name="Millares 79 3 3 2 3" xfId="1062" xr:uid="{1831F35F-5953-419E-8B66-EDA0FD64A025}"/>
    <cellStyle name="Millares 79 3 3 3" xfId="557" xr:uid="{AC106F60-DA21-4F3B-A772-CEB47851FC99}"/>
    <cellStyle name="Millares 79 3 3 3 2" xfId="1228" xr:uid="{11713D74-E9E1-460F-B84F-B5723A2D4382}"/>
    <cellStyle name="Millares 79 3 3 4" xfId="896" xr:uid="{4216BB99-34D4-4810-88B4-319CC38ECD38}"/>
    <cellStyle name="Millares 79 3 4" xfId="302" xr:uid="{AD4E2FB8-484B-47AC-BAEB-CA8A02599D56}"/>
    <cellStyle name="Millares 79 3 4 2" xfId="641" xr:uid="{A42F18F1-0812-4524-A7FE-5CD68CD15D4A}"/>
    <cellStyle name="Millares 79 3 4 2 2" xfId="1312" xr:uid="{56B5372D-ECB3-448B-9B32-4EA70105965E}"/>
    <cellStyle name="Millares 79 3 4 3" xfId="980" xr:uid="{1243C6DA-835F-441C-97A4-2AA3C0B4B433}"/>
    <cellStyle name="Millares 79 3 5" xfId="475" xr:uid="{18593E2D-2DD1-4811-910B-6409261DDAE2}"/>
    <cellStyle name="Millares 79 3 5 2" xfId="1146" xr:uid="{16AC2A55-1A54-4629-89C2-54896C4D76DE}"/>
    <cellStyle name="Millares 79 3 6" xfId="814" xr:uid="{89BE435D-BF04-4454-A3EE-0B266C285D58}"/>
    <cellStyle name="Millares 79 4" xfId="128" xr:uid="{49291EFF-D3B7-47ED-975D-7A47D86DA6D0}"/>
    <cellStyle name="Millares 79 4 2" xfId="219" xr:uid="{91C7D48E-8264-4B4C-B470-773DB0E2C4B5}"/>
    <cellStyle name="Millares 79 4 2 2" xfId="405" xr:uid="{DD7AEA71-8CB4-43A3-B9CA-81759C4B3A48}"/>
    <cellStyle name="Millares 79 4 2 2 2" xfId="744" xr:uid="{08C950B2-AC8B-4EBF-BC32-4A010B88C6B0}"/>
    <cellStyle name="Millares 79 4 2 2 2 2" xfId="1415" xr:uid="{5888695C-FC5E-44D7-8545-655BBAEF8B79}"/>
    <cellStyle name="Millares 79 4 2 2 3" xfId="1083" xr:uid="{12F4DC4E-238F-4420-8968-4096519CD41D}"/>
    <cellStyle name="Millares 79 4 2 3" xfId="578" xr:uid="{FA0684A2-9469-4A72-905E-09537EAF959C}"/>
    <cellStyle name="Millares 79 4 2 3 2" xfId="1249" xr:uid="{12DD986F-20F1-499C-9F25-439D3EE9DFB2}"/>
    <cellStyle name="Millares 79 4 2 4" xfId="917" xr:uid="{612A6A19-3ACB-4B44-9D5D-080E86965A22}"/>
    <cellStyle name="Millares 79 4 3" xfId="323" xr:uid="{A3C130B6-B216-459E-ACAD-90FD476E155E}"/>
    <cellStyle name="Millares 79 4 3 2" xfId="662" xr:uid="{7C1A6947-8A4B-4069-BDE7-1A28CB2F9EC6}"/>
    <cellStyle name="Millares 79 4 3 2 2" xfId="1333" xr:uid="{45DDD8D1-DF20-4AD9-A451-A944C30498F5}"/>
    <cellStyle name="Millares 79 4 3 3" xfId="1001" xr:uid="{D819E946-B04F-447D-B654-A59939A32616}"/>
    <cellStyle name="Millares 79 4 4" xfId="496" xr:uid="{D04F9EEC-8637-4238-BBC0-AE26B0CE476E}"/>
    <cellStyle name="Millares 79 4 4 2" xfId="1167" xr:uid="{273C0789-4C14-4D69-BC62-06E9D4E1F577}"/>
    <cellStyle name="Millares 79 4 5" xfId="835" xr:uid="{412C5375-F05F-423C-A49B-537F0367E025}"/>
    <cellStyle name="Millares 79 5" xfId="178" xr:uid="{F33E1B3E-D584-4291-B65E-928140F2E094}"/>
    <cellStyle name="Millares 79 5 2" xfId="365" xr:uid="{A7BD1E79-C5B5-4274-88E8-E9BF897AC928}"/>
    <cellStyle name="Millares 79 5 2 2" xfId="704" xr:uid="{AFE3F610-8BE2-4480-863C-98CCB860F415}"/>
    <cellStyle name="Millares 79 5 2 2 2" xfId="1375" xr:uid="{C05BFB5A-5C1E-4363-9281-0C6FDF5BF66C}"/>
    <cellStyle name="Millares 79 5 2 3" xfId="1043" xr:uid="{45E6D1E0-D823-4FD8-BEDF-533203B21E15}"/>
    <cellStyle name="Millares 79 5 3" xfId="538" xr:uid="{336183E5-612E-4459-8705-913102E58D96}"/>
    <cellStyle name="Millares 79 5 3 2" xfId="1209" xr:uid="{2E2D1E59-0A91-48C6-B31B-942C9C51643D}"/>
    <cellStyle name="Millares 79 5 4" xfId="877" xr:uid="{4D2B4780-926D-442C-A94B-5A084247958B}"/>
    <cellStyle name="Millares 79 6" xfId="266" xr:uid="{3CF124FA-7689-46C8-8200-E06BC7B90C17}"/>
    <cellStyle name="Millares 79 7" xfId="282" xr:uid="{8A725829-DEF9-482A-8D8E-A360288E7339}"/>
    <cellStyle name="Millares 79 7 2" xfId="622" xr:uid="{478C5C1D-1B71-4C4F-9C14-E82D93EA7209}"/>
    <cellStyle name="Millares 79 7 2 2" xfId="1293" xr:uid="{CAB006DA-DC50-4451-B083-AA6D6FA284A6}"/>
    <cellStyle name="Millares 79 7 3" xfId="961" xr:uid="{BB4B10DA-D50C-4E34-B569-60FE39D770D9}"/>
    <cellStyle name="Millares 79 8" xfId="455" xr:uid="{F771A565-E58E-4EBC-9A1E-364896EC731B}"/>
    <cellStyle name="Millares 79 8 2" xfId="1127" xr:uid="{D4FD65CE-8494-4B57-BCD7-D482D1B99584}"/>
    <cellStyle name="Millares 79 9" xfId="794" xr:uid="{4C10384E-4E17-4103-8A27-5E83CA512EE5}"/>
    <cellStyle name="Millares 8" xfId="95" xr:uid="{AC572FB3-2B9E-47D8-9AFB-7D3CBF29C54A}"/>
    <cellStyle name="Millares 8 2" xfId="145" xr:uid="{B752C5B7-5CC2-4F38-85A9-A6F2E2DF2AB0}"/>
    <cellStyle name="Millares 8 2 2" xfId="234" xr:uid="{E10B005C-2485-49ED-A801-560F1A8C513A}"/>
    <cellStyle name="Millares 8 2 2 2" xfId="420" xr:uid="{B3DB05EC-B93F-4872-846D-1BA37B9536A9}"/>
    <cellStyle name="Millares 8 2 2 2 2" xfId="759" xr:uid="{7F52C0AB-1D26-4C80-9922-BFF9E9712EBA}"/>
    <cellStyle name="Millares 8 2 2 2 2 2" xfId="1430" xr:uid="{2B168C2A-03A5-4967-AD9D-88162C7C0B7B}"/>
    <cellStyle name="Millares 8 2 2 2 3" xfId="1098" xr:uid="{A6A663A1-F3AC-4B02-93DD-A5C59EC6E402}"/>
    <cellStyle name="Millares 8 2 2 3" xfId="593" xr:uid="{6749604A-0BF0-460B-9A3C-8720E532338B}"/>
    <cellStyle name="Millares 8 2 2 3 2" xfId="1264" xr:uid="{A8CBFBB8-96C8-4969-807D-B1F3F61401FA}"/>
    <cellStyle name="Millares 8 2 2 4" xfId="932" xr:uid="{724D15B0-CDC5-426B-82AD-9383194A7392}"/>
    <cellStyle name="Millares 8 2 3" xfId="338" xr:uid="{F77C3DDD-3750-495A-AB21-05363E66BB82}"/>
    <cellStyle name="Millares 8 2 3 2" xfId="677" xr:uid="{D2212770-A962-41CA-B86D-6D5BF5130986}"/>
    <cellStyle name="Millares 8 2 3 2 2" xfId="1348" xr:uid="{A6DD9302-07D0-49B2-ADAC-FD0B1BFFB878}"/>
    <cellStyle name="Millares 8 2 3 3" xfId="1016" xr:uid="{8EBBA60D-E5F6-4FA4-BEBA-93FBCEF64AE7}"/>
    <cellStyle name="Millares 8 2 4" xfId="511" xr:uid="{75110168-4DD2-4835-A0FC-F54F96390113}"/>
    <cellStyle name="Millares 8 2 4 2" xfId="1182" xr:uid="{1929F88E-7720-48C0-BB23-75F68D5C7F12}"/>
    <cellStyle name="Millares 8 2 5" xfId="850" xr:uid="{C0C83278-B1F9-4B1F-9565-32748F870CDC}"/>
    <cellStyle name="Millares 8 3" xfId="194" xr:uid="{BCDD0089-0006-4087-9D9A-2CF44307100A}"/>
    <cellStyle name="Millares 8 3 2" xfId="380" xr:uid="{0A6167C9-EC20-4EAC-8C58-EEE7A2B089D7}"/>
    <cellStyle name="Millares 8 3 2 2" xfId="719" xr:uid="{6920D66D-2CB5-48A0-A8A4-CC2C1CCFC22D}"/>
    <cellStyle name="Millares 8 3 2 2 2" xfId="1390" xr:uid="{BAFF601D-F6B8-499D-B628-0021AEBF74AB}"/>
    <cellStyle name="Millares 8 3 2 3" xfId="1058" xr:uid="{32B0D698-DAB5-4340-BFDC-D53CCBC2B5FC}"/>
    <cellStyle name="Millares 8 3 3" xfId="553" xr:uid="{99973481-877C-4681-B1D9-78CB2F26863C}"/>
    <cellStyle name="Millares 8 3 3 2" xfId="1224" xr:uid="{1A77EF17-C8BD-438E-B6B8-F469F5A1322D}"/>
    <cellStyle name="Millares 8 3 4" xfId="892" xr:uid="{D77E498C-CDAA-4653-B186-85A6FF8E6D16}"/>
    <cellStyle name="Millares 8 4" xfId="298" xr:uid="{5CE438CF-FF52-42BF-B5FF-19F8B60DE34E}"/>
    <cellStyle name="Millares 8 4 2" xfId="637" xr:uid="{440E418B-DFAF-4B35-B48B-ACE9E76DA6F0}"/>
    <cellStyle name="Millares 8 4 2 2" xfId="1308" xr:uid="{955A693C-4063-47C0-B35C-54DED21D731A}"/>
    <cellStyle name="Millares 8 4 3" xfId="976" xr:uid="{BEFC4E40-D4E5-43E5-A365-132DA2957184}"/>
    <cellStyle name="Millares 8 5" xfId="471" xr:uid="{65F789BF-0399-4011-87AE-EB7EDF5DA500}"/>
    <cellStyle name="Millares 8 5 2" xfId="1142" xr:uid="{763C05E9-58A9-4498-AB92-C32C88B7D37C}"/>
    <cellStyle name="Millares 8 6" xfId="810" xr:uid="{CD99080E-9F5E-4766-A6D8-A4A0995A1B63}"/>
    <cellStyle name="Millares 9" xfId="116" xr:uid="{7D8BAED9-F5AF-4349-847D-0136BA601474}"/>
    <cellStyle name="Millares 9 2" xfId="164" xr:uid="{39834EF0-1989-4215-A92B-BAD6F5129A96}"/>
    <cellStyle name="Millares 9 2 2" xfId="253" xr:uid="{67DD63EC-ECDF-4E39-9DC7-396837D59F81}"/>
    <cellStyle name="Millares 9 2 2 2" xfId="439" xr:uid="{9239F7B3-A5A4-40EF-8DD2-087CB6A28B0C}"/>
    <cellStyle name="Millares 9 2 2 2 2" xfId="778" xr:uid="{2A94A6F6-9E44-47C3-A147-B98CBBB023D8}"/>
    <cellStyle name="Millares 9 2 2 2 2 2" xfId="1449" xr:uid="{7D39F0DD-8181-499D-8328-FEE7C8B7D5CC}"/>
    <cellStyle name="Millares 9 2 2 2 3" xfId="1117" xr:uid="{A9819086-19A0-4C9C-9C23-93BAACB9E8CE}"/>
    <cellStyle name="Millares 9 2 2 3" xfId="612" xr:uid="{8F4E160B-124A-4ABE-96F1-0A94ED85E237}"/>
    <cellStyle name="Millares 9 2 2 3 2" xfId="1283" xr:uid="{4AB3B61D-CBEE-43AF-B661-12D5FF598CC5}"/>
    <cellStyle name="Millares 9 2 2 4" xfId="951" xr:uid="{93971304-2EC1-486A-ABDC-52A75AFB74C3}"/>
    <cellStyle name="Millares 9 2 3" xfId="357" xr:uid="{C7379B59-48B2-402C-92CA-3C5B15B39F98}"/>
    <cellStyle name="Millares 9 2 3 2" xfId="696" xr:uid="{F70A8CBD-7270-433D-A615-5AA4819EEEB1}"/>
    <cellStyle name="Millares 9 2 3 2 2" xfId="1367" xr:uid="{2F520897-B6E3-458A-910D-E98B83E60DA7}"/>
    <cellStyle name="Millares 9 2 3 3" xfId="1035" xr:uid="{0090D7F6-16EF-4C05-9936-29A9FD28456D}"/>
    <cellStyle name="Millares 9 2 4" xfId="530" xr:uid="{9F4E6ABD-3440-4877-8664-75EF4A6A75D6}"/>
    <cellStyle name="Millares 9 2 4 2" xfId="1201" xr:uid="{5D363608-6C73-40DE-AC03-1781B2A6EA87}"/>
    <cellStyle name="Millares 9 2 5" xfId="869" xr:uid="{A37B7026-9800-4EC2-96A0-76DD56FA7318}"/>
    <cellStyle name="Millares 9 3" xfId="213" xr:uid="{94324404-8426-4C1D-B2E5-4BC77C8A52B2}"/>
    <cellStyle name="Millares 9 3 2" xfId="399" xr:uid="{A59AC8EF-E0C9-4175-8B2C-A7945797D59A}"/>
    <cellStyle name="Millares 9 3 2 2" xfId="738" xr:uid="{6C74880C-E3AF-4455-8389-C06170132A7F}"/>
    <cellStyle name="Millares 9 3 2 2 2" xfId="1409" xr:uid="{B99CFC19-C016-4669-940D-E45188B976ED}"/>
    <cellStyle name="Millares 9 3 2 3" xfId="1077" xr:uid="{7C11BC31-305F-4810-A990-2BBB19BA9341}"/>
    <cellStyle name="Millares 9 3 3" xfId="572" xr:uid="{8D1B76A4-6E9C-430E-8BAA-D0DF46C11B74}"/>
    <cellStyle name="Millares 9 3 3 2" xfId="1243" xr:uid="{177E1372-2704-4F4A-BA7E-D7DFC6B5964E}"/>
    <cellStyle name="Millares 9 3 4" xfId="911" xr:uid="{DF6B48F1-B3F8-4B9E-9B91-8F41DCEBB96C}"/>
    <cellStyle name="Millares 9 4" xfId="317" xr:uid="{0F44799C-CBCE-46D2-B30B-226401D9A58A}"/>
    <cellStyle name="Millares 9 4 2" xfId="656" xr:uid="{652521D1-D958-4322-9319-3343A54646DE}"/>
    <cellStyle name="Millares 9 4 2 2" xfId="1327" xr:uid="{2747522B-650B-4F84-8746-9248CF446D3C}"/>
    <cellStyle name="Millares 9 4 3" xfId="995" xr:uid="{4B8E402C-81FE-4E18-BE0C-8B8D5565D7CF}"/>
    <cellStyle name="Millares 9 5" xfId="490" xr:uid="{C1497DF0-D60D-4DE2-A9F0-7EC2E67D97FD}"/>
    <cellStyle name="Millares 9 5 2" xfId="1161" xr:uid="{6329F1DF-9B60-44FC-A2AE-595287052790}"/>
    <cellStyle name="Millares 9 6" xfId="829" xr:uid="{1B999F44-44DF-418D-99FA-4EF12D35AB5C}"/>
    <cellStyle name="Millares_Comercial Napoleon Limitada 31-07-2004" xfId="41" xr:uid="{00000000-0005-0000-0000-00002D000000}"/>
    <cellStyle name="Neutral" xfId="42" builtinId="28" customBuiltin="1"/>
    <cellStyle name="Neutral 2" xfId="82" xr:uid="{287091B7-08B3-41B0-9CC8-4183E8833495}"/>
    <cellStyle name="Neutral 3" xfId="100" xr:uid="{16422A6A-BBE8-4CC4-AC53-1BC3EF6A522F}"/>
    <cellStyle name="Neutral 4" xfId="129" xr:uid="{E9EC8F45-D204-4453-9511-8BC7B7A99072}"/>
    <cellStyle name="Neutral 5" xfId="179" xr:uid="{3C8D626F-2ACD-4A23-888D-A5346462F141}"/>
    <cellStyle name="Neutral 6" xfId="267" xr:uid="{E91C4DDE-3A59-4659-81EB-756099DA187A}"/>
    <cellStyle name="Neutral 7" xfId="283" xr:uid="{1DDA80BC-642B-4E27-A154-1E66EC58727E}"/>
    <cellStyle name="Neutral 8" xfId="456" xr:uid="{8EB9508D-24B2-4AE6-8D26-2CB83DB3CD38}"/>
    <cellStyle name="Neutral 9" xfId="795" xr:uid="{D52EA1EC-148C-4F9B-B42D-897A2B75FF05}"/>
    <cellStyle name="Normal" xfId="0" builtinId="0"/>
    <cellStyle name="Normal 15" xfId="43" xr:uid="{00000000-0005-0000-0000-000030000000}"/>
    <cellStyle name="Normal 2" xfId="44" xr:uid="{00000000-0005-0000-0000-000031000000}"/>
    <cellStyle name="Normal 2 10" xfId="45" xr:uid="{00000000-0005-0000-0000-000032000000}"/>
    <cellStyle name="Normal 3" xfId="46" xr:uid="{00000000-0005-0000-0000-000033000000}"/>
    <cellStyle name="Normal 3 57" xfId="68" xr:uid="{00000000-0005-0000-0000-000034000000}"/>
    <cellStyle name="Normal 4" xfId="47" xr:uid="{00000000-0005-0000-0000-000035000000}"/>
    <cellStyle name="Normal 4 10" xfId="48" xr:uid="{00000000-0005-0000-0000-000036000000}"/>
    <cellStyle name="Normal 5" xfId="49" xr:uid="{00000000-0005-0000-0000-000037000000}"/>
    <cellStyle name="Normal_Expotrade 122004-1" xfId="50" xr:uid="{00000000-0005-0000-0000-000038000000}"/>
    <cellStyle name="Normal_Expotrade 122004-1 2 2" xfId="51" xr:uid="{00000000-0005-0000-0000-000039000000}"/>
    <cellStyle name="Normal_Informe Agosto 2004 definitivo" xfId="52" xr:uid="{00000000-0005-0000-0000-00003A000000}"/>
    <cellStyle name="Normal_Informe Neglo S.A.  12-2004" xfId="65" xr:uid="{00000000-0005-0000-0000-00003B000000}"/>
    <cellStyle name="Notas" xfId="53" builtinId="10" customBuiltin="1"/>
    <cellStyle name="Porcentaje" xfId="67" builtinId="5"/>
    <cellStyle name="Porcentaje 2" xfId="85" xr:uid="{4A0B755B-2515-442E-9A5C-34801CCEFE2B}"/>
    <cellStyle name="Porcentaje 3" xfId="103" xr:uid="{5C80A7DE-B35B-4E80-A352-279F43169FB0}"/>
    <cellStyle name="Porcentaje 4" xfId="132" xr:uid="{B198C4F5-BBB8-4E69-B148-B4A2D8A748E8}"/>
    <cellStyle name="Salida" xfId="54" builtinId="21" customBuiltin="1"/>
    <cellStyle name="Texto de advertencia" xfId="55" builtinId="11" customBuiltin="1"/>
    <cellStyle name="Texto explicativo" xfId="56" builtinId="53" customBuiltin="1"/>
    <cellStyle name="Título" xfId="57" builtinId="15" customBuiltin="1"/>
    <cellStyle name="Título 2" xfId="58" builtinId="17" customBuiltin="1"/>
    <cellStyle name="Título 3" xfId="59" builtinId="18" customBuiltin="1"/>
    <cellStyle name="Total" xfId="60" builtinId="25" customBuiltin="1"/>
  </cellStyles>
  <dxfs count="0"/>
  <tableStyles count="0" defaultTableStyle="TableStyleMedium2" defaultPivotStyle="PivotStyleLight16"/>
  <colors>
    <mruColors>
      <color rgb="FFFFFFCC"/>
      <color rgb="FFFF99FF"/>
      <color rgb="FF9999FF"/>
      <color rgb="FFFFFF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.jpeg"/><Relationship Id="rId1" Type="http://schemas.openxmlformats.org/officeDocument/2006/relationships/image" Target="../media/image2.png"/><Relationship Id="rId4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jpe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618586</xdr:colOff>
      <xdr:row>0</xdr:row>
      <xdr:rowOff>85725</xdr:rowOff>
    </xdr:from>
    <xdr:to>
      <xdr:col>7</xdr:col>
      <xdr:colOff>751936</xdr:colOff>
      <xdr:row>3</xdr:row>
      <xdr:rowOff>64605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333" y="85725"/>
          <a:ext cx="892475" cy="88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132811</xdr:colOff>
      <xdr:row>0</xdr:row>
      <xdr:rowOff>0</xdr:rowOff>
    </xdr:from>
    <xdr:to>
      <xdr:col>1</xdr:col>
      <xdr:colOff>151861</xdr:colOff>
      <xdr:row>2</xdr:row>
      <xdr:rowOff>193975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11" y="0"/>
          <a:ext cx="778175" cy="79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14817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417" y="0"/>
          <a:ext cx="81915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771525</xdr:colOff>
      <xdr:row>2</xdr:row>
      <xdr:rowOff>133350</xdr:rowOff>
    </xdr:to>
    <xdr:pic>
      <xdr:nvPicPr>
        <xdr:cNvPr id="2051" name="Imagen 1">
          <a:extLs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"/>
          <a:ext cx="7620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77061</xdr:colOff>
      <xdr:row>18</xdr:row>
      <xdr:rowOff>124321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2F7FD4-AB6E-093D-39F6-03EC6FBB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73061" cy="3553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1</xdr:col>
      <xdr:colOff>600075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243417</xdr:colOff>
      <xdr:row>0</xdr:row>
      <xdr:rowOff>0</xdr:rowOff>
    </xdr:from>
    <xdr:to>
      <xdr:col>3</xdr:col>
      <xdr:colOff>9526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8584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205327</xdr:colOff>
      <xdr:row>0</xdr:row>
      <xdr:rowOff>16399</xdr:rowOff>
    </xdr:from>
    <xdr:to>
      <xdr:col>2</xdr:col>
      <xdr:colOff>598009</xdr:colOff>
      <xdr:row>5</xdr:row>
      <xdr:rowOff>71692</xdr:rowOff>
    </xdr:to>
    <xdr:pic>
      <xdr:nvPicPr>
        <xdr:cNvPr id="1037" name="Imagen 1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27" y="16399"/>
          <a:ext cx="1190625" cy="895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81572</xdr:colOff>
      <xdr:row>0</xdr:row>
      <xdr:rowOff>0</xdr:rowOff>
    </xdr:from>
    <xdr:to>
      <xdr:col>10</xdr:col>
      <xdr:colOff>1091636</xdr:colOff>
      <xdr:row>6</xdr:row>
      <xdr:rowOff>22924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686" y="0"/>
          <a:ext cx="1010064" cy="1006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143632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7D1562-8C1F-4B64-95D4-46571A64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89" y="42333"/>
          <a:ext cx="1171719" cy="105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210868</xdr:colOff>
      <xdr:row>0</xdr:row>
      <xdr:rowOff>0</xdr:rowOff>
    </xdr:from>
    <xdr:to>
      <xdr:col>11</xdr:col>
      <xdr:colOff>25107</xdr:colOff>
      <xdr:row>6</xdr:row>
      <xdr:rowOff>11332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72C824-D68F-426D-9EDA-981F280F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85" y="0"/>
          <a:ext cx="1134082" cy="1150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122465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80B5ED-EAE0-4B0E-8471-E03BDE0A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8" y="42333"/>
          <a:ext cx="1148715" cy="1034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210868</xdr:colOff>
      <xdr:row>0</xdr:row>
      <xdr:rowOff>0</xdr:rowOff>
    </xdr:from>
    <xdr:to>
      <xdr:col>14</xdr:col>
      <xdr:colOff>1291166</xdr:colOff>
      <xdr:row>5</xdr:row>
      <xdr:rowOff>159499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B423C-2020-4CF7-8A2E-04C95EE0E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4193" y="0"/>
          <a:ext cx="1090589" cy="1116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79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576791</xdr:colOff>
      <xdr:row>0</xdr:row>
      <xdr:rowOff>0</xdr:rowOff>
    </xdr:from>
    <xdr:to>
      <xdr:col>18</xdr:col>
      <xdr:colOff>14815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2791" y="0"/>
          <a:ext cx="771525" cy="860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F0096-0EA7-46DA-AD12-CAEEF253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800100" cy="802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576791</xdr:colOff>
      <xdr:row>0</xdr:row>
      <xdr:rowOff>0</xdr:rowOff>
    </xdr:from>
    <xdr:to>
      <xdr:col>18</xdr:col>
      <xdr:colOff>14813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BA7B92-5F3E-432D-9773-BE4FF7F0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69816" y="0"/>
          <a:ext cx="771525" cy="870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1357953</xdr:colOff>
      <xdr:row>23</xdr:row>
      <xdr:rowOff>109184</xdr:rowOff>
    </xdr:from>
    <xdr:to>
      <xdr:col>19</xdr:col>
      <xdr:colOff>225189</xdr:colOff>
      <xdr:row>85</xdr:row>
      <xdr:rowOff>156951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726818-A8B2-5D97-E6E2-BED9B4163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76962" y="4333166"/>
          <a:ext cx="1194179" cy="10829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1</xdr:col>
      <xdr:colOff>866775</xdr:colOff>
      <xdr:row>3</xdr:row>
      <xdr:rowOff>142875</xdr:rowOff>
    </xdr:to>
    <xdr:pic>
      <xdr:nvPicPr>
        <xdr:cNvPr id="4098" name="Imagen 1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317501</xdr:colOff>
      <xdr:row>0</xdr:row>
      <xdr:rowOff>0</xdr:rowOff>
    </xdr:from>
    <xdr:to>
      <xdr:col>9</xdr:col>
      <xdr:colOff>73025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5418" y="0"/>
          <a:ext cx="771524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876300</xdr:colOff>
      <xdr:row>3</xdr:row>
      <xdr:rowOff>142875</xdr:rowOff>
    </xdr:to>
    <xdr:pic>
      <xdr:nvPicPr>
        <xdr:cNvPr id="5122" name="Imagen 1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878417</xdr:colOff>
      <xdr:row>0</xdr:row>
      <xdr:rowOff>0</xdr:rowOff>
    </xdr:from>
    <xdr:to>
      <xdr:col>5</xdr:col>
      <xdr:colOff>771525</xdr:colOff>
      <xdr:row>4</xdr:row>
      <xdr:rowOff>28622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0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517556</xdr:colOff>
      <xdr:row>53</xdr:row>
      <xdr:rowOff>144060</xdr:rowOff>
    </xdr:from>
    <xdr:to>
      <xdr:col>14</xdr:col>
      <xdr:colOff>34448</xdr:colOff>
      <xdr:row>69</xdr:row>
      <xdr:rowOff>37910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37F555-4858-4F0E-DFBA-12A6BCA6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7377" y="9477612"/>
          <a:ext cx="6469668" cy="2684059"/>
        </a:xfrm>
        <a:prstGeom prst="rect">
          <a:avLst/>
        </a:prstGeom>
      </xdr:spPr>
    </xdr:pic>
    <xdr:clientData/>
  </xdr:twoCellAnchor>
  <xdr:twoCellAnchor editAs="oneCell">
    <xdr:from>
      <xdr:col>6</xdr:col>
      <xdr:colOff>485254</xdr:colOff>
      <xdr:row>34</xdr:row>
      <xdr:rowOff>61516</xdr:rowOff>
    </xdr:from>
    <xdr:to>
      <xdr:col>15</xdr:col>
      <xdr:colOff>638208</xdr:colOff>
      <xdr:row>52</xdr:row>
      <xdr:rowOff>146647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F584F0-9B07-59F4-DF97-FF3B807D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5075" y="6081695"/>
          <a:ext cx="7886685" cy="32241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6146" name="Imagen 1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158749</xdr:colOff>
      <xdr:row>0</xdr:row>
      <xdr:rowOff>0</xdr:rowOff>
    </xdr:from>
    <xdr:to>
      <xdr:col>3</xdr:col>
      <xdr:colOff>930274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416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0242" name="Imagen 1">
          <a:extLst>
            <a:ext uri="{FF2B5EF4-FFF2-40B4-BE49-F238E27FC236}">
              <a16:creationId xmlns:a16="http://schemas.microsoft.com/office/drawing/2014/main" id="{00000000-0008-0000-0E00-00000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116416</xdr:colOff>
      <xdr:row>0</xdr:row>
      <xdr:rowOff>0</xdr:rowOff>
    </xdr:from>
    <xdr:to>
      <xdr:col>3</xdr:col>
      <xdr:colOff>882650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4916" y="0"/>
          <a:ext cx="766234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8194" name="Imagen 1">
          <a:extLst>
            <a:ext uri="{FF2B5EF4-FFF2-40B4-BE49-F238E27FC236}">
              <a16:creationId xmlns:a16="http://schemas.microsoft.com/office/drawing/2014/main" id="{00000000-0008-0000-0B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222249</xdr:colOff>
      <xdr:row>0</xdr:row>
      <xdr:rowOff>0</xdr:rowOff>
    </xdr:from>
    <xdr:to>
      <xdr:col>5</xdr:col>
      <xdr:colOff>30691</xdr:colOff>
      <xdr:row>4</xdr:row>
      <xdr:rowOff>3831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5416" y="0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EB857D-CCF1-42C4-9203-06D62594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647700" cy="71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211666</xdr:colOff>
      <xdr:row>0</xdr:row>
      <xdr:rowOff>74084</xdr:rowOff>
    </xdr:from>
    <xdr:to>
      <xdr:col>5</xdr:col>
      <xdr:colOff>20108</xdr:colOff>
      <xdr:row>4</xdr:row>
      <xdr:rowOff>55081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F3476-347F-40FE-865D-7610D07D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083" y="74084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158591</xdr:colOff>
      <xdr:row>0</xdr:row>
      <xdr:rowOff>35719</xdr:rowOff>
    </xdr:from>
    <xdr:to>
      <xdr:col>8</xdr:col>
      <xdr:colOff>930116</xdr:colOff>
      <xdr:row>3</xdr:row>
      <xdr:rowOff>130969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8654" y="35719"/>
          <a:ext cx="771525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9218" name="Imagen 1">
          <a:extLst>
            <a:ext uri="{FF2B5EF4-FFF2-40B4-BE49-F238E27FC236}">
              <a16:creationId xmlns:a16="http://schemas.microsoft.com/office/drawing/2014/main" id="{00000000-0008-0000-0D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0</xdr:row>
      <xdr:rowOff>0</xdr:rowOff>
    </xdr:from>
    <xdr:to>
      <xdr:col>4</xdr:col>
      <xdr:colOff>28576</xdr:colOff>
      <xdr:row>4</xdr:row>
      <xdr:rowOff>55080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81050" cy="777875"/>
    <xdr:pic>
      <xdr:nvPicPr>
        <xdr:cNvPr id="2" name="Imagen 1">
          <a:extLst>
            <a:ext uri="{FF2B5EF4-FFF2-40B4-BE49-F238E27FC236}">
              <a16:creationId xmlns:a16="http://schemas.microsoft.com/office/drawing/2014/main" id="{ECF28EE2-25C4-41EE-B8A7-7A1E99C47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79675</xdr:colOff>
      <xdr:row>0</xdr:row>
      <xdr:rowOff>21167</xdr:rowOff>
    </xdr:from>
    <xdr:ext cx="771525" cy="864705"/>
    <xdr:pic>
      <xdr:nvPicPr>
        <xdr:cNvPr id="3" name="Imagen 2">
          <a:extLst>
            <a:ext uri="{FF2B5EF4-FFF2-40B4-BE49-F238E27FC236}">
              <a16:creationId xmlns:a16="http://schemas.microsoft.com/office/drawing/2014/main" id="{735BD9CE-E5DA-415A-8720-99FCCDFF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5758" y="21167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6386" name="Imagen 1">
          <a:extLst>
            <a:ext uri="{FF2B5EF4-FFF2-40B4-BE49-F238E27FC236}">
              <a16:creationId xmlns:a16="http://schemas.microsoft.com/office/drawing/2014/main" id="{00000000-0008-0000-1100-0000024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539750</xdr:colOff>
      <xdr:row>0</xdr:row>
      <xdr:rowOff>0</xdr:rowOff>
    </xdr:from>
    <xdr:to>
      <xdr:col>7</xdr:col>
      <xdr:colOff>1311275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4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FB81AB-D6E5-4627-98AF-71FA85D9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160868</xdr:colOff>
      <xdr:row>0</xdr:row>
      <xdr:rowOff>10584</xdr:rowOff>
    </xdr:from>
    <xdr:to>
      <xdr:col>6</xdr:col>
      <xdr:colOff>935568</xdr:colOff>
      <xdr:row>4</xdr:row>
      <xdr:rowOff>49789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6FB94-7EC0-4906-A2A7-8219453A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1" y="10584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930529</xdr:colOff>
      <xdr:row>16</xdr:row>
      <xdr:rowOff>99762</xdr:rowOff>
    </xdr:from>
    <xdr:to>
      <xdr:col>8</xdr:col>
      <xdr:colOff>197141</xdr:colOff>
      <xdr:row>22</xdr:row>
      <xdr:rowOff>63286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6966B7-2093-A797-3C7F-FADE8D96A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4605" y="3065048"/>
          <a:ext cx="3751762" cy="106775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CB2BBC-2873-401A-9A4B-261CBA690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865981</xdr:colOff>
      <xdr:row>0</xdr:row>
      <xdr:rowOff>11907</xdr:rowOff>
    </xdr:from>
    <xdr:to>
      <xdr:col>8</xdr:col>
      <xdr:colOff>1647297</xdr:colOff>
      <xdr:row>4</xdr:row>
      <xdr:rowOff>117787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ED53B-19E1-447D-AAEF-2BFB9144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231" y="11907"/>
          <a:ext cx="781316" cy="939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391584</xdr:colOff>
      <xdr:row>0</xdr:row>
      <xdr:rowOff>31750</xdr:rowOff>
    </xdr:from>
    <xdr:to>
      <xdr:col>1</xdr:col>
      <xdr:colOff>770467</xdr:colOff>
      <xdr:row>4</xdr:row>
      <xdr:rowOff>53975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0B8C9-4A65-4F9C-96CE-82947AB7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31750"/>
          <a:ext cx="7810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44450</xdr:colOff>
      <xdr:row>0</xdr:row>
      <xdr:rowOff>31750</xdr:rowOff>
    </xdr:from>
    <xdr:to>
      <xdr:col>5</xdr:col>
      <xdr:colOff>819150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CFE29-5D24-4C89-A613-54FBD9F8E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1117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AC8596-6996-4902-869D-64AC51AC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372532</xdr:colOff>
      <xdr:row>0</xdr:row>
      <xdr:rowOff>31750</xdr:rowOff>
    </xdr:from>
    <xdr:to>
      <xdr:col>4</xdr:col>
      <xdr:colOff>78315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FBC7-9D6A-4446-9C8E-3EF791481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2449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364067</xdr:colOff>
      <xdr:row>0</xdr:row>
      <xdr:rowOff>0</xdr:rowOff>
    </xdr:from>
    <xdr:to>
      <xdr:col>1</xdr:col>
      <xdr:colOff>772584</xdr:colOff>
      <xdr:row>3</xdr:row>
      <xdr:rowOff>142875</xdr:rowOff>
    </xdr:to>
    <xdr:pic>
      <xdr:nvPicPr>
        <xdr:cNvPr id="15362" name="Imagen 1">
          <a:extLst>
            <a:ext uri="{FF2B5EF4-FFF2-40B4-BE49-F238E27FC236}">
              <a16:creationId xmlns:a16="http://schemas.microsoft.com/office/drawing/2014/main" id="{00000000-0008-0000-1200-00000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7" y="0"/>
          <a:ext cx="781050" cy="769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899583</xdr:colOff>
      <xdr:row>0</xdr:row>
      <xdr:rowOff>0</xdr:rowOff>
    </xdr:from>
    <xdr:to>
      <xdr:col>5</xdr:col>
      <xdr:colOff>699559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1416" y="0"/>
          <a:ext cx="731309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4338" name="Imagen 1">
          <a:extLst>
            <a:ext uri="{FF2B5EF4-FFF2-40B4-BE49-F238E27FC236}">
              <a16:creationId xmlns:a16="http://schemas.microsoft.com/office/drawing/2014/main" id="{00000000-0008-0000-1300-00000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20108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9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C66721-2869-4459-9C96-B989CC66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B27C44-FB0D-45AD-8A9A-2EF3766C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606424</xdr:colOff>
      <xdr:row>0</xdr:row>
      <xdr:rowOff>0</xdr:rowOff>
    </xdr:from>
    <xdr:to>
      <xdr:col>5</xdr:col>
      <xdr:colOff>6347</xdr:colOff>
      <xdr:row>4</xdr:row>
      <xdr:rowOff>102705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8DE180-E529-4FE5-A9B7-7541BA4E1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341" y="0"/>
          <a:ext cx="976841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C7346D-D0D8-4091-B113-E9140081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CDE49D-AD01-4EAD-946B-7BB7C6A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8B899-4F20-4229-BC81-27F8A9E4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778934</xdr:colOff>
      <xdr:row>4</xdr:row>
      <xdr:rowOff>92121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E623A0-D7B4-479D-A9B7-732AB636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5259" y="0"/>
          <a:ext cx="976842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79D7CA-A7A7-43A0-B208-4B98BADE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840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AE75D-9B51-4691-B806-A0EEB4AE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93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032812-474D-480C-B8F1-795B5C09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46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778933</xdr:colOff>
      <xdr:row>4</xdr:row>
      <xdr:rowOff>92121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B7726E-FAD5-45F2-A975-7A2F7450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983" y="0"/>
          <a:ext cx="997503" cy="876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 tint="0.79998168889431442"/>
  </sheetPr>
  <dimension ref="A1:H19"/>
  <sheetViews>
    <sheetView showGridLines="0" zoomScale="90" zoomScaleNormal="90" workbookViewId="0">
      <selection activeCell="J61" sqref="J61"/>
    </sheetView>
  </sheetViews>
  <sheetFormatPr baseColWidth="10" defaultRowHeight="14"/>
  <sheetData>
    <row r="1" spans="1:8" ht="23.65">
      <c r="A1" s="212"/>
      <c r="B1" s="212"/>
      <c r="C1" s="212"/>
      <c r="D1" s="212"/>
      <c r="E1" s="212"/>
      <c r="F1" s="212"/>
    </row>
    <row r="2" spans="1:8" ht="23.65">
      <c r="B2" s="212"/>
      <c r="C2" s="212"/>
      <c r="D2" s="212"/>
      <c r="E2" s="212"/>
      <c r="F2" s="212"/>
    </row>
    <row r="3" spans="1:8" ht="23.65">
      <c r="A3" s="212"/>
      <c r="B3" s="212"/>
      <c r="C3" s="212"/>
      <c r="D3" s="212"/>
      <c r="E3" s="212"/>
      <c r="F3" s="212"/>
    </row>
    <row r="4" spans="1:8" ht="23.65">
      <c r="A4" s="212"/>
      <c r="B4" s="212"/>
      <c r="C4" s="212"/>
      <c r="D4" s="212"/>
      <c r="E4" s="212"/>
      <c r="F4" s="212"/>
    </row>
    <row r="5" spans="1:8" ht="23.65">
      <c r="A5" s="212"/>
      <c r="B5" s="212"/>
      <c r="C5" s="212"/>
      <c r="D5" s="212"/>
      <c r="E5" s="212"/>
      <c r="F5" s="212"/>
    </row>
    <row r="6" spans="1:8" ht="23.65">
      <c r="A6" s="212"/>
      <c r="B6" s="212"/>
      <c r="C6" s="212"/>
      <c r="D6" s="212"/>
      <c r="E6" s="212"/>
      <c r="F6" s="212"/>
    </row>
    <row r="7" spans="1:8" ht="20.95">
      <c r="A7" s="768" t="s">
        <v>234</v>
      </c>
      <c r="B7" s="768"/>
      <c r="C7" s="768"/>
      <c r="D7" s="768"/>
      <c r="E7" s="768"/>
      <c r="F7" s="768"/>
      <c r="G7" s="768"/>
      <c r="H7" s="768"/>
    </row>
    <row r="8" spans="1:8">
      <c r="A8" s="767" t="s">
        <v>270</v>
      </c>
      <c r="B8" s="767"/>
      <c r="C8" s="767"/>
      <c r="D8" s="767"/>
      <c r="E8" s="767"/>
      <c r="F8" s="767"/>
      <c r="G8" s="767"/>
      <c r="H8" s="767"/>
    </row>
    <row r="9" spans="1:8">
      <c r="A9" s="767" t="s">
        <v>3145</v>
      </c>
      <c r="B9" s="767"/>
      <c r="C9" s="767"/>
      <c r="D9" s="767"/>
      <c r="E9" s="767"/>
      <c r="F9" s="767"/>
      <c r="G9" s="767"/>
      <c r="H9" s="767"/>
    </row>
    <row r="10" spans="1:8">
      <c r="A10" s="767"/>
      <c r="B10" s="767"/>
      <c r="C10" s="767"/>
      <c r="D10" s="767"/>
      <c r="E10" s="767"/>
      <c r="F10" s="767"/>
    </row>
    <row r="11" spans="1:8" ht="23.65">
      <c r="A11" s="212"/>
      <c r="B11" s="212"/>
      <c r="C11" s="212"/>
      <c r="D11" s="212"/>
      <c r="E11" s="212"/>
      <c r="F11" s="212"/>
    </row>
    <row r="12" spans="1:8" ht="23.65">
      <c r="A12" s="212"/>
      <c r="B12" s="212"/>
      <c r="C12" s="212"/>
      <c r="D12" s="212"/>
      <c r="E12" s="212"/>
      <c r="F12" s="212"/>
    </row>
    <row r="13" spans="1:8" ht="23.65">
      <c r="A13" s="212"/>
      <c r="B13" s="212"/>
      <c r="C13" s="212"/>
      <c r="D13" s="212"/>
      <c r="E13" s="213" t="s">
        <v>227</v>
      </c>
      <c r="F13" s="212"/>
    </row>
    <row r="14" spans="1:8" ht="23.65">
      <c r="A14" s="214"/>
      <c r="B14" s="212"/>
      <c r="C14" s="212"/>
      <c r="D14" s="212"/>
      <c r="E14" s="215" t="s">
        <v>228</v>
      </c>
      <c r="F14" s="212"/>
    </row>
    <row r="15" spans="1:8" ht="23.65">
      <c r="A15" s="212"/>
      <c r="B15" s="212"/>
      <c r="C15" s="212"/>
      <c r="D15" s="212"/>
      <c r="E15" s="215" t="s">
        <v>229</v>
      </c>
      <c r="F15" s="212"/>
    </row>
    <row r="16" spans="1:8" ht="23.65">
      <c r="A16" s="212"/>
      <c r="B16" s="212"/>
      <c r="C16" s="212"/>
      <c r="D16" s="212"/>
      <c r="E16" s="215" t="s">
        <v>230</v>
      </c>
      <c r="F16" s="212"/>
    </row>
    <row r="17" spans="1:6" ht="23.65">
      <c r="A17" s="212"/>
      <c r="B17" s="212"/>
      <c r="C17" s="212"/>
      <c r="D17" s="212"/>
      <c r="E17" s="215" t="s">
        <v>231</v>
      </c>
      <c r="F17" s="212"/>
    </row>
    <row r="18" spans="1:6" ht="23.65">
      <c r="A18" s="212"/>
      <c r="B18" s="212"/>
      <c r="C18" s="212"/>
      <c r="D18" s="212"/>
      <c r="E18" s="215" t="s">
        <v>232</v>
      </c>
      <c r="F18" s="212"/>
    </row>
    <row r="19" spans="1:6" ht="23.65">
      <c r="A19" s="212"/>
      <c r="B19" s="212"/>
      <c r="C19" s="212"/>
      <c r="D19" s="212"/>
      <c r="E19" s="215" t="s">
        <v>233</v>
      </c>
      <c r="F19" s="212"/>
    </row>
  </sheetData>
  <mergeCells count="4">
    <mergeCell ref="A10:F10"/>
    <mergeCell ref="A7:H7"/>
    <mergeCell ref="A8:H8"/>
    <mergeCell ref="A9:H9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0.79998168889431442"/>
  </sheetPr>
  <dimension ref="B1:F48"/>
  <sheetViews>
    <sheetView showGridLines="0" zoomScale="90" zoomScaleNormal="90" workbookViewId="0">
      <selection activeCell="J61" sqref="J61"/>
    </sheetView>
  </sheetViews>
  <sheetFormatPr baseColWidth="10" defaultRowHeight="14"/>
  <cols>
    <col min="1" max="1" width="4.09765625" customWidth="1"/>
    <col min="2" max="2" width="17.296875" customWidth="1"/>
    <col min="3" max="3" width="53.59765625" customWidth="1"/>
    <col min="4" max="4" width="14.8984375" bestFit="1" customWidth="1"/>
    <col min="5" max="5" width="2" customWidth="1"/>
    <col min="6" max="6" width="15.3984375" hidden="1" customWidth="1"/>
  </cols>
  <sheetData>
    <row r="1" spans="2:6" ht="20.95">
      <c r="B1" s="770" t="str">
        <f>+Carátula!A7</f>
        <v>Flexi Chile SpA</v>
      </c>
      <c r="C1" s="770"/>
      <c r="D1" s="770"/>
      <c r="E1" s="770"/>
      <c r="F1" s="770"/>
    </row>
    <row r="2" spans="2:6">
      <c r="B2" s="769" t="s">
        <v>484</v>
      </c>
      <c r="C2" s="769"/>
      <c r="D2" s="769"/>
      <c r="E2" s="769"/>
      <c r="F2" s="769"/>
    </row>
    <row r="3" spans="2:6">
      <c r="B3" s="769" t="str">
        <f>+Carátula!A9</f>
        <v>Al 31 de enero de 2026</v>
      </c>
      <c r="C3" s="769"/>
      <c r="D3" s="769"/>
      <c r="E3" s="769"/>
      <c r="F3" s="769"/>
    </row>
    <row r="4" spans="2:6">
      <c r="B4" s="769"/>
      <c r="C4" s="769"/>
      <c r="D4" s="769"/>
    </row>
    <row r="5" spans="2:6">
      <c r="B5" s="191"/>
      <c r="C5" s="191"/>
      <c r="D5" s="191"/>
    </row>
    <row r="6" spans="2:6">
      <c r="B6" s="192" t="s">
        <v>1566</v>
      </c>
      <c r="C6" s="594">
        <v>865.1</v>
      </c>
      <c r="D6" s="216">
        <v>46053</v>
      </c>
      <c r="F6" s="257">
        <f>+D6</f>
        <v>46053</v>
      </c>
    </row>
    <row r="7" spans="2:6">
      <c r="B7" s="194" t="s">
        <v>223</v>
      </c>
      <c r="C7" s="194"/>
      <c r="D7" s="195"/>
      <c r="F7" s="195" t="s">
        <v>218</v>
      </c>
    </row>
    <row r="8" spans="2:6">
      <c r="B8" s="197"/>
      <c r="C8" s="197"/>
      <c r="D8" s="198"/>
    </row>
    <row r="9" spans="2:6">
      <c r="B9" s="199" t="s">
        <v>486</v>
      </c>
      <c r="C9" s="199"/>
      <c r="D9" s="202"/>
    </row>
    <row r="10" spans="2:6">
      <c r="B10" s="201" t="s">
        <v>458</v>
      </c>
      <c r="C10" s="201"/>
      <c r="D10" s="202">
        <f ca="1">SUMIF('Balance 8 Columnas'!A:O,'Balance Clasificado'!B10,'Balance 8 Columnas'!N:N)</f>
        <v>892013701</v>
      </c>
      <c r="F10" s="353" t="e">
        <f>SUMIF('Balance 8 Columnas'!A:O,'Balance Clasificado'!B10,'Balance 8 Columnas'!#REF!)</f>
        <v>#REF!</v>
      </c>
    </row>
    <row r="11" spans="2:6">
      <c r="B11" s="201" t="s">
        <v>459</v>
      </c>
      <c r="C11" s="201"/>
      <c r="D11" s="202">
        <f ca="1">SUMIF('Balance 8 Columnas'!A:O,'Balance Clasificado'!B11,'Balance 8 Columnas'!N:N)</f>
        <v>88703455</v>
      </c>
      <c r="F11" s="353" t="e">
        <f>SUMIF('Balance 8 Columnas'!A:O,'Balance Clasificado'!B11,'Balance 8 Columnas'!#REF!)</f>
        <v>#REF!</v>
      </c>
    </row>
    <row r="12" spans="2:6">
      <c r="B12" s="201" t="s">
        <v>460</v>
      </c>
      <c r="C12" s="201"/>
      <c r="D12" s="202">
        <f ca="1">SUMIF('Balance 8 Columnas'!A:O,'Balance Clasificado'!B12,'Balance 8 Columnas'!N:N)</f>
        <v>0</v>
      </c>
      <c r="F12" s="353" t="e">
        <f>SUMIF('Balance 8 Columnas'!A:O,'Balance Clasificado'!B12,'Balance 8 Columnas'!#REF!)</f>
        <v>#REF!</v>
      </c>
    </row>
    <row r="13" spans="2:6">
      <c r="B13" s="201" t="s">
        <v>461</v>
      </c>
      <c r="C13" s="201"/>
      <c r="D13" s="202">
        <f ca="1">SUMIF('Balance 8 Columnas'!A:O,'Balance Clasificado'!B13,'Balance 8 Columnas'!N:N)</f>
        <v>32614989</v>
      </c>
      <c r="F13" s="353" t="e">
        <f>SUMIF('Balance 8 Columnas'!A:O,'Balance Clasificado'!B13,'Balance 8 Columnas'!#REF!)</f>
        <v>#REF!</v>
      </c>
    </row>
    <row r="14" spans="2:6">
      <c r="B14" s="201" t="s">
        <v>462</v>
      </c>
      <c r="C14" s="201"/>
      <c r="D14" s="202">
        <f ca="1">SUMIF('Balance 8 Columnas'!A:O,'Balance Clasificado'!B14,'Balance 8 Columnas'!N:N)</f>
        <v>343622261</v>
      </c>
      <c r="F14" s="353" t="e">
        <f>SUMIF('Balance 8 Columnas'!A:O,'Balance Clasificado'!B14,'Balance 8 Columnas'!#REF!)</f>
        <v>#REF!</v>
      </c>
    </row>
    <row r="15" spans="2:6">
      <c r="B15" s="201" t="s">
        <v>463</v>
      </c>
      <c r="C15" s="201"/>
      <c r="D15" s="202">
        <f ca="1">SUMIF('Balance 8 Columnas'!A:O,'Balance Clasificado'!B15,'Balance 8 Columnas'!N:N)</f>
        <v>1824159549</v>
      </c>
      <c r="F15" s="353" t="e">
        <f>SUMIF('Balance 8 Columnas'!A:O,'Balance Clasificado'!B15,'Balance 8 Columnas'!#REF!)</f>
        <v>#REF!</v>
      </c>
    </row>
    <row r="16" spans="2:6">
      <c r="B16" s="201" t="s">
        <v>464</v>
      </c>
      <c r="C16" s="201"/>
      <c r="D16" s="202">
        <f ca="1">SUMIF('Balance 8 Columnas'!A:O,'Balance Clasificado'!B16,'Balance 8 Columnas'!N:N)</f>
        <v>357340940</v>
      </c>
      <c r="F16" s="353" t="e">
        <f>SUMIF('Balance 8 Columnas'!A:O,'Balance Clasificado'!B16,'Balance 8 Columnas'!#REF!)</f>
        <v>#REF!</v>
      </c>
    </row>
    <row r="17" spans="2:6">
      <c r="B17" s="203" t="s">
        <v>491</v>
      </c>
      <c r="C17" s="203"/>
      <c r="D17" s="204">
        <f ca="1">SUM(D10:D16)</f>
        <v>3538454895</v>
      </c>
      <c r="F17" s="354" t="e">
        <f>SUM(F10:F16)</f>
        <v>#REF!</v>
      </c>
    </row>
    <row r="18" spans="2:6">
      <c r="B18" s="200"/>
      <c r="C18" s="200"/>
      <c r="D18" s="202"/>
      <c r="F18" s="258"/>
    </row>
    <row r="19" spans="2:6">
      <c r="B19" s="199" t="s">
        <v>492</v>
      </c>
      <c r="C19" s="199"/>
      <c r="D19" s="205"/>
      <c r="F19" s="258"/>
    </row>
    <row r="20" spans="2:6">
      <c r="B20" s="201" t="s">
        <v>465</v>
      </c>
      <c r="C20" s="201"/>
      <c r="D20" s="355">
        <f ca="1">SUMIF('Balance 8 Columnas'!A:O,'Balance Clasificado'!B20,'Balance 8 Columnas'!N:N)</f>
        <v>684577620</v>
      </c>
      <c r="F20" s="353" t="e">
        <f>SUMIF('Balance 8 Columnas'!A:O,'Balance Clasificado'!B20,'Balance 8 Columnas'!#REF!)</f>
        <v>#REF!</v>
      </c>
    </row>
    <row r="21" spans="2:6">
      <c r="B21" s="201" t="s">
        <v>466</v>
      </c>
      <c r="C21" s="201"/>
      <c r="D21" s="355">
        <f ca="1">SUMIF('Balance 8 Columnas'!A:O,'Balance Clasificado'!B21,'Balance 8 Columnas'!N:N)</f>
        <v>109578639</v>
      </c>
      <c r="F21" s="353" t="e">
        <f>SUMIF('Balance 8 Columnas'!A:O,'Balance Clasificado'!B21,'Balance 8 Columnas'!#REF!)</f>
        <v>#REF!</v>
      </c>
    </row>
    <row r="22" spans="2:6">
      <c r="B22" s="201" t="s">
        <v>467</v>
      </c>
      <c r="C22" s="201"/>
      <c r="D22" s="355">
        <f ca="1">SUMIF('Balance 8 Columnas'!A:O,'Balance Clasificado'!B22,'Balance 8 Columnas'!N:N)</f>
        <v>-247517086</v>
      </c>
      <c r="F22" s="353" t="e">
        <f>SUMIF('Balance 8 Columnas'!A:O,'Balance Clasificado'!B22,'Balance 8 Columnas'!#REF!)</f>
        <v>#REF!</v>
      </c>
    </row>
    <row r="23" spans="2:6">
      <c r="B23" s="203" t="s">
        <v>493</v>
      </c>
      <c r="C23" s="203"/>
      <c r="D23" s="356">
        <f ca="1">SUM(D20:D22)</f>
        <v>546639173</v>
      </c>
      <c r="F23" s="354" t="e">
        <f>SUM(F20:F22)</f>
        <v>#REF!</v>
      </c>
    </row>
    <row r="24" spans="2:6">
      <c r="B24" s="193"/>
      <c r="C24" s="193"/>
      <c r="D24" s="193"/>
      <c r="F24" s="258"/>
    </row>
    <row r="25" spans="2:6" ht="14.55" thickBot="1">
      <c r="B25" s="206" t="s">
        <v>224</v>
      </c>
      <c r="C25" s="206"/>
      <c r="D25" s="357">
        <f ca="1">D17+D23</f>
        <v>4085094068</v>
      </c>
      <c r="F25" s="358" t="e">
        <f>F17+F23</f>
        <v>#REF!</v>
      </c>
    </row>
    <row r="26" spans="2:6" ht="14.55" thickTop="1">
      <c r="B26" s="193"/>
      <c r="C26" s="193"/>
      <c r="D26" s="216"/>
      <c r="F26" s="258"/>
    </row>
    <row r="27" spans="2:6">
      <c r="B27" s="194" t="s">
        <v>225</v>
      </c>
      <c r="C27" s="194"/>
      <c r="D27" s="207"/>
      <c r="F27" s="258"/>
    </row>
    <row r="28" spans="2:6">
      <c r="B28" s="208" t="s">
        <v>494</v>
      </c>
      <c r="C28" s="208"/>
      <c r="D28" s="209"/>
      <c r="F28" s="258"/>
    </row>
    <row r="29" spans="2:6">
      <c r="B29" s="201" t="s">
        <v>469</v>
      </c>
      <c r="C29" s="201"/>
      <c r="D29" s="355">
        <f ca="1">-SUMIF('Balance 8 Columnas'!A:O,'Balance Clasificado'!B29,'Balance 8 Columnas'!N:N)</f>
        <v>18137459</v>
      </c>
      <c r="F29" s="353" t="e">
        <f>-SUMIF('Balance 8 Columnas'!A:O,'Balance Clasificado'!B29,'Balance 8 Columnas'!#REF!)</f>
        <v>#REF!</v>
      </c>
    </row>
    <row r="30" spans="2:6">
      <c r="B30" s="201" t="s">
        <v>468</v>
      </c>
      <c r="C30" s="201"/>
      <c r="D30" s="355">
        <f ca="1">-SUMIF('Balance 8 Columnas'!A:O,'Balance Clasificado'!B30,'Balance 8 Columnas'!N:N)</f>
        <v>4298052</v>
      </c>
      <c r="F30" s="353" t="e">
        <f>-SUMIF('Balance 8 Columnas'!A:O,'Balance Clasificado'!B30,'Balance 8 Columnas'!#REF!)</f>
        <v>#REF!</v>
      </c>
    </row>
    <row r="31" spans="2:6">
      <c r="B31" s="201" t="s">
        <v>470</v>
      </c>
      <c r="C31" s="201"/>
      <c r="D31" s="355">
        <f ca="1">-SUMIF('Balance 8 Columnas'!A:O,'Balance Clasificado'!B31,'Balance 8 Columnas'!N:N)</f>
        <v>9957035</v>
      </c>
      <c r="F31" s="353" t="e">
        <f>-SUMIF('Balance 8 Columnas'!A:O,'Balance Clasificado'!B31,'Balance 8 Columnas'!#REF!)</f>
        <v>#REF!</v>
      </c>
    </row>
    <row r="32" spans="2:6">
      <c r="B32" s="201" t="s">
        <v>524</v>
      </c>
      <c r="C32" s="201"/>
      <c r="D32" s="355">
        <f ca="1">-SUMIF('Balance 8 Columnas'!A:O,'Balance Clasificado'!B32,'Balance 8 Columnas'!N:N)</f>
        <v>1381573301</v>
      </c>
      <c r="F32" s="353" t="e">
        <f>-SUMIF('Balance 8 Columnas'!A:O,'Balance Clasificado'!B32,'Balance 8 Columnas'!#REF!)</f>
        <v>#REF!</v>
      </c>
    </row>
    <row r="33" spans="2:6">
      <c r="B33" s="201" t="s">
        <v>471</v>
      </c>
      <c r="C33" s="201"/>
      <c r="D33" s="355">
        <f ca="1">-SUMIF('Balance 8 Columnas'!A:O,'Balance Clasificado'!B33,'Balance 8 Columnas'!N:N)</f>
        <v>93838855</v>
      </c>
      <c r="F33" s="353" t="e">
        <f>-SUMIF('Balance 8 Columnas'!A:O,'Balance Clasificado'!B33,'Balance 8 Columnas'!#REF!)</f>
        <v>#REF!</v>
      </c>
    </row>
    <row r="34" spans="2:6">
      <c r="B34" s="201" t="s">
        <v>472</v>
      </c>
      <c r="C34" s="201"/>
      <c r="D34" s="355">
        <f ca="1">-SUMIF('Balance 8 Columnas'!A:O,'Balance Clasificado'!B34,'Balance 8 Columnas'!N:N)</f>
        <v>958952</v>
      </c>
      <c r="F34" s="353" t="e">
        <f>-SUMIF('Balance 8 Columnas'!A:O,'Balance Clasificado'!B34,'Balance 8 Columnas'!#REF!)</f>
        <v>#REF!</v>
      </c>
    </row>
    <row r="35" spans="2:6">
      <c r="B35" s="210"/>
      <c r="C35" s="210"/>
      <c r="D35" s="355"/>
      <c r="F35" s="258"/>
    </row>
    <row r="36" spans="2:6">
      <c r="B36" s="203" t="s">
        <v>495</v>
      </c>
      <c r="C36" s="203"/>
      <c r="D36" s="356">
        <f ca="1">SUM(D29:D35)</f>
        <v>1508763654</v>
      </c>
      <c r="F36" s="354" t="e">
        <f>SUM(F29:F35)</f>
        <v>#REF!</v>
      </c>
    </row>
    <row r="37" spans="2:6">
      <c r="B37" s="200"/>
      <c r="C37" s="200"/>
      <c r="D37" s="198"/>
      <c r="F37" s="258"/>
    </row>
    <row r="38" spans="2:6">
      <c r="B38" s="210"/>
      <c r="C38" s="210"/>
      <c r="D38" s="355"/>
      <c r="F38" s="258"/>
    </row>
    <row r="39" spans="2:6">
      <c r="B39" s="199" t="s">
        <v>118</v>
      </c>
      <c r="C39" s="199"/>
      <c r="D39" s="355"/>
      <c r="F39" s="258"/>
    </row>
    <row r="40" spans="2:6">
      <c r="B40" s="201" t="s">
        <v>473</v>
      </c>
      <c r="C40" s="201"/>
      <c r="D40" s="355">
        <f ca="1">-SUMIF('Balance 8 Columnas'!A:O,'Balance Clasificado'!B40,'Balance 8 Columnas'!N:N)</f>
        <v>5770668867</v>
      </c>
      <c r="F40" s="353" t="e">
        <f>-SUMIF('Balance 8 Columnas'!A:O,'Balance Clasificado'!B40,'Balance 8 Columnas'!#REF!)</f>
        <v>#REF!</v>
      </c>
    </row>
    <row r="41" spans="2:6">
      <c r="B41" s="201" t="s">
        <v>1931</v>
      </c>
      <c r="C41" s="201"/>
      <c r="D41" s="355">
        <f ca="1">-SUMIF('Balance 8 Columnas'!A:O,'Balance Clasificado'!B41,'Balance 8 Columnas'!N:N)</f>
        <v>-3142106839</v>
      </c>
      <c r="F41" s="353" t="e">
        <f>-SUMIF('Balance 8 Columnas'!A:O,'Balance Clasificado'!B41,'Balance 8 Columnas'!#REF!)+'Estado de Resultados'!E29</f>
        <v>#REF!</v>
      </c>
    </row>
    <row r="42" spans="2:6">
      <c r="B42" s="201" t="s">
        <v>1904</v>
      </c>
      <c r="C42" s="201"/>
      <c r="D42" s="355">
        <f ca="1">+'Estado de Resultados'!C29</f>
        <v>-52231614</v>
      </c>
      <c r="F42" s="353"/>
    </row>
    <row r="43" spans="2:6">
      <c r="B43" s="201"/>
      <c r="C43" s="201"/>
      <c r="D43" s="359" t="s">
        <v>0</v>
      </c>
      <c r="F43" s="258"/>
    </row>
    <row r="44" spans="2:6">
      <c r="B44" s="203" t="s">
        <v>127</v>
      </c>
      <c r="C44" s="203"/>
      <c r="D44" s="356">
        <f ca="1">SUM(D40:D43)</f>
        <v>2576330414</v>
      </c>
      <c r="F44" s="356" t="e">
        <f>SUM(F40:F43)</f>
        <v>#REF!</v>
      </c>
    </row>
    <row r="45" spans="2:6">
      <c r="B45" s="199"/>
      <c r="C45" s="199"/>
      <c r="D45" s="355"/>
      <c r="F45" s="258"/>
    </row>
    <row r="46" spans="2:6">
      <c r="B46" s="203" t="s">
        <v>226</v>
      </c>
      <c r="C46" s="203"/>
      <c r="D46" s="356">
        <f ca="1">+D44+D36</f>
        <v>4085094068</v>
      </c>
      <c r="F46" s="356" t="e">
        <f>+F44+F36</f>
        <v>#REF!</v>
      </c>
    </row>
    <row r="47" spans="2:6">
      <c r="B47" s="193"/>
      <c r="C47" s="193"/>
      <c r="D47" s="193"/>
    </row>
    <row r="48" spans="2:6">
      <c r="D48" s="222">
        <f ca="1">+D46-D25</f>
        <v>0</v>
      </c>
      <c r="F48" s="222" t="e">
        <f>+F46-F25</f>
        <v>#REF!</v>
      </c>
    </row>
  </sheetData>
  <mergeCells count="4">
    <mergeCell ref="B4:D4"/>
    <mergeCell ref="B1:F1"/>
    <mergeCell ref="B2:F2"/>
    <mergeCell ref="B3:F3"/>
  </mergeCell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ignoredErrors>
    <ignoredError sqref="D45 D35:D37 D28 D23:D25 D10:D14 D20 D15 D16:D19 D38:D3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C00000"/>
    <pageSetUpPr fitToPage="1"/>
  </sheetPr>
  <dimension ref="A1:IS76"/>
  <sheetViews>
    <sheetView zoomScale="90" zoomScaleNormal="90" workbookViewId="0">
      <selection activeCell="B7" sqref="B7"/>
    </sheetView>
  </sheetViews>
  <sheetFormatPr baseColWidth="10" defaultColWidth="8.69921875" defaultRowHeight="10.25"/>
  <cols>
    <col min="1" max="1" width="5" style="3" customWidth="1"/>
    <col min="2" max="2" width="76.296875" style="3" customWidth="1"/>
    <col min="3" max="3" width="8.69921875" style="47" bestFit="1" customWidth="1"/>
    <col min="4" max="4" width="0.8984375" style="3" customWidth="1"/>
    <col min="5" max="5" width="15.8984375" style="3" customWidth="1"/>
    <col min="6" max="6" width="0.8984375" style="3" customWidth="1"/>
    <col min="7" max="7" width="3.8984375" style="3" customWidth="1"/>
    <col min="8" max="245" width="11.3984375" style="3" customWidth="1"/>
    <col min="246" max="246" width="10.09765625" style="3" customWidth="1"/>
    <col min="247" max="247" width="80.3984375" style="3" customWidth="1"/>
    <col min="248" max="248" width="12.69921875" style="3" customWidth="1"/>
    <col min="249" max="249" width="14.3984375" style="3" customWidth="1"/>
    <col min="250" max="253" width="0" style="3" hidden="1" customWidth="1"/>
    <col min="254" max="254" width="5" style="3" customWidth="1"/>
    <col min="255" max="255" width="76.296875" style="3" customWidth="1"/>
    <col min="256" max="256" width="8.69921875" style="3" bestFit="1"/>
    <col min="257" max="16384" width="8.69921875" style="3"/>
  </cols>
  <sheetData>
    <row r="1" spans="2:7" ht="10.75">
      <c r="B1" s="771" t="s">
        <v>61</v>
      </c>
      <c r="C1" s="772"/>
      <c r="D1" s="1"/>
      <c r="E1" s="2"/>
      <c r="F1" s="1"/>
    </row>
    <row r="2" spans="2:7" ht="10.75">
      <c r="B2" s="773" t="s">
        <v>63</v>
      </c>
      <c r="C2" s="774"/>
      <c r="D2" s="4"/>
      <c r="E2" s="5"/>
      <c r="F2" s="4"/>
    </row>
    <row r="3" spans="2:7" ht="10.75">
      <c r="B3" s="6"/>
      <c r="C3" s="7"/>
      <c r="D3" s="4"/>
      <c r="E3" s="8">
        <v>44196</v>
      </c>
      <c r="F3" s="4"/>
    </row>
    <row r="4" spans="2:7" ht="10.75">
      <c r="B4" s="9" t="s">
        <v>64</v>
      </c>
      <c r="C4" s="10"/>
      <c r="D4" s="4"/>
      <c r="E4" s="11"/>
      <c r="F4" s="4"/>
    </row>
    <row r="5" spans="2:7" ht="10.75">
      <c r="B5" s="12" t="s">
        <v>65</v>
      </c>
      <c r="C5" s="10"/>
      <c r="D5" s="4"/>
      <c r="E5" s="13" t="s">
        <v>66</v>
      </c>
      <c r="F5" s="14"/>
    </row>
    <row r="6" spans="2:7" ht="10.75">
      <c r="B6" s="15" t="s">
        <v>67</v>
      </c>
      <c r="C6" s="16"/>
      <c r="D6" s="4"/>
      <c r="E6" s="17"/>
      <c r="F6" s="4"/>
    </row>
    <row r="7" spans="2:7" ht="14">
      <c r="B7" s="18" t="s">
        <v>68</v>
      </c>
      <c r="C7" s="10"/>
      <c r="D7" s="19"/>
      <c r="E7" s="20">
        <f>SUMIF('Balance 8 Columnas'!$A$10:$A$113,B7,'Balance 8 Columnas'!$N$10:$N$113)</f>
        <v>0</v>
      </c>
      <c r="F7" s="4"/>
      <c r="G7" s="122" t="s">
        <v>173</v>
      </c>
    </row>
    <row r="8" spans="2:7" ht="14">
      <c r="B8" s="18" t="s">
        <v>69</v>
      </c>
      <c r="C8" s="10"/>
      <c r="D8" s="4"/>
      <c r="E8" s="20">
        <f>SUMIF('Balance 8 Columnas'!$A$10:$A$113,B8,'Balance 8 Columnas'!$N$10:$N$113)</f>
        <v>0</v>
      </c>
      <c r="F8" s="4"/>
      <c r="G8" s="124" t="s">
        <v>173</v>
      </c>
    </row>
    <row r="9" spans="2:7" ht="14">
      <c r="B9" s="18" t="s">
        <v>70</v>
      </c>
      <c r="C9" s="10"/>
      <c r="D9" s="4"/>
      <c r="E9" s="20">
        <f>SUMIF('Balance 8 Columnas'!$A$10:$A$113,B9,'Balance 8 Columnas'!$N$10:$N$113)</f>
        <v>0</v>
      </c>
      <c r="F9" s="4"/>
      <c r="G9" s="140" t="s">
        <v>173</v>
      </c>
    </row>
    <row r="10" spans="2:7" ht="14">
      <c r="B10" s="18" t="s">
        <v>71</v>
      </c>
      <c r="C10" s="10"/>
      <c r="D10" s="4"/>
      <c r="E10" s="20">
        <f>SUMIF('Balance 8 Columnas'!$A$10:$A$113,B10,'Balance 8 Columnas'!$N$10:$N$113)</f>
        <v>0</v>
      </c>
      <c r="F10" s="4"/>
      <c r="G10" s="124" t="s">
        <v>173</v>
      </c>
    </row>
    <row r="11" spans="2:7">
      <c r="B11" s="18" t="s">
        <v>72</v>
      </c>
      <c r="C11" s="10"/>
      <c r="D11" s="4"/>
      <c r="E11" s="20">
        <f>SUMIF('Balance 8 Columnas'!$A$10:$A$113,B11,'Balance 8 Columnas'!$N$10:$N$113)</f>
        <v>0</v>
      </c>
      <c r="F11" s="4"/>
    </row>
    <row r="12" spans="2:7">
      <c r="B12" s="18" t="s">
        <v>142</v>
      </c>
      <c r="C12" s="10"/>
      <c r="D12" s="4"/>
      <c r="E12" s="20">
        <f>SUMIF('Balance 8 Columnas'!$A$10:$A$113,B12,'Balance 8 Columnas'!$N$10:$N$113)</f>
        <v>0</v>
      </c>
      <c r="F12" s="4"/>
    </row>
    <row r="13" spans="2:7">
      <c r="B13" s="18" t="s">
        <v>73</v>
      </c>
      <c r="C13" s="10"/>
      <c r="D13" s="4"/>
      <c r="E13" s="20">
        <f>SUMIF('Balance 8 Columnas'!$A$10:$A$113,B13,'Balance 8 Columnas'!$N$10:$N$113)</f>
        <v>0</v>
      </c>
      <c r="F13" s="4"/>
    </row>
    <row r="14" spans="2:7" ht="14">
      <c r="B14" s="18" t="s">
        <v>74</v>
      </c>
      <c r="C14" s="10"/>
      <c r="D14" s="4"/>
      <c r="E14" s="20">
        <f>SUMIF('Balance 8 Columnas'!$A$10:$A$113,B14,'Balance 8 Columnas'!$N$10:$N$113)</f>
        <v>0</v>
      </c>
      <c r="F14" s="4"/>
      <c r="G14" s="124" t="s">
        <v>173</v>
      </c>
    </row>
    <row r="15" spans="2:7" ht="20.45">
      <c r="B15" s="22" t="s">
        <v>75</v>
      </c>
      <c r="C15" s="16"/>
      <c r="D15" s="4"/>
      <c r="E15" s="23">
        <f>SUM(E7:E14)</f>
        <v>0</v>
      </c>
      <c r="F15" s="4"/>
    </row>
    <row r="16" spans="2:7" ht="20.45" hidden="1">
      <c r="B16" s="24" t="s">
        <v>76</v>
      </c>
      <c r="C16" s="16"/>
      <c r="D16" s="4"/>
      <c r="E16" s="20">
        <f>SUMIF('Balance 8 Columnas'!$A$10:$A$113,B16,'Balance 8 Columnas'!$N$10:$N$113)</f>
        <v>0</v>
      </c>
      <c r="F16" s="4"/>
    </row>
    <row r="17" spans="2:7" ht="20.45" hidden="1">
      <c r="B17" s="24" t="s">
        <v>77</v>
      </c>
      <c r="C17" s="16"/>
      <c r="D17" s="4"/>
      <c r="E17" s="20">
        <f>SUMIF('Balance 8 Columnas'!$A$10:$A$113,B17,'Balance 8 Columnas'!$N$10:$N$113)</f>
        <v>0</v>
      </c>
      <c r="F17" s="4"/>
    </row>
    <row r="18" spans="2:7" ht="20.45" hidden="1">
      <c r="B18" s="22" t="s">
        <v>78</v>
      </c>
      <c r="C18" s="16"/>
      <c r="D18" s="4"/>
      <c r="E18" s="25">
        <v>0</v>
      </c>
      <c r="F18" s="4"/>
    </row>
    <row r="19" spans="2:7">
      <c r="B19" s="22" t="s">
        <v>79</v>
      </c>
      <c r="C19" s="16"/>
      <c r="D19" s="4"/>
      <c r="E19" s="23">
        <f>SUM(E15:E17)</f>
        <v>0</v>
      </c>
      <c r="F19" s="4"/>
    </row>
    <row r="20" spans="2:7" ht="10.75">
      <c r="B20" s="15" t="s">
        <v>80</v>
      </c>
      <c r="C20" s="16"/>
      <c r="D20" s="4"/>
      <c r="E20" s="26"/>
      <c r="F20" s="4"/>
    </row>
    <row r="21" spans="2:7">
      <c r="B21" s="22" t="s">
        <v>81</v>
      </c>
      <c r="C21" s="16"/>
      <c r="D21" s="4"/>
      <c r="E21" s="20">
        <f>SUMIF('Balance 8 Columnas'!$A$10:$A$113,B21,'Balance 8 Columnas'!$N$10:$N$113)</f>
        <v>0</v>
      </c>
      <c r="F21" s="4"/>
    </row>
    <row r="22" spans="2:7" ht="14">
      <c r="B22" s="22" t="s">
        <v>82</v>
      </c>
      <c r="C22" s="16"/>
      <c r="D22" s="4"/>
      <c r="E22" s="20">
        <f>SUMIF('Balance 8 Columnas'!$A$10:$A$113,B22,'Balance 8 Columnas'!$N$10:$N$113)</f>
        <v>0</v>
      </c>
      <c r="F22" s="4"/>
      <c r="G22" s="124" t="s">
        <v>173</v>
      </c>
    </row>
    <row r="23" spans="2:7" hidden="1">
      <c r="B23" s="22" t="s">
        <v>83</v>
      </c>
      <c r="C23" s="16"/>
      <c r="D23" s="4"/>
      <c r="E23" s="20">
        <f>SUMIF('Balance 8 Columnas'!$A$10:$A$113,B23,'Balance 8 Columnas'!$N$10:$N$113)</f>
        <v>0</v>
      </c>
      <c r="F23" s="4"/>
    </row>
    <row r="24" spans="2:7" hidden="1">
      <c r="B24" s="22" t="s">
        <v>84</v>
      </c>
      <c r="C24" s="16"/>
      <c r="D24" s="4"/>
      <c r="E24" s="20">
        <f>SUMIF('Balance 8 Columnas'!$A$10:$A$113,B24,'Balance 8 Columnas'!$N$10:$N$113)</f>
        <v>0</v>
      </c>
      <c r="F24" s="4"/>
    </row>
    <row r="25" spans="2:7" hidden="1">
      <c r="B25" s="22" t="s">
        <v>85</v>
      </c>
      <c r="C25" s="16"/>
      <c r="D25" s="4"/>
      <c r="E25" s="20">
        <f>SUMIF('Balance 8 Columnas'!$A$10:$A$113,B25,'Balance 8 Columnas'!$N$10:$N$113)</f>
        <v>0</v>
      </c>
      <c r="F25" s="4"/>
    </row>
    <row r="26" spans="2:7" hidden="1">
      <c r="B26" s="22" t="s">
        <v>86</v>
      </c>
      <c r="C26" s="16"/>
      <c r="D26" s="4"/>
      <c r="E26" s="20">
        <f>SUMIF('Balance 8 Columnas'!$A$10:$A$113,B26,'Balance 8 Columnas'!$N$10:$N$113)</f>
        <v>0</v>
      </c>
      <c r="F26" s="4"/>
    </row>
    <row r="27" spans="2:7" hidden="1">
      <c r="B27" s="22" t="s">
        <v>87</v>
      </c>
      <c r="C27" s="16"/>
      <c r="D27" s="4"/>
      <c r="E27" s="20">
        <f>SUMIF('Balance 8 Columnas'!$A$10:$A$113,B27,'Balance 8 Columnas'!$N$10:$N$113)</f>
        <v>0</v>
      </c>
      <c r="F27" s="4"/>
    </row>
    <row r="28" spans="2:7">
      <c r="B28" s="22" t="s">
        <v>88</v>
      </c>
      <c r="C28" s="16"/>
      <c r="D28" s="4"/>
      <c r="E28" s="20">
        <f>SUMIF('Balance 8 Columnas'!$A$10:$A$113,B28,'Balance 8 Columnas'!$N$10:$N$113)</f>
        <v>0</v>
      </c>
      <c r="F28" s="4"/>
    </row>
    <row r="29" spans="2:7" ht="14">
      <c r="B29" s="22" t="s">
        <v>89</v>
      </c>
      <c r="C29" s="16"/>
      <c r="D29" s="4"/>
      <c r="E29" s="20">
        <f>SUMIF('Balance 8 Columnas'!$A$10:$A$113,B29,'Balance 8 Columnas'!$N$10:$N$113)</f>
        <v>0</v>
      </c>
      <c r="F29" s="4"/>
      <c r="G29" s="124" t="s">
        <v>173</v>
      </c>
    </row>
    <row r="30" spans="2:7" hidden="1">
      <c r="B30" s="22" t="s">
        <v>90</v>
      </c>
      <c r="C30" s="16"/>
      <c r="D30" s="4"/>
      <c r="E30" s="20">
        <f>SUMIF('Balance 8 Columnas'!$A$10:$A$113,B30,'Balance 8 Columnas'!$N$10:$N$113)</f>
        <v>0</v>
      </c>
      <c r="F30" s="4"/>
    </row>
    <row r="31" spans="2:7">
      <c r="B31" s="22" t="s">
        <v>91</v>
      </c>
      <c r="C31" s="16"/>
      <c r="D31" s="4"/>
      <c r="E31" s="20">
        <f>SUMIF('Balance 8 Columnas'!$A$10:$A$113,B31,'Balance 8 Columnas'!$N$10:$N$113)</f>
        <v>0</v>
      </c>
      <c r="F31" s="4"/>
    </row>
    <row r="32" spans="2:7">
      <c r="B32" s="22" t="s">
        <v>92</v>
      </c>
      <c r="C32" s="16"/>
      <c r="D32" s="4"/>
      <c r="E32" s="20">
        <f>SUMIF('Balance 8 Columnas'!$A$10:$A$113,B32,'Balance 8 Columnas'!$N$10:$N$113)</f>
        <v>0</v>
      </c>
      <c r="F32" s="4"/>
    </row>
    <row r="33" spans="2:7">
      <c r="B33" s="22" t="s">
        <v>93</v>
      </c>
      <c r="C33" s="16"/>
      <c r="D33" s="4"/>
      <c r="E33" s="23">
        <f>SUM(E21:E32)</f>
        <v>0</v>
      </c>
      <c r="F33" s="4"/>
    </row>
    <row r="34" spans="2:7">
      <c r="B34" s="27" t="s">
        <v>94</v>
      </c>
      <c r="C34" s="16"/>
      <c r="D34" s="4"/>
      <c r="E34" s="23">
        <f>+E19+E33</f>
        <v>0</v>
      </c>
      <c r="F34" s="4"/>
    </row>
    <row r="35" spans="2:7">
      <c r="B35" s="27"/>
      <c r="C35" s="16"/>
      <c r="D35" s="4"/>
      <c r="E35" s="28"/>
      <c r="F35" s="4"/>
    </row>
    <row r="36" spans="2:7" ht="10.75">
      <c r="B36" s="29" t="s">
        <v>95</v>
      </c>
      <c r="C36" s="30"/>
      <c r="D36" s="4"/>
      <c r="E36" s="31"/>
      <c r="F36" s="4"/>
    </row>
    <row r="37" spans="2:7" ht="10.75">
      <c r="B37" s="32"/>
      <c r="C37" s="33"/>
      <c r="D37" s="4"/>
      <c r="E37" s="34">
        <f>E3</f>
        <v>44196</v>
      </c>
      <c r="F37" s="4"/>
    </row>
    <row r="38" spans="2:7" ht="10.75">
      <c r="B38" s="35" t="s">
        <v>64</v>
      </c>
      <c r="C38" s="10"/>
      <c r="D38" s="4"/>
      <c r="E38" s="26"/>
      <c r="F38" s="4"/>
    </row>
    <row r="39" spans="2:7" ht="10.75">
      <c r="B39" s="36" t="s">
        <v>96</v>
      </c>
      <c r="C39" s="16"/>
      <c r="D39" s="4"/>
      <c r="E39" s="26"/>
      <c r="F39" s="4"/>
    </row>
    <row r="40" spans="2:7" ht="10.75">
      <c r="B40" s="15" t="s">
        <v>97</v>
      </c>
      <c r="C40" s="16"/>
      <c r="D40" s="4"/>
      <c r="E40" s="13" t="s">
        <v>66</v>
      </c>
      <c r="F40" s="4"/>
    </row>
    <row r="41" spans="2:7" ht="10.75">
      <c r="B41" s="37" t="s">
        <v>98</v>
      </c>
      <c r="C41" s="16"/>
      <c r="D41" s="4"/>
      <c r="E41" s="26"/>
      <c r="F41" s="4"/>
    </row>
    <row r="42" spans="2:7">
      <c r="B42" s="18" t="s">
        <v>99</v>
      </c>
      <c r="C42" s="10"/>
      <c r="D42" s="4"/>
      <c r="E42" s="20">
        <f>SUMIF('Balance 8 Columnas'!$A$10:$A$113,B42,'Balance 8 Columnas'!$N$10:$N$113)</f>
        <v>0</v>
      </c>
      <c r="F42" s="4"/>
    </row>
    <row r="43" spans="2:7" ht="14">
      <c r="B43" s="18" t="s">
        <v>100</v>
      </c>
      <c r="C43" s="10"/>
      <c r="D43" s="4"/>
      <c r="E43" s="20">
        <f>SUMIF('Balance 8 Columnas'!$A$10:$A$113,B43,'Balance 8 Columnas'!$N$10:$N$113)</f>
        <v>0</v>
      </c>
      <c r="F43" s="4"/>
      <c r="G43" s="124" t="s">
        <v>173</v>
      </c>
    </row>
    <row r="44" spans="2:7">
      <c r="B44" s="18" t="s">
        <v>101</v>
      </c>
      <c r="C44" s="10"/>
      <c r="D44" s="4"/>
      <c r="E44" s="20">
        <f>SUMIF('Balance 8 Columnas'!$A$10:$A$113,B44,'Balance 8 Columnas'!$N$10:$N$113)</f>
        <v>0</v>
      </c>
      <c r="F44" s="4"/>
    </row>
    <row r="45" spans="2:7">
      <c r="B45" s="18" t="s">
        <v>102</v>
      </c>
      <c r="C45" s="10"/>
      <c r="D45" s="4"/>
      <c r="E45" s="20">
        <f>SUMIF('Balance 8 Columnas'!$A$10:$A$113,B45,'Balance 8 Columnas'!$N$10:$N$113)</f>
        <v>0</v>
      </c>
      <c r="F45" s="4"/>
    </row>
    <row r="46" spans="2:7" ht="14">
      <c r="B46" s="18" t="s">
        <v>103</v>
      </c>
      <c r="C46" s="10"/>
      <c r="D46" s="4"/>
      <c r="E46" s="20">
        <f>SUMIF('Balance 8 Columnas'!$A$10:$A$113,B46,'Balance 8 Columnas'!$N$10:$N$113)</f>
        <v>0</v>
      </c>
      <c r="F46" s="4"/>
      <c r="G46" s="124" t="s">
        <v>173</v>
      </c>
    </row>
    <row r="47" spans="2:7" ht="14">
      <c r="B47" s="18" t="s">
        <v>104</v>
      </c>
      <c r="C47" s="10"/>
      <c r="D47" s="4"/>
      <c r="E47" s="20">
        <f>SUMIF('Balance 8 Columnas'!$A$10:$A$113,B47,'Balance 8 Columnas'!$N$10:$N$113)</f>
        <v>0</v>
      </c>
      <c r="F47" s="4"/>
      <c r="G47" s="124" t="s">
        <v>173</v>
      </c>
    </row>
    <row r="48" spans="2:7" ht="14">
      <c r="B48" s="18" t="s">
        <v>105</v>
      </c>
      <c r="C48" s="10"/>
      <c r="D48" s="4"/>
      <c r="E48" s="20">
        <f>SUMIF('Balance 8 Columnas'!$A$10:$A$113,B48,'Balance 8 Columnas'!$N$10:$N$113)</f>
        <v>0</v>
      </c>
      <c r="F48" s="4"/>
      <c r="G48" s="124" t="s">
        <v>173</v>
      </c>
    </row>
    <row r="49" spans="2:7" ht="20.45">
      <c r="B49" s="24" t="s">
        <v>106</v>
      </c>
      <c r="C49" s="16"/>
      <c r="D49" s="4"/>
      <c r="E49" s="23">
        <f>SUM(E42:E48)</f>
        <v>0</v>
      </c>
      <c r="F49" s="4"/>
    </row>
    <row r="50" spans="2:7">
      <c r="B50" s="24" t="s">
        <v>107</v>
      </c>
      <c r="C50" s="16"/>
      <c r="D50" s="4"/>
      <c r="E50" s="20">
        <f>SUMIF('Balance 8 Columnas'!$A$10:$A$113,B50,'Balance 8 Columnas'!$N$10:$N$113)</f>
        <v>0</v>
      </c>
      <c r="F50" s="4"/>
    </row>
    <row r="51" spans="2:7">
      <c r="B51" s="18" t="s">
        <v>108</v>
      </c>
      <c r="C51" s="10"/>
      <c r="D51" s="4"/>
      <c r="E51" s="23">
        <f>+E49+E50</f>
        <v>0</v>
      </c>
      <c r="F51" s="4"/>
    </row>
    <row r="52" spans="2:7" ht="10.75">
      <c r="B52" s="37" t="s">
        <v>109</v>
      </c>
      <c r="C52" s="16"/>
      <c r="D52" s="4"/>
      <c r="E52" s="28"/>
      <c r="F52" s="4"/>
    </row>
    <row r="53" spans="2:7">
      <c r="B53" s="18" t="s">
        <v>110</v>
      </c>
      <c r="C53" s="10"/>
      <c r="D53" s="4"/>
      <c r="E53" s="20">
        <f>SUMIF('Balance 8 Columnas'!$A$10:$A$113,B53,'Balance 8 Columnas'!$N$10:$N$113)</f>
        <v>0</v>
      </c>
      <c r="F53" s="4"/>
    </row>
    <row r="54" spans="2:7">
      <c r="B54" s="18" t="s">
        <v>109</v>
      </c>
      <c r="C54" s="10"/>
      <c r="D54" s="4"/>
      <c r="E54" s="20">
        <f>SUMIF('Balance 8 Columnas'!$A$10:$A$113,B54,'Balance 8 Columnas'!$N$10:$N$113)</f>
        <v>0</v>
      </c>
      <c r="F54" s="4"/>
    </row>
    <row r="55" spans="2:7">
      <c r="B55" s="18" t="s">
        <v>111</v>
      </c>
      <c r="C55" s="10"/>
      <c r="D55" s="4"/>
      <c r="E55" s="20">
        <f>SUMIF('Balance 8 Columnas'!$A$10:$A$113,B55,'Balance 8 Columnas'!$N$10:$N$113)</f>
        <v>0</v>
      </c>
      <c r="F55" s="4"/>
    </row>
    <row r="56" spans="2:7" hidden="1">
      <c r="B56" s="18" t="s">
        <v>112</v>
      </c>
      <c r="C56" s="10"/>
      <c r="D56" s="4"/>
      <c r="E56" s="20">
        <f>SUMIF('Balance 8 Columnas'!$A$10:$A$113,B56,'Balance 8 Columnas'!$N$10:$N$113)</f>
        <v>0</v>
      </c>
      <c r="F56" s="4"/>
    </row>
    <row r="57" spans="2:7" hidden="1">
      <c r="B57" s="18" t="s">
        <v>113</v>
      </c>
      <c r="C57" s="10"/>
      <c r="D57" s="4"/>
      <c r="E57" s="20">
        <f>SUMIF('Balance 8 Columnas'!$A$10:$A$113,B57,'Balance 8 Columnas'!$N$10:$N$113)</f>
        <v>0</v>
      </c>
      <c r="F57" s="4"/>
    </row>
    <row r="58" spans="2:7" hidden="1">
      <c r="B58" s="18" t="s">
        <v>114</v>
      </c>
      <c r="C58" s="10"/>
      <c r="D58" s="4"/>
      <c r="E58" s="20">
        <f>SUMIF('Balance 8 Columnas'!$A$10:$A$113,B58,'Balance 8 Columnas'!$N$10:$N$113)</f>
        <v>0</v>
      </c>
      <c r="F58" s="4"/>
    </row>
    <row r="59" spans="2:7" hidden="1">
      <c r="B59" s="18" t="s">
        <v>115</v>
      </c>
      <c r="C59" s="10"/>
      <c r="D59" s="4"/>
      <c r="E59" s="20">
        <f>SUMIF('Balance 8 Columnas'!$A$10:$A$113,B59,'Balance 8 Columnas'!$N$10:$N$113)</f>
        <v>0</v>
      </c>
      <c r="F59" s="4"/>
    </row>
    <row r="60" spans="2:7">
      <c r="B60" s="18" t="s">
        <v>116</v>
      </c>
      <c r="C60" s="10"/>
      <c r="D60" s="4"/>
      <c r="E60" s="23">
        <f>SUM(E53:E59)</f>
        <v>0</v>
      </c>
      <c r="F60" s="4"/>
    </row>
    <row r="61" spans="2:7">
      <c r="B61" s="22" t="s">
        <v>117</v>
      </c>
      <c r="C61" s="16"/>
      <c r="D61" s="4"/>
      <c r="E61" s="23">
        <f>+E51+E60</f>
        <v>0</v>
      </c>
      <c r="F61" s="4"/>
    </row>
    <row r="62" spans="2:7" ht="10.75">
      <c r="B62" s="15" t="s">
        <v>118</v>
      </c>
      <c r="C62" s="16"/>
      <c r="D62" s="4"/>
      <c r="E62" s="28"/>
      <c r="F62" s="4"/>
    </row>
    <row r="63" spans="2:7" ht="14">
      <c r="B63" s="22" t="s">
        <v>119</v>
      </c>
      <c r="C63" s="16"/>
      <c r="D63" s="4"/>
      <c r="E63" s="20">
        <f>SUMIF('Balance 8 Columnas'!$A$10:$A$113,B63,'Balance 8 Columnas'!$N$10:$N$113)</f>
        <v>0</v>
      </c>
      <c r="F63" s="4"/>
      <c r="G63" s="124" t="s">
        <v>173</v>
      </c>
    </row>
    <row r="64" spans="2:7">
      <c r="B64" s="22" t="s">
        <v>120</v>
      </c>
      <c r="C64" s="16"/>
      <c r="D64" s="19"/>
      <c r="E64" s="20">
        <f>SUMIF('Balance 8 Columnas'!$A$10:$A$113,B64,'Balance 8 Columnas'!$N$10:$N$113)</f>
        <v>0</v>
      </c>
      <c r="F64" s="4"/>
      <c r="G64" s="21"/>
    </row>
    <row r="65" spans="1:253">
      <c r="B65" s="22" t="s">
        <v>121</v>
      </c>
      <c r="C65" s="16"/>
      <c r="D65" s="4"/>
      <c r="E65" s="20">
        <f>SUMIF('Balance 8 Columnas'!$A$10:$A$113,B65,'Balance 8 Columnas'!$N$10:$N$113)</f>
        <v>0</v>
      </c>
      <c r="F65" s="4"/>
    </row>
    <row r="66" spans="1:253">
      <c r="B66" s="22" t="s">
        <v>122</v>
      </c>
      <c r="C66" s="16"/>
      <c r="D66" s="4"/>
      <c r="E66" s="20">
        <f>SUMIF('Balance 8 Columnas'!$A$10:$A$113,B66,'Balance 8 Columnas'!$N$10:$N$113)</f>
        <v>0</v>
      </c>
      <c r="F66" s="4"/>
    </row>
    <row r="67" spans="1:253">
      <c r="B67" s="22" t="s">
        <v>123</v>
      </c>
      <c r="C67" s="16"/>
      <c r="D67" s="4"/>
      <c r="E67" s="20">
        <f>SUMIF('Balance 8 Columnas'!$A$10:$A$113,B67,'Balance 8 Columnas'!$N$10:$N$113)</f>
        <v>0</v>
      </c>
      <c r="F67" s="4"/>
    </row>
    <row r="68" spans="1:253">
      <c r="B68" s="22" t="s">
        <v>124</v>
      </c>
      <c r="C68" s="16"/>
      <c r="D68" s="4"/>
      <c r="E68" s="20">
        <f>SUMIF('Balance 8 Columnas'!$A$10:$A$113,B68,'Balance 8 Columnas'!$N$10:$N$113)</f>
        <v>0</v>
      </c>
      <c r="F68" s="4"/>
    </row>
    <row r="69" spans="1:253">
      <c r="B69" s="22" t="s">
        <v>125</v>
      </c>
      <c r="C69" s="16"/>
      <c r="D69" s="4"/>
      <c r="E69" s="23">
        <f>SUM(E63:E68)</f>
        <v>0</v>
      </c>
      <c r="F69" s="4"/>
    </row>
    <row r="70" spans="1:253">
      <c r="B70" s="22" t="s">
        <v>126</v>
      </c>
      <c r="C70" s="16"/>
      <c r="D70" s="4"/>
      <c r="E70" s="20">
        <v>0</v>
      </c>
      <c r="F70" s="4"/>
    </row>
    <row r="71" spans="1:253">
      <c r="B71" s="22" t="s">
        <v>127</v>
      </c>
      <c r="C71" s="16"/>
      <c r="D71" s="4"/>
      <c r="E71" s="23">
        <f>SUM(E65:E70)</f>
        <v>0</v>
      </c>
      <c r="F71" s="4"/>
    </row>
    <row r="72" spans="1:253">
      <c r="B72" s="38" t="s">
        <v>128</v>
      </c>
      <c r="C72" s="39"/>
      <c r="D72" s="40"/>
      <c r="E72" s="23">
        <f>+E61+E71</f>
        <v>0</v>
      </c>
      <c r="F72" s="40"/>
    </row>
    <row r="73" spans="1:253">
      <c r="B73" s="41"/>
      <c r="C73" s="42"/>
      <c r="E73" s="41"/>
    </row>
    <row r="74" spans="1:253">
      <c r="A74" s="43"/>
      <c r="B74" s="44"/>
      <c r="C74" s="45"/>
      <c r="D74" s="43"/>
      <c r="E74" s="46">
        <f>+E72-E34</f>
        <v>0</v>
      </c>
      <c r="F74" s="46">
        <f>+F72-F34</f>
        <v>0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>
      <c r="A75" s="43"/>
      <c r="B75" s="44" t="s">
        <v>129</v>
      </c>
      <c r="C75" s="45"/>
      <c r="D75" s="43"/>
      <c r="E75" s="44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>
      <c r="B76" s="4"/>
      <c r="C76" s="42"/>
      <c r="E76" s="4"/>
    </row>
  </sheetData>
  <mergeCells count="2">
    <mergeCell ref="B1:C1"/>
    <mergeCell ref="B2:C2"/>
  </mergeCells>
  <hyperlinks>
    <hyperlink ref="G7" location="Disponible!A1" display="Ver" xr:uid="{00000000-0004-0000-0300-000000000000}"/>
    <hyperlink ref="G63" location="Patrimonio!A1" display="Ver" xr:uid="{00000000-0004-0000-0300-000001000000}"/>
    <hyperlink ref="G8" location="'Act Financieros Corr'!A1" display="Ver" xr:uid="{00000000-0004-0000-0300-000002000000}"/>
    <hyperlink ref="G9" location="'Otros Act no Fin'!A1" display="Ver" xr:uid="{00000000-0004-0000-0300-000003000000}"/>
    <hyperlink ref="G10" location="'Deudores Comerciales'!A1" display="Ver" xr:uid="{00000000-0004-0000-0300-000004000000}"/>
    <hyperlink ref="G14" location="'Impuestos corrientes'!A1" display="Ver" xr:uid="{00000000-0004-0000-0300-000005000000}"/>
    <hyperlink ref="G22" location="'Otros Act Fin no Corr'!A1" display="Ver" xr:uid="{00000000-0004-0000-0300-000006000000}"/>
    <hyperlink ref="G29" location="'Prop.Plantas y Equip'!A1" display="Ver" xr:uid="{00000000-0004-0000-0300-000007000000}"/>
    <hyperlink ref="G43" location="'Cuentas por pagar '!A1" display="Ver" xr:uid="{00000000-0004-0000-0300-000008000000}"/>
    <hyperlink ref="G46" location="'Imptos Corrientes'!A1" display="Ver" xr:uid="{00000000-0004-0000-0300-000009000000}"/>
    <hyperlink ref="G47" location="'Prov crtes Benef Empleados'!A1" display="Ver" xr:uid="{00000000-0004-0000-0300-00000A000000}"/>
    <hyperlink ref="G48" location="'Otros PAsivos no Fin'!A1" display="Ver" xr:uid="{00000000-0004-0000-0300-00000B000000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0995-6B5C-4954-B615-79C6F6741914}">
  <sheetPr codeName="Hoja4">
    <tabColor theme="5" tint="0.79998168889431442"/>
  </sheetPr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theme="4" tint="0.79998168889431442"/>
  </sheetPr>
  <dimension ref="B1:F30"/>
  <sheetViews>
    <sheetView showGridLines="0" zoomScale="90" zoomScaleNormal="90" workbookViewId="0">
      <selection activeCell="J61" sqref="J61"/>
    </sheetView>
  </sheetViews>
  <sheetFormatPr baseColWidth="10" defaultRowHeight="14"/>
  <cols>
    <col min="1" max="1" width="5.3984375" customWidth="1"/>
    <col min="2" max="2" width="74.8984375" customWidth="1"/>
    <col min="3" max="3" width="15.09765625" customWidth="1"/>
    <col min="4" max="4" width="3.59765625" customWidth="1"/>
    <col min="5" max="5" width="17.69921875" hidden="1" customWidth="1"/>
    <col min="6" max="6" width="0" hidden="1" customWidth="1"/>
  </cols>
  <sheetData>
    <row r="1" spans="2:6" ht="20.95">
      <c r="B1" s="770" t="str">
        <f>+Carátula!A7</f>
        <v>Flexi Chile SpA</v>
      </c>
      <c r="C1" s="770"/>
      <c r="D1" s="770"/>
      <c r="E1" s="770"/>
    </row>
    <row r="2" spans="2:6">
      <c r="B2" s="769" t="s">
        <v>485</v>
      </c>
      <c r="C2" s="769"/>
      <c r="D2" s="769"/>
      <c r="E2" s="769"/>
    </row>
    <row r="3" spans="2:6">
      <c r="B3" s="769" t="s">
        <v>3146</v>
      </c>
      <c r="C3" s="769"/>
      <c r="D3" s="769"/>
      <c r="E3" s="769"/>
    </row>
    <row r="4" spans="2:6">
      <c r="B4" s="191"/>
    </row>
    <row r="5" spans="2:6">
      <c r="B5" s="192"/>
    </row>
    <row r="6" spans="2:6">
      <c r="B6" s="217"/>
      <c r="C6" s="216">
        <f>+'Balance Clasificado'!D6</f>
        <v>46053</v>
      </c>
      <c r="E6" s="257">
        <f>+C6</f>
        <v>46053</v>
      </c>
    </row>
    <row r="7" spans="2:6">
      <c r="B7" s="217"/>
      <c r="C7" s="196" t="s">
        <v>66</v>
      </c>
      <c r="E7" s="195" t="s">
        <v>218</v>
      </c>
    </row>
    <row r="8" spans="2:6">
      <c r="B8" s="218" t="s">
        <v>130</v>
      </c>
      <c r="C8" s="217"/>
    </row>
    <row r="9" spans="2:6">
      <c r="B9" s="219" t="s">
        <v>474</v>
      </c>
      <c r="C9" s="355">
        <f ca="1">-SUMIF('Balance 8 Columnas'!A:O,'Estado de Resultados'!B9,'Balance 8 Columnas'!N:N)</f>
        <v>246614292</v>
      </c>
      <c r="E9" s="353" t="e">
        <f>-SUMIF('Balance 8 Columnas'!A:O,'Estado de Resultados'!B9,'Balance 8 Columnas'!#REF!)</f>
        <v>#REF!</v>
      </c>
      <c r="F9" s="291" t="e">
        <f>+E9/$E$9</f>
        <v>#REF!</v>
      </c>
    </row>
    <row r="10" spans="2:6">
      <c r="B10" s="219" t="s">
        <v>475</v>
      </c>
      <c r="C10" s="355">
        <f ca="1">-SUMIF('Balance 8 Columnas'!A:O,'Estado de Resultados'!B10,'Balance 8 Columnas'!J:J)</f>
        <v>-134839072</v>
      </c>
      <c r="E10" s="353" t="e">
        <f>-SUMIF('Balance 8 Columnas'!A:O,'Estado de Resultados'!B10,'Balance 8 Columnas'!#REF!)</f>
        <v>#REF!</v>
      </c>
      <c r="F10" s="291" t="e">
        <f>+E10/$E$9</f>
        <v>#REF!</v>
      </c>
    </row>
    <row r="11" spans="2:6">
      <c r="B11" s="218" t="s">
        <v>132</v>
      </c>
      <c r="C11" s="360">
        <f ca="1">+C9+C10</f>
        <v>111775220</v>
      </c>
      <c r="E11" s="361" t="e">
        <f>+E9+E10</f>
        <v>#REF!</v>
      </c>
      <c r="F11" s="291" t="e">
        <f>+E11/$E$9</f>
        <v>#REF!</v>
      </c>
    </row>
    <row r="12" spans="2:6">
      <c r="B12" s="219" t="s">
        <v>496</v>
      </c>
      <c r="C12" s="355">
        <f ca="1">-SUMIF('Balance 8 Columnas'!A:O,'Estado de Resultados'!B12,'Balance 8 Columnas'!N:N)</f>
        <v>3751074</v>
      </c>
      <c r="E12" s="353" t="e">
        <f>-SUMIF('Balance 8 Columnas'!A:O,'Estado de Resultados'!B12,'Balance 8 Columnas'!#REF!)</f>
        <v>#REF!</v>
      </c>
      <c r="F12" s="292"/>
    </row>
    <row r="13" spans="2:6">
      <c r="B13" s="219" t="s">
        <v>2260</v>
      </c>
      <c r="C13" s="355">
        <f ca="1">-SUMIF('Balance 8 Columnas'!A:O,'Estado de Resultados'!B13,'Balance 8 Columnas'!N:N)</f>
        <v>0</v>
      </c>
      <c r="E13" s="353"/>
      <c r="F13" s="292"/>
    </row>
    <row r="14" spans="2:6">
      <c r="B14" s="219" t="s">
        <v>480</v>
      </c>
      <c r="C14" s="355">
        <f ca="1">-SUMIF('Balance 8 Columnas'!A:O,'Estado de Resultados'!B14,'Balance 8 Columnas'!N:N)</f>
        <v>-2086868</v>
      </c>
      <c r="E14" s="353" t="e">
        <f>-SUMIF('Balance 8 Columnas'!A:O,'Estado de Resultados'!B14,'Balance 8 Columnas'!#REF!)</f>
        <v>#REF!</v>
      </c>
      <c r="F14" s="291" t="e">
        <f t="shared" ref="F14:F22" si="0">+E14/$E$9</f>
        <v>#REF!</v>
      </c>
    </row>
    <row r="15" spans="2:6">
      <c r="B15" s="219" t="s">
        <v>476</v>
      </c>
      <c r="C15" s="355">
        <f ca="1">-SUMIF('Balance 8 Columnas'!A:O,'Estado de Resultados'!B15,'Balance 8 Columnas'!N:N)</f>
        <v>-109702350</v>
      </c>
      <c r="E15" s="353" t="e">
        <f>-SUMIF('Balance 8 Columnas'!A:O,'Estado de Resultados'!B15,'Balance 8 Columnas'!#REF!)</f>
        <v>#REF!</v>
      </c>
      <c r="F15" s="291" t="e">
        <f t="shared" si="0"/>
        <v>#REF!</v>
      </c>
    </row>
    <row r="16" spans="2:6">
      <c r="B16" s="219" t="s">
        <v>477</v>
      </c>
      <c r="C16" s="355">
        <f ca="1">-SUMIF('Balance 8 Columnas'!A:O,'Estado de Resultados'!B16,'Balance 8 Columnas'!N:N)</f>
        <v>-70008921</v>
      </c>
      <c r="E16" s="353" t="e">
        <f>-SUMIF('Balance 8 Columnas'!A:O,'Estado de Resultados'!B16,'Balance 8 Columnas'!#REF!)</f>
        <v>#REF!</v>
      </c>
      <c r="F16" s="291" t="e">
        <f t="shared" si="0"/>
        <v>#REF!</v>
      </c>
    </row>
    <row r="17" spans="2:6">
      <c r="B17" s="219" t="s">
        <v>478</v>
      </c>
      <c r="C17" s="355">
        <f ca="1">-SUMIF('Balance 8 Columnas'!A:O,'Estado de Resultados'!B17,'Balance 8 Columnas'!N:N)</f>
        <v>-8846337</v>
      </c>
      <c r="E17" s="353" t="e">
        <f>-SUMIF('Balance 8 Columnas'!A:O,'Estado de Resultados'!B17,'Balance 8 Columnas'!#REF!)</f>
        <v>#REF!</v>
      </c>
      <c r="F17" s="291" t="e">
        <f t="shared" si="0"/>
        <v>#REF!</v>
      </c>
    </row>
    <row r="18" spans="2:6">
      <c r="B18" s="219" t="s">
        <v>479</v>
      </c>
      <c r="C18" s="355">
        <f ca="1">-SUMIF('Balance 8 Columnas'!A:O,'Estado de Resultados'!B18,'Balance 8 Columnas'!N:N)</f>
        <v>-502259</v>
      </c>
      <c r="E18" s="353" t="e">
        <f>-SUMIF('Balance 8 Columnas'!A:O,'Estado de Resultados'!B18,'Balance 8 Columnas'!#REF!)</f>
        <v>#REF!</v>
      </c>
      <c r="F18" s="291" t="e">
        <f t="shared" si="0"/>
        <v>#REF!</v>
      </c>
    </row>
    <row r="19" spans="2:6">
      <c r="B19" s="219" t="s">
        <v>133</v>
      </c>
      <c r="C19" s="355">
        <f ca="1">-SUMIF('Balance 8 Columnas'!A:O,'Estado de Resultados'!B19,'Balance 8 Columnas'!N:N)</f>
        <v>0</v>
      </c>
      <c r="E19" s="353" t="e">
        <f>-SUMIF('Balance 8 Columnas'!A:O,'Estado de Resultados'!B19,'Balance 8 Columnas'!#REF!)</f>
        <v>#REF!</v>
      </c>
      <c r="F19" s="291" t="e">
        <f t="shared" si="0"/>
        <v>#REF!</v>
      </c>
    </row>
    <row r="20" spans="2:6">
      <c r="B20" s="219" t="s">
        <v>481</v>
      </c>
      <c r="C20" s="355">
        <f ca="1">-SUMIF('Balance 8 Columnas'!A:O,'Estado de Resultados'!B20,'Balance 8 Columnas'!N:N)</f>
        <v>23388827</v>
      </c>
      <c r="E20" s="353" t="e">
        <f>-SUMIF('Balance 8 Columnas'!A:O,'Estado de Resultados'!B20,'Balance 8 Columnas'!#REF!)</f>
        <v>#REF!</v>
      </c>
      <c r="F20" s="291" t="e">
        <f t="shared" si="0"/>
        <v>#REF!</v>
      </c>
    </row>
    <row r="21" spans="2:6">
      <c r="B21" s="220" t="s">
        <v>497</v>
      </c>
      <c r="C21" s="355"/>
      <c r="E21" s="353"/>
      <c r="F21" s="291" t="e">
        <f t="shared" si="0"/>
        <v>#REF!</v>
      </c>
    </row>
    <row r="22" spans="2:6">
      <c r="B22" s="221" t="s">
        <v>134</v>
      </c>
      <c r="C22" s="362">
        <f ca="1">SUM(C11:C21)</f>
        <v>-52231614</v>
      </c>
      <c r="E22" s="363" t="e">
        <f>SUM(E11:E21)</f>
        <v>#REF!</v>
      </c>
      <c r="F22" s="291" t="e">
        <f t="shared" si="0"/>
        <v>#REF!</v>
      </c>
    </row>
    <row r="23" spans="2:6">
      <c r="B23" s="219" t="s">
        <v>135</v>
      </c>
      <c r="C23" s="355">
        <f ca="1">SUMIF('Balance 8 Columnas'!A:O,'Estado de Resultados'!B23,'Balance 8 Columnas'!N:N)</f>
        <v>0</v>
      </c>
      <c r="E23" s="353">
        <v>0</v>
      </c>
      <c r="F23" s="292"/>
    </row>
    <row r="24" spans="2:6">
      <c r="B24" s="219"/>
      <c r="C24" s="355"/>
      <c r="E24" s="353"/>
      <c r="F24" s="292"/>
    </row>
    <row r="25" spans="2:6">
      <c r="B25" s="218" t="s">
        <v>131</v>
      </c>
      <c r="C25" s="362">
        <f ca="1">SUM(C22:C23)</f>
        <v>-52231614</v>
      </c>
      <c r="E25" s="363" t="e">
        <f>SUM(E22:E23)</f>
        <v>#REF!</v>
      </c>
      <c r="F25" s="291" t="e">
        <f>+E25/$E$9</f>
        <v>#REF!</v>
      </c>
    </row>
    <row r="26" spans="2:6">
      <c r="B26" s="218" t="s">
        <v>136</v>
      </c>
      <c r="C26" s="364" t="s">
        <v>137</v>
      </c>
      <c r="E26" s="365" t="s">
        <v>137</v>
      </c>
      <c r="F26" s="292"/>
    </row>
    <row r="27" spans="2:6">
      <c r="B27" s="219" t="s">
        <v>138</v>
      </c>
      <c r="C27" s="366">
        <f ca="1">+C25</f>
        <v>-52231614</v>
      </c>
      <c r="E27" s="367" t="e">
        <f>+E25</f>
        <v>#REF!</v>
      </c>
      <c r="F27" s="291" t="e">
        <f>+E27/$E$9</f>
        <v>#REF!</v>
      </c>
    </row>
    <row r="28" spans="2:6">
      <c r="B28" s="219" t="s">
        <v>139</v>
      </c>
      <c r="C28" s="366">
        <v>0</v>
      </c>
      <c r="E28" s="353">
        <v>0</v>
      </c>
      <c r="F28" s="292"/>
    </row>
    <row r="29" spans="2:6" ht="14.55" thickBot="1">
      <c r="B29" s="218" t="s">
        <v>131</v>
      </c>
      <c r="C29" s="368">
        <f ca="1">+C27+C28</f>
        <v>-52231614</v>
      </c>
      <c r="E29" s="358" t="e">
        <f>+E27+E28</f>
        <v>#REF!</v>
      </c>
      <c r="F29" s="291" t="e">
        <f>+E29/$E$9</f>
        <v>#REF!</v>
      </c>
    </row>
    <row r="30" spans="2:6" ht="14.55" thickTop="1">
      <c r="C30" s="268"/>
    </row>
  </sheetData>
  <mergeCells count="3">
    <mergeCell ref="B1:E1"/>
    <mergeCell ref="B2:E2"/>
    <mergeCell ref="B3:E3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ignoredErrors>
    <ignoredError sqref="C11 C22:C23 C25:C2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2060"/>
  </sheetPr>
  <dimension ref="A2:P129"/>
  <sheetViews>
    <sheetView zoomScale="90" zoomScaleNormal="90" workbookViewId="0">
      <pane xSplit="3" ySplit="8" topLeftCell="D98" activePane="bottomRight" state="frozen"/>
      <selection activeCell="J61" sqref="J61"/>
      <selection pane="topRight" activeCell="J61" sqref="J61"/>
      <selection pane="bottomLeft" activeCell="J61" sqref="J61"/>
      <selection pane="bottomRight" activeCell="K9" sqref="D9:K116"/>
    </sheetView>
  </sheetViews>
  <sheetFormatPr baseColWidth="10" defaultColWidth="11.3984375" defaultRowHeight="13.45"/>
  <cols>
    <col min="1" max="1" width="30.69921875" style="259" hidden="1" customWidth="1"/>
    <col min="2" max="2" width="11.59765625" style="259" bestFit="1" customWidth="1"/>
    <col min="3" max="3" width="64.8984375" style="259" customWidth="1"/>
    <col min="4" max="4" width="16.69921875" style="267" customWidth="1"/>
    <col min="5" max="5" width="17" style="267" customWidth="1"/>
    <col min="6" max="6" width="19.3984375" style="267" customWidth="1"/>
    <col min="7" max="7" width="15.296875" style="267" bestFit="1" customWidth="1"/>
    <col min="8" max="11" width="16.69921875" style="267" customWidth="1"/>
    <col min="12" max="12" width="5.69921875" style="267" customWidth="1"/>
    <col min="13" max="13" width="14.8984375" style="267" customWidth="1"/>
    <col min="14" max="14" width="15.09765625" style="267" customWidth="1"/>
    <col min="15" max="15" width="15.8984375" style="259" customWidth="1"/>
    <col min="16" max="16" width="14.09765625" style="259" bestFit="1" customWidth="1"/>
    <col min="17" max="17" width="14.09765625" style="259" customWidth="1"/>
    <col min="18" max="18" width="11.3984375" style="259" customWidth="1"/>
    <col min="19" max="16384" width="11.3984375" style="259"/>
  </cols>
  <sheetData>
    <row r="2" spans="1:15">
      <c r="B2" s="777" t="str">
        <f>+Carátula!A7</f>
        <v>Flexi Chile SpA</v>
      </c>
      <c r="C2" s="777"/>
      <c r="D2" s="777"/>
      <c r="E2" s="777"/>
      <c r="F2" s="777"/>
      <c r="G2" s="777"/>
      <c r="H2" s="777"/>
      <c r="I2" s="777"/>
      <c r="J2" s="777"/>
      <c r="K2" s="777"/>
    </row>
    <row r="3" spans="1:15">
      <c r="B3" s="777" t="s">
        <v>258</v>
      </c>
      <c r="C3" s="777"/>
      <c r="D3" s="777"/>
      <c r="E3" s="777"/>
      <c r="F3" s="777"/>
      <c r="G3" s="777"/>
      <c r="H3" s="777"/>
      <c r="I3" s="777"/>
      <c r="J3" s="777"/>
      <c r="K3" s="777"/>
    </row>
    <row r="4" spans="1:15">
      <c r="B4" s="777" t="str">
        <f>+Carátula!A9</f>
        <v>Al 31 de enero de 2026</v>
      </c>
      <c r="C4" s="777"/>
      <c r="D4" s="777"/>
      <c r="E4" s="777"/>
      <c r="F4" s="777"/>
      <c r="G4" s="777"/>
      <c r="H4" s="777"/>
      <c r="I4" s="777"/>
      <c r="J4" s="777"/>
      <c r="K4" s="777"/>
    </row>
    <row r="7" spans="1:15" ht="20.3" customHeight="1">
      <c r="A7" s="261" t="s">
        <v>141</v>
      </c>
      <c r="B7" s="778" t="s">
        <v>259</v>
      </c>
      <c r="C7" s="780" t="s">
        <v>260</v>
      </c>
      <c r="D7" s="775" t="s">
        <v>261</v>
      </c>
      <c r="E7" s="776"/>
      <c r="F7" s="775" t="s">
        <v>140</v>
      </c>
      <c r="G7" s="776"/>
      <c r="H7" s="775" t="s">
        <v>262</v>
      </c>
      <c r="I7" s="776"/>
      <c r="J7" s="775" t="s">
        <v>263</v>
      </c>
      <c r="K7" s="776"/>
      <c r="N7" s="311" t="s">
        <v>140</v>
      </c>
      <c r="O7" s="261" t="s">
        <v>319</v>
      </c>
    </row>
    <row r="8" spans="1:15" ht="20.3" customHeight="1">
      <c r="B8" s="779"/>
      <c r="C8" s="781"/>
      <c r="D8" s="240" t="s">
        <v>1</v>
      </c>
      <c r="E8" s="240" t="s">
        <v>2</v>
      </c>
      <c r="F8" s="240" t="s">
        <v>3</v>
      </c>
      <c r="G8" s="240" t="s">
        <v>4</v>
      </c>
      <c r="H8" s="240" t="s">
        <v>5</v>
      </c>
      <c r="I8" s="240" t="s">
        <v>6</v>
      </c>
      <c r="J8" s="240" t="s">
        <v>7</v>
      </c>
      <c r="K8" s="240" t="s">
        <v>8</v>
      </c>
      <c r="O8" s="439">
        <f>+'Balance Clasificado'!C6</f>
        <v>865.1</v>
      </c>
    </row>
    <row r="9" spans="1:15" ht="14">
      <c r="A9" s="259" t="s">
        <v>458</v>
      </c>
      <c r="B9" s="553" t="s">
        <v>1409</v>
      </c>
      <c r="C9" s="333" t="s">
        <v>1410</v>
      </c>
      <c r="D9" s="461">
        <v>216337650</v>
      </c>
      <c r="E9" s="461">
        <v>142232595</v>
      </c>
      <c r="F9" s="461">
        <v>74105055</v>
      </c>
      <c r="G9" s="461">
        <v>0</v>
      </c>
      <c r="H9" s="461">
        <v>74105055</v>
      </c>
      <c r="I9" s="461">
        <v>0</v>
      </c>
      <c r="J9" s="461">
        <v>0</v>
      </c>
      <c r="K9" s="461">
        <v>0</v>
      </c>
      <c r="L9" s="334"/>
      <c r="M9" s="335" t="s">
        <v>317</v>
      </c>
      <c r="N9" s="336">
        <f>+D9-E9</f>
        <v>74105055</v>
      </c>
      <c r="O9" s="337">
        <f>N9/$O$8</f>
        <v>85660.680846144955</v>
      </c>
    </row>
    <row r="10" spans="1:15" ht="14">
      <c r="A10" s="259" t="s">
        <v>458</v>
      </c>
      <c r="B10" s="553" t="s">
        <v>1411</v>
      </c>
      <c r="C10" s="333" t="s">
        <v>9</v>
      </c>
      <c r="D10" s="461">
        <v>99910</v>
      </c>
      <c r="E10" s="461">
        <v>58308</v>
      </c>
      <c r="F10" s="461">
        <v>41602</v>
      </c>
      <c r="G10" s="461">
        <v>0</v>
      </c>
      <c r="H10" s="461">
        <v>41602</v>
      </c>
      <c r="I10" s="461">
        <v>0</v>
      </c>
      <c r="J10" s="461">
        <v>0</v>
      </c>
      <c r="K10" s="461">
        <v>0</v>
      </c>
      <c r="L10" s="334"/>
      <c r="M10" s="335" t="s">
        <v>317</v>
      </c>
      <c r="N10" s="336">
        <f t="shared" ref="N10:N72" si="0">+D10-E10</f>
        <v>41602</v>
      </c>
      <c r="O10" s="337">
        <f t="shared" ref="O10:O75" si="1">N10/$O$8</f>
        <v>48.089238238353943</v>
      </c>
    </row>
    <row r="11" spans="1:15" ht="14">
      <c r="A11" s="259" t="s">
        <v>458</v>
      </c>
      <c r="B11" s="553" t="s">
        <v>1412</v>
      </c>
      <c r="C11" s="333" t="s">
        <v>10</v>
      </c>
      <c r="D11" s="461">
        <v>85990</v>
      </c>
      <c r="E11" s="461">
        <v>0</v>
      </c>
      <c r="F11" s="461">
        <v>85990</v>
      </c>
      <c r="G11" s="461">
        <v>0</v>
      </c>
      <c r="H11" s="461">
        <v>85990</v>
      </c>
      <c r="I11" s="461">
        <v>0</v>
      </c>
      <c r="J11" s="461">
        <v>0</v>
      </c>
      <c r="K11" s="461">
        <v>0</v>
      </c>
      <c r="L11" s="334"/>
      <c r="M11" s="335" t="s">
        <v>317</v>
      </c>
      <c r="N11" s="336">
        <f t="shared" si="0"/>
        <v>85990</v>
      </c>
      <c r="O11" s="337">
        <f t="shared" si="1"/>
        <v>99.39891342041382</v>
      </c>
    </row>
    <row r="12" spans="1:15" ht="14">
      <c r="A12" s="259" t="s">
        <v>458</v>
      </c>
      <c r="B12" s="553" t="s">
        <v>1413</v>
      </c>
      <c r="C12" s="333" t="s">
        <v>11</v>
      </c>
      <c r="D12" s="461">
        <v>154990</v>
      </c>
      <c r="E12" s="461">
        <v>152308</v>
      </c>
      <c r="F12" s="461">
        <v>2682</v>
      </c>
      <c r="G12" s="461">
        <v>0</v>
      </c>
      <c r="H12" s="461">
        <v>2682</v>
      </c>
      <c r="I12" s="461">
        <v>0</v>
      </c>
      <c r="J12" s="461">
        <v>0</v>
      </c>
      <c r="K12" s="461">
        <v>0</v>
      </c>
      <c r="L12" s="334"/>
      <c r="M12" s="335" t="s">
        <v>317</v>
      </c>
      <c r="N12" s="336">
        <f t="shared" si="0"/>
        <v>2682</v>
      </c>
      <c r="O12" s="337">
        <f t="shared" si="1"/>
        <v>3.1002196277886949</v>
      </c>
    </row>
    <row r="13" spans="1:15" ht="14">
      <c r="A13" s="259" t="s">
        <v>458</v>
      </c>
      <c r="B13" s="553" t="s">
        <v>1414</v>
      </c>
      <c r="C13" s="333" t="s">
        <v>362</v>
      </c>
      <c r="D13" s="461">
        <v>100000</v>
      </c>
      <c r="E13" s="461">
        <v>108130</v>
      </c>
      <c r="F13" s="461">
        <v>0</v>
      </c>
      <c r="G13" s="461">
        <v>8130</v>
      </c>
      <c r="H13" s="461">
        <v>0</v>
      </c>
      <c r="I13" s="461">
        <v>8130</v>
      </c>
      <c r="J13" s="461">
        <v>0</v>
      </c>
      <c r="K13" s="461">
        <v>0</v>
      </c>
      <c r="L13" s="334"/>
      <c r="M13" s="335" t="s">
        <v>317</v>
      </c>
      <c r="N13" s="336">
        <f t="shared" si="0"/>
        <v>-8130</v>
      </c>
      <c r="O13" s="337">
        <f t="shared" si="1"/>
        <v>-9.3977574846838507</v>
      </c>
    </row>
    <row r="14" spans="1:15" ht="14">
      <c r="A14" s="259" t="s">
        <v>458</v>
      </c>
      <c r="B14" s="553" t="s">
        <v>1415</v>
      </c>
      <c r="C14" s="333" t="s">
        <v>383</v>
      </c>
      <c r="D14" s="461">
        <v>337628</v>
      </c>
      <c r="E14" s="461">
        <v>254628</v>
      </c>
      <c r="F14" s="461">
        <v>83000</v>
      </c>
      <c r="G14" s="461">
        <v>0</v>
      </c>
      <c r="H14" s="461">
        <v>83000</v>
      </c>
      <c r="I14" s="461">
        <v>0</v>
      </c>
      <c r="J14" s="461">
        <v>0</v>
      </c>
      <c r="K14" s="461">
        <v>0</v>
      </c>
      <c r="L14" s="334"/>
      <c r="M14" s="335" t="s">
        <v>317</v>
      </c>
      <c r="N14" s="336">
        <f t="shared" si="0"/>
        <v>83000</v>
      </c>
      <c r="O14" s="337">
        <f t="shared" si="1"/>
        <v>95.942665587793314</v>
      </c>
    </row>
    <row r="15" spans="1:15" ht="14">
      <c r="A15" s="259" t="s">
        <v>458</v>
      </c>
      <c r="B15" s="553" t="s">
        <v>1416</v>
      </c>
      <c r="C15" s="333" t="s">
        <v>798</v>
      </c>
      <c r="D15" s="461">
        <v>131290</v>
      </c>
      <c r="E15" s="461">
        <v>91720</v>
      </c>
      <c r="F15" s="461">
        <v>39570</v>
      </c>
      <c r="G15" s="461">
        <v>0</v>
      </c>
      <c r="H15" s="461">
        <v>39570</v>
      </c>
      <c r="I15" s="461">
        <v>0</v>
      </c>
      <c r="J15" s="461">
        <v>0</v>
      </c>
      <c r="K15" s="461">
        <v>0</v>
      </c>
      <c r="L15" s="334"/>
      <c r="M15" s="335" t="s">
        <v>317</v>
      </c>
      <c r="N15" s="336">
        <f t="shared" si="0"/>
        <v>39570</v>
      </c>
      <c r="O15" s="337">
        <f t="shared" si="1"/>
        <v>45.740376835047968</v>
      </c>
    </row>
    <row r="16" spans="1:15" ht="14">
      <c r="A16" s="259" t="s">
        <v>458</v>
      </c>
      <c r="B16" s="553" t="s">
        <v>1417</v>
      </c>
      <c r="C16" s="333" t="s">
        <v>1258</v>
      </c>
      <c r="D16" s="461">
        <v>103980</v>
      </c>
      <c r="E16" s="461">
        <v>46490</v>
      </c>
      <c r="F16" s="461">
        <v>57490</v>
      </c>
      <c r="G16" s="461">
        <v>0</v>
      </c>
      <c r="H16" s="461">
        <v>57490</v>
      </c>
      <c r="I16" s="461">
        <v>0</v>
      </c>
      <c r="J16" s="461">
        <v>0</v>
      </c>
      <c r="K16" s="461">
        <v>0</v>
      </c>
      <c r="L16" s="334"/>
      <c r="M16" s="335" t="s">
        <v>317</v>
      </c>
      <c r="N16" s="336">
        <f t="shared" si="0"/>
        <v>57490</v>
      </c>
      <c r="O16" s="337">
        <f t="shared" si="1"/>
        <v>66.454745116171537</v>
      </c>
    </row>
    <row r="17" spans="1:15" ht="14">
      <c r="A17" s="259" t="s">
        <v>458</v>
      </c>
      <c r="B17" s="553" t="s">
        <v>1974</v>
      </c>
      <c r="C17" s="333" t="s">
        <v>1973</v>
      </c>
      <c r="D17" s="461">
        <v>103994</v>
      </c>
      <c r="E17" s="461">
        <v>90688</v>
      </c>
      <c r="F17" s="461">
        <v>13306</v>
      </c>
      <c r="G17" s="461">
        <v>0</v>
      </c>
      <c r="H17" s="461">
        <v>13306</v>
      </c>
      <c r="I17" s="461">
        <v>0</v>
      </c>
      <c r="J17" s="461">
        <v>0</v>
      </c>
      <c r="K17" s="461">
        <v>0</v>
      </c>
      <c r="L17" s="334"/>
      <c r="M17" s="335" t="s">
        <v>317</v>
      </c>
      <c r="N17" s="336">
        <f t="shared" si="0"/>
        <v>13306</v>
      </c>
      <c r="O17" s="337">
        <f t="shared" si="1"/>
        <v>15.380880823026239</v>
      </c>
    </row>
    <row r="18" spans="1:15" ht="14">
      <c r="A18" s="572" t="s">
        <v>458</v>
      </c>
      <c r="B18" s="553" t="s">
        <v>2258</v>
      </c>
      <c r="C18" s="333" t="s">
        <v>2259</v>
      </c>
      <c r="D18" s="461">
        <v>128075</v>
      </c>
      <c r="E18" s="461">
        <v>80955</v>
      </c>
      <c r="F18" s="461">
        <v>47120</v>
      </c>
      <c r="G18" s="461">
        <v>0</v>
      </c>
      <c r="H18" s="461">
        <v>47120</v>
      </c>
      <c r="I18" s="461">
        <v>0</v>
      </c>
      <c r="J18" s="461">
        <v>0</v>
      </c>
      <c r="K18" s="461">
        <v>0</v>
      </c>
      <c r="L18" s="334"/>
      <c r="M18" s="335" t="s">
        <v>317</v>
      </c>
      <c r="N18" s="336">
        <f t="shared" si="0"/>
        <v>47120</v>
      </c>
      <c r="O18" s="337">
        <f t="shared" si="1"/>
        <v>54.467691596347244</v>
      </c>
    </row>
    <row r="19" spans="1:15" ht="14">
      <c r="A19" s="572" t="s">
        <v>458</v>
      </c>
      <c r="B19" s="553" t="s">
        <v>2362</v>
      </c>
      <c r="C19" s="333" t="s">
        <v>2363</v>
      </c>
      <c r="D19" s="461">
        <v>135671</v>
      </c>
      <c r="E19" s="461">
        <v>75671</v>
      </c>
      <c r="F19" s="461">
        <v>60000</v>
      </c>
      <c r="G19" s="461">
        <v>0</v>
      </c>
      <c r="H19" s="461">
        <v>60000</v>
      </c>
      <c r="I19" s="461">
        <v>0</v>
      </c>
      <c r="J19" s="461">
        <v>0</v>
      </c>
      <c r="K19" s="461">
        <v>0</v>
      </c>
      <c r="L19" s="334"/>
      <c r="M19" s="335" t="s">
        <v>317</v>
      </c>
      <c r="N19" s="336">
        <f t="shared" si="0"/>
        <v>60000</v>
      </c>
      <c r="O19" s="337">
        <f t="shared" si="1"/>
        <v>69.356143798404801</v>
      </c>
    </row>
    <row r="20" spans="1:15" ht="14">
      <c r="A20" s="259" t="s">
        <v>458</v>
      </c>
      <c r="B20" s="553" t="s">
        <v>1418</v>
      </c>
      <c r="C20" s="468" t="s">
        <v>12</v>
      </c>
      <c r="D20" s="461">
        <v>822199777</v>
      </c>
      <c r="E20" s="461">
        <v>381616850</v>
      </c>
      <c r="F20" s="461">
        <v>440582927</v>
      </c>
      <c r="G20" s="461">
        <v>0</v>
      </c>
      <c r="H20" s="461">
        <v>440582927</v>
      </c>
      <c r="I20" s="461">
        <v>0</v>
      </c>
      <c r="J20" s="461">
        <v>0</v>
      </c>
      <c r="K20" s="461">
        <v>0</v>
      </c>
      <c r="L20" s="334"/>
      <c r="M20" s="335" t="s">
        <v>317</v>
      </c>
      <c r="N20" s="336">
        <f t="shared" si="0"/>
        <v>440582927</v>
      </c>
      <c r="O20" s="337">
        <f t="shared" si="1"/>
        <v>509285.54733556812</v>
      </c>
    </row>
    <row r="21" spans="1:15" ht="14">
      <c r="A21" s="259" t="s">
        <v>458</v>
      </c>
      <c r="B21" s="553" t="s">
        <v>1419</v>
      </c>
      <c r="C21" s="333" t="s">
        <v>341</v>
      </c>
      <c r="D21" s="461">
        <v>1302586021</v>
      </c>
      <c r="E21" s="461">
        <v>930624208</v>
      </c>
      <c r="F21" s="461">
        <v>371961813</v>
      </c>
      <c r="G21" s="461">
        <v>0</v>
      </c>
      <c r="H21" s="461">
        <v>371961813</v>
      </c>
      <c r="I21" s="461">
        <v>0</v>
      </c>
      <c r="J21" s="461">
        <v>0</v>
      </c>
      <c r="K21" s="461">
        <v>0</v>
      </c>
      <c r="L21" s="334"/>
      <c r="M21" s="335" t="s">
        <v>317</v>
      </c>
      <c r="N21" s="336">
        <f t="shared" si="0"/>
        <v>371961813</v>
      </c>
      <c r="O21" s="337">
        <f t="shared" si="1"/>
        <v>429963.94983238931</v>
      </c>
    </row>
    <row r="22" spans="1:15" ht="14">
      <c r="A22" s="259" t="s">
        <v>458</v>
      </c>
      <c r="B22" s="553" t="s">
        <v>1420</v>
      </c>
      <c r="C22" s="333" t="s">
        <v>13</v>
      </c>
      <c r="D22" s="461">
        <v>4941276</v>
      </c>
      <c r="E22" s="461">
        <v>0</v>
      </c>
      <c r="F22" s="461">
        <v>4941276</v>
      </c>
      <c r="G22" s="461">
        <v>0</v>
      </c>
      <c r="H22" s="461">
        <v>4941276</v>
      </c>
      <c r="I22" s="461">
        <v>0</v>
      </c>
      <c r="J22" s="461">
        <v>0</v>
      </c>
      <c r="K22" s="461">
        <v>0</v>
      </c>
      <c r="L22" s="334"/>
      <c r="M22" s="335" t="s">
        <v>317</v>
      </c>
      <c r="N22" s="336">
        <f t="shared" si="0"/>
        <v>4941276</v>
      </c>
      <c r="O22" s="337">
        <f t="shared" si="1"/>
        <v>5711.7974800601087</v>
      </c>
    </row>
    <row r="23" spans="1:15" ht="14">
      <c r="A23" s="211" t="s">
        <v>459</v>
      </c>
      <c r="B23" s="553" t="s">
        <v>1421</v>
      </c>
      <c r="C23" s="333" t="s">
        <v>351</v>
      </c>
      <c r="D23" s="461">
        <v>40348532</v>
      </c>
      <c r="E23" s="461">
        <v>8973449</v>
      </c>
      <c r="F23" s="461">
        <v>31375083</v>
      </c>
      <c r="G23" s="461">
        <v>0</v>
      </c>
      <c r="H23" s="461">
        <v>31375083</v>
      </c>
      <c r="I23" s="461">
        <v>0</v>
      </c>
      <c r="J23" s="461">
        <v>0</v>
      </c>
      <c r="K23" s="461">
        <v>0</v>
      </c>
      <c r="L23" s="334"/>
      <c r="M23" s="335" t="s">
        <v>317</v>
      </c>
      <c r="N23" s="336">
        <f t="shared" si="0"/>
        <v>31375083</v>
      </c>
      <c r="O23" s="337">
        <f t="shared" si="1"/>
        <v>36267.579470581433</v>
      </c>
    </row>
    <row r="24" spans="1:15" ht="14">
      <c r="A24" s="211" t="s">
        <v>462</v>
      </c>
      <c r="B24" s="553" t="s">
        <v>1422</v>
      </c>
      <c r="C24" s="468" t="s">
        <v>14</v>
      </c>
      <c r="D24" s="461">
        <v>312645466</v>
      </c>
      <c r="E24" s="461">
        <v>315803955</v>
      </c>
      <c r="F24" s="461">
        <v>0</v>
      </c>
      <c r="G24" s="461">
        <v>3158489</v>
      </c>
      <c r="H24" s="461">
        <v>0</v>
      </c>
      <c r="I24" s="461">
        <v>3158489</v>
      </c>
      <c r="J24" s="461">
        <v>0</v>
      </c>
      <c r="K24" s="461">
        <v>0</v>
      </c>
      <c r="L24" s="334"/>
      <c r="M24" s="335" t="s">
        <v>317</v>
      </c>
      <c r="N24" s="336">
        <f t="shared" si="0"/>
        <v>-3158489</v>
      </c>
      <c r="O24" s="337">
        <f t="shared" si="1"/>
        <v>-3651.0102878279968</v>
      </c>
    </row>
    <row r="25" spans="1:15" ht="14">
      <c r="A25" s="211" t="s">
        <v>461</v>
      </c>
      <c r="B25" s="553" t="s">
        <v>1423</v>
      </c>
      <c r="C25" s="333" t="s">
        <v>15</v>
      </c>
      <c r="D25" s="461">
        <v>4201583</v>
      </c>
      <c r="E25" s="461">
        <v>3267232</v>
      </c>
      <c r="F25" s="461">
        <v>934351</v>
      </c>
      <c r="G25" s="461">
        <v>0</v>
      </c>
      <c r="H25" s="461">
        <v>934351</v>
      </c>
      <c r="I25" s="461">
        <v>0</v>
      </c>
      <c r="J25" s="461">
        <v>0</v>
      </c>
      <c r="K25" s="461">
        <v>0</v>
      </c>
      <c r="L25" s="334"/>
      <c r="M25" s="335" t="s">
        <v>317</v>
      </c>
      <c r="N25" s="336">
        <f t="shared" si="0"/>
        <v>934351</v>
      </c>
      <c r="O25" s="337">
        <f t="shared" si="1"/>
        <v>1080.0497052363887</v>
      </c>
    </row>
    <row r="26" spans="1:15" ht="14">
      <c r="A26" s="211" t="s">
        <v>462</v>
      </c>
      <c r="B26" s="553" t="s">
        <v>1424</v>
      </c>
      <c r="C26" s="333" t="s">
        <v>16</v>
      </c>
      <c r="D26" s="461">
        <v>436527998</v>
      </c>
      <c r="E26" s="461">
        <v>381954503</v>
      </c>
      <c r="F26" s="461">
        <v>54573495</v>
      </c>
      <c r="G26" s="461">
        <v>0</v>
      </c>
      <c r="H26" s="461">
        <v>54573495</v>
      </c>
      <c r="I26" s="461">
        <v>0</v>
      </c>
      <c r="J26" s="461">
        <v>0</v>
      </c>
      <c r="K26" s="461">
        <v>0</v>
      </c>
      <c r="L26" s="334"/>
      <c r="M26" s="335" t="s">
        <v>317</v>
      </c>
      <c r="N26" s="336">
        <f t="shared" si="0"/>
        <v>54573495</v>
      </c>
      <c r="O26" s="337">
        <f t="shared" si="1"/>
        <v>63083.452780025429</v>
      </c>
    </row>
    <row r="27" spans="1:15" ht="14">
      <c r="A27" s="211" t="s">
        <v>462</v>
      </c>
      <c r="B27" s="553" t="s">
        <v>1425</v>
      </c>
      <c r="C27" s="333" t="s">
        <v>17</v>
      </c>
      <c r="D27" s="461">
        <v>442414883</v>
      </c>
      <c r="E27" s="461">
        <v>370577979</v>
      </c>
      <c r="F27" s="461">
        <v>71836904</v>
      </c>
      <c r="G27" s="461">
        <v>0</v>
      </c>
      <c r="H27" s="461">
        <v>71836904</v>
      </c>
      <c r="I27" s="461">
        <v>0</v>
      </c>
      <c r="J27" s="461">
        <v>0</v>
      </c>
      <c r="K27" s="461">
        <v>0</v>
      </c>
      <c r="L27" s="334"/>
      <c r="M27" s="335" t="s">
        <v>317</v>
      </c>
      <c r="N27" s="336">
        <f t="shared" si="0"/>
        <v>71836904</v>
      </c>
      <c r="O27" s="337">
        <f t="shared" si="1"/>
        <v>83038.84406427003</v>
      </c>
    </row>
    <row r="28" spans="1:15" ht="14">
      <c r="A28" s="211" t="s">
        <v>462</v>
      </c>
      <c r="B28" s="553" t="s">
        <v>3040</v>
      </c>
      <c r="C28" s="333" t="s">
        <v>3041</v>
      </c>
      <c r="D28" s="461">
        <v>525390</v>
      </c>
      <c r="E28" s="461">
        <v>44990</v>
      </c>
      <c r="F28" s="461">
        <v>480400</v>
      </c>
      <c r="G28" s="461">
        <v>0</v>
      </c>
      <c r="H28" s="461">
        <v>480400</v>
      </c>
      <c r="I28" s="461">
        <v>0</v>
      </c>
      <c r="J28" s="461">
        <v>0</v>
      </c>
      <c r="K28" s="461">
        <v>0</v>
      </c>
      <c r="L28" s="334"/>
      <c r="M28" s="335" t="s">
        <v>317</v>
      </c>
      <c r="N28" s="336">
        <f t="shared" si="0"/>
        <v>480400</v>
      </c>
      <c r="O28" s="337">
        <f t="shared" ref="O28" si="2">N28/$O$8</f>
        <v>555.31152467922777</v>
      </c>
    </row>
    <row r="29" spans="1:15" ht="14">
      <c r="A29" s="211" t="s">
        <v>462</v>
      </c>
      <c r="B29" s="553" t="s">
        <v>1426</v>
      </c>
      <c r="C29" s="333" t="s">
        <v>1359</v>
      </c>
      <c r="D29" s="461">
        <v>1174287901</v>
      </c>
      <c r="E29" s="461">
        <v>972428242</v>
      </c>
      <c r="F29" s="461">
        <v>201859659</v>
      </c>
      <c r="G29" s="461">
        <v>0</v>
      </c>
      <c r="H29" s="461">
        <v>201859659</v>
      </c>
      <c r="I29" s="461">
        <v>0</v>
      </c>
      <c r="J29" s="461">
        <v>0</v>
      </c>
      <c r="K29" s="461">
        <v>0</v>
      </c>
      <c r="L29" s="334"/>
      <c r="M29" s="335" t="s">
        <v>317</v>
      </c>
      <c r="N29" s="336">
        <f t="shared" si="0"/>
        <v>201859659</v>
      </c>
      <c r="O29" s="337">
        <f t="shared" si="1"/>
        <v>233336.79227834931</v>
      </c>
    </row>
    <row r="30" spans="1:15" ht="14">
      <c r="A30" s="211" t="s">
        <v>462</v>
      </c>
      <c r="B30" s="553" t="s">
        <v>2887</v>
      </c>
      <c r="C30" s="333" t="s">
        <v>2884</v>
      </c>
      <c r="D30" s="461">
        <v>31526988</v>
      </c>
      <c r="E30" s="461">
        <v>21762676</v>
      </c>
      <c r="F30" s="461">
        <v>9764312</v>
      </c>
      <c r="G30" s="461">
        <v>0</v>
      </c>
      <c r="H30" s="461">
        <v>9764312</v>
      </c>
      <c r="I30" s="461">
        <v>0</v>
      </c>
      <c r="J30" s="461">
        <v>0</v>
      </c>
      <c r="K30" s="461">
        <v>0</v>
      </c>
      <c r="L30" s="334"/>
      <c r="M30" s="335" t="s">
        <v>317</v>
      </c>
      <c r="N30" s="336">
        <f t="shared" si="0"/>
        <v>9764312</v>
      </c>
      <c r="O30" s="337">
        <f t="shared" ref="O30" si="3">N30/$O$8</f>
        <v>11286.917119408161</v>
      </c>
    </row>
    <row r="31" spans="1:15" ht="14">
      <c r="A31" s="211" t="s">
        <v>462</v>
      </c>
      <c r="B31" s="553" t="s">
        <v>2962</v>
      </c>
      <c r="C31" s="661" t="s">
        <v>2963</v>
      </c>
      <c r="D31" s="461">
        <v>26081492</v>
      </c>
      <c r="E31" s="461">
        <v>24549633</v>
      </c>
      <c r="F31" s="461">
        <v>1531859</v>
      </c>
      <c r="G31" s="461">
        <v>0</v>
      </c>
      <c r="H31" s="461">
        <v>1531859</v>
      </c>
      <c r="I31" s="461">
        <v>0</v>
      </c>
      <c r="J31" s="461">
        <v>0</v>
      </c>
      <c r="K31" s="461">
        <v>0</v>
      </c>
      <c r="L31" s="334"/>
      <c r="M31" s="335" t="s">
        <v>317</v>
      </c>
      <c r="N31" s="336">
        <f t="shared" si="0"/>
        <v>1531859</v>
      </c>
      <c r="O31" s="337">
        <f t="shared" ref="O31" si="4">N31/$O$8</f>
        <v>1770.730551381343</v>
      </c>
    </row>
    <row r="32" spans="1:15" ht="14">
      <c r="A32" s="211" t="s">
        <v>462</v>
      </c>
      <c r="B32" s="553" t="s">
        <v>1565</v>
      </c>
      <c r="C32" s="333" t="s">
        <v>1563</v>
      </c>
      <c r="D32" s="461">
        <v>6734121</v>
      </c>
      <c r="E32" s="461">
        <v>0</v>
      </c>
      <c r="F32" s="461">
        <v>6734121</v>
      </c>
      <c r="G32" s="461">
        <v>0</v>
      </c>
      <c r="H32" s="461">
        <v>6734121</v>
      </c>
      <c r="I32" s="461">
        <v>0</v>
      </c>
      <c r="J32" s="461">
        <v>0</v>
      </c>
      <c r="K32" s="461">
        <v>0</v>
      </c>
      <c r="L32" s="334"/>
      <c r="M32" s="335" t="s">
        <v>317</v>
      </c>
      <c r="N32" s="336">
        <f t="shared" si="0"/>
        <v>6734121</v>
      </c>
      <c r="O32" s="337">
        <f t="shared" si="1"/>
        <v>7784.2110738642932</v>
      </c>
    </row>
    <row r="33" spans="1:15" ht="14">
      <c r="A33" s="211" t="s">
        <v>461</v>
      </c>
      <c r="B33" s="553" t="s">
        <v>1427</v>
      </c>
      <c r="C33" s="333" t="s">
        <v>18</v>
      </c>
      <c r="D33" s="461">
        <v>36676834</v>
      </c>
      <c r="E33" s="461">
        <v>5880839</v>
      </c>
      <c r="F33" s="461">
        <v>30795995</v>
      </c>
      <c r="G33" s="461">
        <v>0</v>
      </c>
      <c r="H33" s="461">
        <v>30795995</v>
      </c>
      <c r="I33" s="461">
        <v>0</v>
      </c>
      <c r="J33" s="461">
        <v>0</v>
      </c>
      <c r="K33" s="461">
        <v>0</v>
      </c>
      <c r="L33" s="334"/>
      <c r="M33" s="335" t="s">
        <v>317</v>
      </c>
      <c r="N33" s="336">
        <f t="shared" si="0"/>
        <v>30795995</v>
      </c>
      <c r="O33" s="337">
        <f t="shared" si="1"/>
        <v>35598.190960582593</v>
      </c>
    </row>
    <row r="34" spans="1:15" ht="14">
      <c r="A34" s="211" t="s">
        <v>461</v>
      </c>
      <c r="B34" s="553" t="s">
        <v>1428</v>
      </c>
      <c r="C34" s="333" t="s">
        <v>20</v>
      </c>
      <c r="D34" s="461">
        <v>91705591</v>
      </c>
      <c r="E34" s="461">
        <v>90820948</v>
      </c>
      <c r="F34" s="461">
        <v>884643</v>
      </c>
      <c r="G34" s="461">
        <v>0</v>
      </c>
      <c r="H34" s="461">
        <v>884643</v>
      </c>
      <c r="I34" s="461">
        <v>0</v>
      </c>
      <c r="J34" s="461">
        <v>0</v>
      </c>
      <c r="K34" s="461">
        <v>0</v>
      </c>
      <c r="L34" s="334"/>
      <c r="M34" s="335" t="s">
        <v>317</v>
      </c>
      <c r="N34" s="336">
        <f t="shared" si="0"/>
        <v>884643</v>
      </c>
      <c r="O34" s="337">
        <f t="shared" si="1"/>
        <v>1022.5904519708704</v>
      </c>
    </row>
    <row r="35" spans="1:15" ht="14">
      <c r="A35" s="211" t="s">
        <v>463</v>
      </c>
      <c r="B35" s="553" t="s">
        <v>1429</v>
      </c>
      <c r="C35" s="333" t="s">
        <v>21</v>
      </c>
      <c r="D35" s="461">
        <v>1748739874</v>
      </c>
      <c r="E35" s="461">
        <v>140247755</v>
      </c>
      <c r="F35" s="461">
        <v>1608492119</v>
      </c>
      <c r="G35" s="461">
        <v>0</v>
      </c>
      <c r="H35" s="461">
        <v>1608492119</v>
      </c>
      <c r="I35" s="461">
        <v>0</v>
      </c>
      <c r="J35" s="461">
        <v>0</v>
      </c>
      <c r="K35" s="461">
        <v>0</v>
      </c>
      <c r="L35" s="334"/>
      <c r="M35" s="335" t="s">
        <v>318</v>
      </c>
      <c r="N35" s="336">
        <f t="shared" si="0"/>
        <v>1608492119</v>
      </c>
      <c r="O35" s="337">
        <f t="shared" si="1"/>
        <v>1859313.5117327475</v>
      </c>
    </row>
    <row r="36" spans="1:15" ht="14">
      <c r="A36" s="259" t="s">
        <v>463</v>
      </c>
      <c r="B36" s="553" t="s">
        <v>1430</v>
      </c>
      <c r="C36" s="333" t="s">
        <v>1304</v>
      </c>
      <c r="D36" s="461">
        <v>10845119</v>
      </c>
      <c r="E36" s="461">
        <v>10845119</v>
      </c>
      <c r="F36" s="461">
        <v>0</v>
      </c>
      <c r="G36" s="461">
        <v>0</v>
      </c>
      <c r="H36" s="461">
        <v>0</v>
      </c>
      <c r="I36" s="461">
        <v>0</v>
      </c>
      <c r="J36" s="461">
        <v>0</v>
      </c>
      <c r="K36" s="461">
        <v>0</v>
      </c>
      <c r="L36" s="334"/>
      <c r="M36" s="335" t="s">
        <v>317</v>
      </c>
      <c r="N36" s="336">
        <f t="shared" si="0"/>
        <v>0</v>
      </c>
      <c r="O36" s="337">
        <f t="shared" si="1"/>
        <v>0</v>
      </c>
    </row>
    <row r="37" spans="1:15" ht="14">
      <c r="A37" s="259" t="s">
        <v>463</v>
      </c>
      <c r="B37" s="553" t="s">
        <v>1431</v>
      </c>
      <c r="C37" s="333" t="s">
        <v>591</v>
      </c>
      <c r="D37" s="461">
        <v>534894224</v>
      </c>
      <c r="E37" s="461">
        <v>319226794</v>
      </c>
      <c r="F37" s="461">
        <v>215667430</v>
      </c>
      <c r="G37" s="461">
        <v>0</v>
      </c>
      <c r="H37" s="461">
        <v>215667430</v>
      </c>
      <c r="I37" s="461">
        <v>0</v>
      </c>
      <c r="J37" s="461">
        <v>0</v>
      </c>
      <c r="K37" s="461">
        <v>0</v>
      </c>
      <c r="L37" s="334"/>
      <c r="M37" s="335" t="s">
        <v>317</v>
      </c>
      <c r="N37" s="336">
        <f t="shared" si="0"/>
        <v>215667430</v>
      </c>
      <c r="O37" s="337">
        <f t="shared" si="1"/>
        <v>249297.68812854006</v>
      </c>
    </row>
    <row r="38" spans="1:15" ht="14">
      <c r="A38" s="211" t="s">
        <v>464</v>
      </c>
      <c r="B38" s="553" t="s">
        <v>1432</v>
      </c>
      <c r="C38" s="333" t="s">
        <v>412</v>
      </c>
      <c r="D38" s="461">
        <v>127018590</v>
      </c>
      <c r="E38" s="461">
        <v>127018590</v>
      </c>
      <c r="F38" s="461">
        <v>0</v>
      </c>
      <c r="G38" s="461">
        <v>0</v>
      </c>
      <c r="H38" s="461">
        <v>0</v>
      </c>
      <c r="I38" s="461">
        <v>0</v>
      </c>
      <c r="J38" s="461">
        <v>0</v>
      </c>
      <c r="K38" s="461">
        <v>0</v>
      </c>
      <c r="L38" s="334"/>
      <c r="M38" s="335" t="s">
        <v>317</v>
      </c>
      <c r="N38" s="336">
        <f t="shared" si="0"/>
        <v>0</v>
      </c>
      <c r="O38" s="337">
        <f t="shared" si="1"/>
        <v>0</v>
      </c>
    </row>
    <row r="39" spans="1:15" ht="14">
      <c r="A39" s="211" t="s">
        <v>464</v>
      </c>
      <c r="B39" s="553" t="s">
        <v>1433</v>
      </c>
      <c r="C39" s="333" t="s">
        <v>22</v>
      </c>
      <c r="D39" s="461">
        <v>423005179</v>
      </c>
      <c r="E39" s="461">
        <v>65664239</v>
      </c>
      <c r="F39" s="461">
        <v>357340940</v>
      </c>
      <c r="G39" s="461">
        <v>0</v>
      </c>
      <c r="H39" s="461">
        <v>357340940</v>
      </c>
      <c r="I39" s="461">
        <v>0</v>
      </c>
      <c r="J39" s="461">
        <v>0</v>
      </c>
      <c r="K39" s="461">
        <v>0</v>
      </c>
      <c r="L39" s="334"/>
      <c r="M39" s="335" t="s">
        <v>317</v>
      </c>
      <c r="N39" s="336">
        <f t="shared" si="0"/>
        <v>357340940</v>
      </c>
      <c r="O39" s="337">
        <f t="shared" si="1"/>
        <v>413063.16032828571</v>
      </c>
    </row>
    <row r="40" spans="1:15" ht="14">
      <c r="A40" s="211" t="s">
        <v>459</v>
      </c>
      <c r="B40" s="553" t="s">
        <v>1434</v>
      </c>
      <c r="C40" s="333" t="s">
        <v>24</v>
      </c>
      <c r="D40" s="461">
        <v>83146237</v>
      </c>
      <c r="E40" s="461">
        <v>25817865</v>
      </c>
      <c r="F40" s="461">
        <v>57328372</v>
      </c>
      <c r="G40" s="461">
        <v>0</v>
      </c>
      <c r="H40" s="461">
        <v>57328372</v>
      </c>
      <c r="I40" s="461">
        <v>0</v>
      </c>
      <c r="J40" s="461">
        <v>0</v>
      </c>
      <c r="K40" s="461">
        <v>0</v>
      </c>
      <c r="L40" s="334"/>
      <c r="M40" s="335" t="s">
        <v>317</v>
      </c>
      <c r="N40" s="336">
        <f t="shared" si="0"/>
        <v>57328372</v>
      </c>
      <c r="O40" s="337">
        <f t="shared" si="1"/>
        <v>66267.9135360074</v>
      </c>
    </row>
    <row r="41" spans="1:15" ht="14">
      <c r="A41" s="211" t="s">
        <v>465</v>
      </c>
      <c r="B41" s="553" t="s">
        <v>1435</v>
      </c>
      <c r="C41" s="333" t="s">
        <v>25</v>
      </c>
      <c r="D41" s="461">
        <v>656828984</v>
      </c>
      <c r="E41" s="461">
        <v>0</v>
      </c>
      <c r="F41" s="461">
        <v>656828984</v>
      </c>
      <c r="G41" s="461">
        <v>0</v>
      </c>
      <c r="H41" s="461">
        <v>656828984</v>
      </c>
      <c r="I41" s="461">
        <v>0</v>
      </c>
      <c r="J41" s="461">
        <v>0</v>
      </c>
      <c r="K41" s="461">
        <v>0</v>
      </c>
      <c r="L41" s="334"/>
      <c r="M41" s="335" t="s">
        <v>318</v>
      </c>
      <c r="N41" s="336">
        <f t="shared" si="0"/>
        <v>656828984</v>
      </c>
      <c r="O41" s="337">
        <f t="shared" si="1"/>
        <v>759252.09108773549</v>
      </c>
    </row>
    <row r="42" spans="1:15" ht="14">
      <c r="A42" s="259" t="s">
        <v>466</v>
      </c>
      <c r="B42" s="553" t="s">
        <v>1436</v>
      </c>
      <c r="C42" s="333" t="s">
        <v>284</v>
      </c>
      <c r="D42" s="461">
        <v>109578639</v>
      </c>
      <c r="E42" s="461">
        <v>0</v>
      </c>
      <c r="F42" s="461">
        <v>109578639</v>
      </c>
      <c r="G42" s="461">
        <v>0</v>
      </c>
      <c r="H42" s="461">
        <v>109578639</v>
      </c>
      <c r="I42" s="461">
        <v>0</v>
      </c>
      <c r="J42" s="461">
        <v>0</v>
      </c>
      <c r="K42" s="461">
        <v>0</v>
      </c>
      <c r="L42" s="334"/>
      <c r="M42" s="335" t="s">
        <v>318</v>
      </c>
      <c r="N42" s="336">
        <f t="shared" si="0"/>
        <v>109578639</v>
      </c>
      <c r="O42" s="337">
        <f t="shared" si="1"/>
        <v>126665.86406195816</v>
      </c>
    </row>
    <row r="43" spans="1:15" ht="14">
      <c r="A43" s="211" t="s">
        <v>465</v>
      </c>
      <c r="B43" s="553" t="s">
        <v>2361</v>
      </c>
      <c r="C43" s="333" t="s">
        <v>2364</v>
      </c>
      <c r="D43" s="461">
        <v>27748636</v>
      </c>
      <c r="E43" s="461">
        <v>0</v>
      </c>
      <c r="F43" s="461">
        <v>27748636</v>
      </c>
      <c r="G43" s="461">
        <v>0</v>
      </c>
      <c r="H43" s="461">
        <v>27748636</v>
      </c>
      <c r="I43" s="461">
        <v>0</v>
      </c>
      <c r="J43" s="461">
        <v>0</v>
      </c>
      <c r="K43" s="461">
        <v>0</v>
      </c>
      <c r="L43" s="334"/>
      <c r="M43" s="335" t="s">
        <v>318</v>
      </c>
      <c r="N43" s="336">
        <f t="shared" si="0"/>
        <v>27748636</v>
      </c>
      <c r="O43" s="337">
        <f t="shared" si="1"/>
        <v>32075.639810426539</v>
      </c>
    </row>
    <row r="44" spans="1:15" ht="14">
      <c r="A44" s="211" t="s">
        <v>467</v>
      </c>
      <c r="B44" s="553" t="s">
        <v>1437</v>
      </c>
      <c r="C44" s="333" t="s">
        <v>256</v>
      </c>
      <c r="D44" s="461">
        <v>0</v>
      </c>
      <c r="E44" s="461">
        <v>210830802</v>
      </c>
      <c r="F44" s="461">
        <v>0</v>
      </c>
      <c r="G44" s="461">
        <v>210830802</v>
      </c>
      <c r="H44" s="461">
        <v>0</v>
      </c>
      <c r="I44" s="461">
        <v>210830802</v>
      </c>
      <c r="J44" s="461">
        <v>0</v>
      </c>
      <c r="K44" s="461">
        <v>0</v>
      </c>
      <c r="L44" s="334"/>
      <c r="M44" s="335" t="s">
        <v>318</v>
      </c>
      <c r="N44" s="336">
        <f t="shared" si="0"/>
        <v>-210830802</v>
      </c>
      <c r="O44" s="337">
        <f t="shared" si="1"/>
        <v>-243706.85701075019</v>
      </c>
    </row>
    <row r="45" spans="1:15" ht="14">
      <c r="A45" s="211" t="s">
        <v>467</v>
      </c>
      <c r="B45" s="553" t="s">
        <v>1438</v>
      </c>
      <c r="C45" s="333" t="s">
        <v>299</v>
      </c>
      <c r="D45" s="461">
        <v>0</v>
      </c>
      <c r="E45" s="461">
        <v>36686284</v>
      </c>
      <c r="F45" s="461">
        <v>0</v>
      </c>
      <c r="G45" s="461">
        <v>36686284</v>
      </c>
      <c r="H45" s="461">
        <v>0</v>
      </c>
      <c r="I45" s="461">
        <v>36686284</v>
      </c>
      <c r="J45" s="461">
        <v>0</v>
      </c>
      <c r="K45" s="461">
        <v>0</v>
      </c>
      <c r="L45" s="334"/>
      <c r="M45" s="335" t="s">
        <v>318</v>
      </c>
      <c r="N45" s="336">
        <f t="shared" si="0"/>
        <v>-36686284</v>
      </c>
      <c r="O45" s="337">
        <f t="shared" si="1"/>
        <v>-42406.986475551959</v>
      </c>
    </row>
    <row r="46" spans="1:15" ht="14">
      <c r="A46" s="211" t="s">
        <v>524</v>
      </c>
      <c r="B46" s="553" t="s">
        <v>1439</v>
      </c>
      <c r="C46" s="333" t="s">
        <v>1440</v>
      </c>
      <c r="D46" s="461">
        <v>7125750</v>
      </c>
      <c r="E46" s="461">
        <v>153794472</v>
      </c>
      <c r="F46" s="461">
        <v>0</v>
      </c>
      <c r="G46" s="461">
        <v>146668722</v>
      </c>
      <c r="H46" s="461">
        <v>0</v>
      </c>
      <c r="I46" s="461">
        <v>146668722</v>
      </c>
      <c r="J46" s="461">
        <v>0</v>
      </c>
      <c r="K46" s="461">
        <v>0</v>
      </c>
      <c r="L46" s="334"/>
      <c r="M46" s="335" t="s">
        <v>317</v>
      </c>
      <c r="N46" s="336">
        <f t="shared" si="0"/>
        <v>-146668722</v>
      </c>
      <c r="O46" s="337">
        <f t="shared" si="1"/>
        <v>-169539.61622933764</v>
      </c>
    </row>
    <row r="47" spans="1:15" ht="14">
      <c r="A47" s="211" t="s">
        <v>468</v>
      </c>
      <c r="B47" s="553" t="s">
        <v>2965</v>
      </c>
      <c r="C47" s="333" t="s">
        <v>2964</v>
      </c>
      <c r="D47" s="461">
        <v>513807</v>
      </c>
      <c r="E47" s="461">
        <v>5382695</v>
      </c>
      <c r="F47" s="461">
        <v>0</v>
      </c>
      <c r="G47" s="461">
        <v>4868888</v>
      </c>
      <c r="H47" s="461">
        <v>0</v>
      </c>
      <c r="I47" s="461">
        <v>4868888</v>
      </c>
      <c r="J47" s="461">
        <v>0</v>
      </c>
      <c r="K47" s="461">
        <v>0</v>
      </c>
      <c r="L47" s="334"/>
      <c r="M47" s="335" t="s">
        <v>317</v>
      </c>
      <c r="N47" s="336">
        <f t="shared" si="0"/>
        <v>-4868888</v>
      </c>
      <c r="O47" s="337">
        <f t="shared" ref="O47" si="5">N47/$O$8</f>
        <v>-5628.1216044387929</v>
      </c>
    </row>
    <row r="48" spans="1:15" ht="14">
      <c r="A48" s="211" t="s">
        <v>468</v>
      </c>
      <c r="B48" s="553" t="s">
        <v>1441</v>
      </c>
      <c r="C48" s="333" t="s">
        <v>327</v>
      </c>
      <c r="D48" s="461">
        <v>4654339</v>
      </c>
      <c r="E48" s="461">
        <v>4083503</v>
      </c>
      <c r="F48" s="461">
        <v>570836</v>
      </c>
      <c r="G48" s="461">
        <v>0</v>
      </c>
      <c r="H48" s="461">
        <v>570836</v>
      </c>
      <c r="I48" s="461">
        <v>0</v>
      </c>
      <c r="J48" s="461">
        <v>0</v>
      </c>
      <c r="K48" s="461">
        <v>0</v>
      </c>
      <c r="L48" s="334"/>
      <c r="M48" s="335" t="s">
        <v>317</v>
      </c>
      <c r="N48" s="336">
        <f t="shared" si="0"/>
        <v>570836</v>
      </c>
      <c r="O48" s="337">
        <f t="shared" si="1"/>
        <v>659.84972835510348</v>
      </c>
    </row>
    <row r="49" spans="1:15" ht="14">
      <c r="A49" s="211" t="s">
        <v>524</v>
      </c>
      <c r="B49" s="553" t="s">
        <v>1442</v>
      </c>
      <c r="C49" s="333" t="s">
        <v>27</v>
      </c>
      <c r="D49" s="461">
        <v>965676666</v>
      </c>
      <c r="E49" s="461">
        <v>2200581245</v>
      </c>
      <c r="F49" s="461">
        <v>0</v>
      </c>
      <c r="G49" s="461">
        <v>1234904579</v>
      </c>
      <c r="H49" s="461">
        <v>0</v>
      </c>
      <c r="I49" s="461">
        <v>1234904579</v>
      </c>
      <c r="J49" s="461">
        <v>0</v>
      </c>
      <c r="K49" s="461">
        <v>0</v>
      </c>
      <c r="L49" s="334"/>
      <c r="M49" s="335" t="s">
        <v>317</v>
      </c>
      <c r="N49" s="336">
        <f t="shared" si="0"/>
        <v>-1234904579</v>
      </c>
      <c r="O49" s="337">
        <f t="shared" si="1"/>
        <v>-1427470.3259738758</v>
      </c>
    </row>
    <row r="50" spans="1:15" ht="14">
      <c r="A50" s="201" t="s">
        <v>469</v>
      </c>
      <c r="B50" s="553" t="s">
        <v>1443</v>
      </c>
      <c r="C50" s="468" t="s">
        <v>28</v>
      </c>
      <c r="D50" s="461">
        <v>272939080</v>
      </c>
      <c r="E50" s="461">
        <v>289265126</v>
      </c>
      <c r="F50" s="461">
        <v>0</v>
      </c>
      <c r="G50" s="461">
        <v>16326046</v>
      </c>
      <c r="H50" s="461">
        <v>0</v>
      </c>
      <c r="I50" s="461">
        <v>16326046</v>
      </c>
      <c r="J50" s="461">
        <v>0</v>
      </c>
      <c r="K50" s="461">
        <v>0</v>
      </c>
      <c r="L50" s="334"/>
      <c r="M50" s="335" t="s">
        <v>317</v>
      </c>
      <c r="N50" s="336">
        <f t="shared" si="0"/>
        <v>-16326046</v>
      </c>
      <c r="O50" s="337">
        <f t="shared" si="1"/>
        <v>-18871.859900589527</v>
      </c>
    </row>
    <row r="51" spans="1:15" ht="14">
      <c r="A51" s="201" t="s">
        <v>469</v>
      </c>
      <c r="B51" s="553" t="s">
        <v>1444</v>
      </c>
      <c r="C51" s="333" t="s">
        <v>29</v>
      </c>
      <c r="D51" s="461">
        <v>466593</v>
      </c>
      <c r="E51" s="461">
        <v>2014886</v>
      </c>
      <c r="F51" s="461">
        <v>0</v>
      </c>
      <c r="G51" s="461">
        <v>1548293</v>
      </c>
      <c r="H51" s="461">
        <v>0</v>
      </c>
      <c r="I51" s="461">
        <v>1548293</v>
      </c>
      <c r="J51" s="461">
        <v>0</v>
      </c>
      <c r="K51" s="461">
        <v>0</v>
      </c>
      <c r="L51" s="334"/>
      <c r="M51" s="335" t="s">
        <v>317</v>
      </c>
      <c r="N51" s="336">
        <f t="shared" si="0"/>
        <v>-1548293</v>
      </c>
      <c r="O51" s="337">
        <f t="shared" si="1"/>
        <v>-1789.7271991677262</v>
      </c>
    </row>
    <row r="52" spans="1:15" ht="14">
      <c r="A52" s="211" t="s">
        <v>470</v>
      </c>
      <c r="B52" s="553" t="s">
        <v>1445</v>
      </c>
      <c r="C52" s="333" t="s">
        <v>30</v>
      </c>
      <c r="D52" s="461">
        <v>20106416</v>
      </c>
      <c r="E52" s="461">
        <v>30063451</v>
      </c>
      <c r="F52" s="461">
        <v>0</v>
      </c>
      <c r="G52" s="461">
        <v>9957035</v>
      </c>
      <c r="H52" s="461">
        <v>0</v>
      </c>
      <c r="I52" s="461">
        <v>9957035</v>
      </c>
      <c r="J52" s="461">
        <v>0</v>
      </c>
      <c r="K52" s="461">
        <v>0</v>
      </c>
      <c r="L52" s="334"/>
      <c r="M52" s="335" t="s">
        <v>317</v>
      </c>
      <c r="N52" s="336">
        <f t="shared" si="0"/>
        <v>-9957035</v>
      </c>
      <c r="O52" s="337">
        <f t="shared" si="1"/>
        <v>-11509.692521095827</v>
      </c>
    </row>
    <row r="53" spans="1:15" ht="14">
      <c r="A53" s="201" t="s">
        <v>469</v>
      </c>
      <c r="B53" s="553" t="s">
        <v>1446</v>
      </c>
      <c r="C53" s="333" t="s">
        <v>453</v>
      </c>
      <c r="D53" s="461">
        <v>1098646</v>
      </c>
      <c r="E53" s="461">
        <v>1361766</v>
      </c>
      <c r="F53" s="461">
        <v>0</v>
      </c>
      <c r="G53" s="461">
        <v>263120</v>
      </c>
      <c r="H53" s="461">
        <v>0</v>
      </c>
      <c r="I53" s="461">
        <v>263120</v>
      </c>
      <c r="J53" s="461">
        <v>0</v>
      </c>
      <c r="K53" s="461">
        <v>0</v>
      </c>
      <c r="L53" s="334"/>
      <c r="M53" s="335" t="s">
        <v>317</v>
      </c>
      <c r="N53" s="336">
        <f t="shared" si="0"/>
        <v>-263120</v>
      </c>
      <c r="O53" s="337">
        <f t="shared" si="1"/>
        <v>-304.14980927060452</v>
      </c>
    </row>
    <row r="54" spans="1:15" ht="14">
      <c r="A54" s="259" t="s">
        <v>471</v>
      </c>
      <c r="B54" s="553" t="s">
        <v>1447</v>
      </c>
      <c r="C54" s="333" t="s">
        <v>257</v>
      </c>
      <c r="D54" s="461">
        <v>54462728</v>
      </c>
      <c r="E54" s="461">
        <v>134174766</v>
      </c>
      <c r="F54" s="461">
        <v>0</v>
      </c>
      <c r="G54" s="461">
        <v>79712038</v>
      </c>
      <c r="H54" s="461">
        <v>0</v>
      </c>
      <c r="I54" s="461">
        <v>79712038</v>
      </c>
      <c r="J54" s="461">
        <v>0</v>
      </c>
      <c r="K54" s="461">
        <v>0</v>
      </c>
      <c r="L54" s="334"/>
      <c r="M54" s="335" t="s">
        <v>317</v>
      </c>
      <c r="N54" s="336">
        <f t="shared" si="0"/>
        <v>-79712038</v>
      </c>
      <c r="O54" s="337">
        <f t="shared" si="1"/>
        <v>-92141.99283319847</v>
      </c>
    </row>
    <row r="55" spans="1:15" ht="14">
      <c r="A55" s="201" t="s">
        <v>472</v>
      </c>
      <c r="B55" s="553" t="s">
        <v>1448</v>
      </c>
      <c r="C55" s="333" t="s">
        <v>413</v>
      </c>
      <c r="D55" s="461">
        <v>2373539</v>
      </c>
      <c r="E55" s="461">
        <v>2373539</v>
      </c>
      <c r="F55" s="461">
        <v>0</v>
      </c>
      <c r="G55" s="461">
        <v>0</v>
      </c>
      <c r="H55" s="461">
        <v>0</v>
      </c>
      <c r="I55" s="461">
        <v>0</v>
      </c>
      <c r="J55" s="461">
        <v>0</v>
      </c>
      <c r="K55" s="461">
        <v>0</v>
      </c>
      <c r="L55" s="334"/>
      <c r="M55" s="335" t="s">
        <v>317</v>
      </c>
      <c r="N55" s="336">
        <f t="shared" si="0"/>
        <v>0</v>
      </c>
      <c r="O55" s="337">
        <f t="shared" si="1"/>
        <v>0</v>
      </c>
    </row>
    <row r="56" spans="1:15" ht="14">
      <c r="A56" s="211" t="s">
        <v>472</v>
      </c>
      <c r="B56" s="553" t="s">
        <v>1449</v>
      </c>
      <c r="C56" s="333" t="s">
        <v>414</v>
      </c>
      <c r="D56" s="461">
        <v>230070</v>
      </c>
      <c r="E56" s="461">
        <v>230070</v>
      </c>
      <c r="F56" s="461">
        <v>0</v>
      </c>
      <c r="G56" s="461">
        <v>0</v>
      </c>
      <c r="H56" s="461">
        <v>0</v>
      </c>
      <c r="I56" s="461">
        <v>0</v>
      </c>
      <c r="J56" s="461">
        <v>0</v>
      </c>
      <c r="K56" s="461">
        <v>0</v>
      </c>
      <c r="L56" s="334"/>
      <c r="M56" s="335" t="s">
        <v>317</v>
      </c>
      <c r="N56" s="336">
        <f t="shared" si="0"/>
        <v>0</v>
      </c>
      <c r="O56" s="337">
        <f t="shared" si="1"/>
        <v>0</v>
      </c>
    </row>
    <row r="57" spans="1:15" ht="14">
      <c r="A57" s="211" t="s">
        <v>472</v>
      </c>
      <c r="B57" s="553" t="s">
        <v>1450</v>
      </c>
      <c r="C57" s="333" t="s">
        <v>415</v>
      </c>
      <c r="D57" s="461">
        <v>145138628</v>
      </c>
      <c r="E57" s="461">
        <v>145138628</v>
      </c>
      <c r="F57" s="461">
        <v>0</v>
      </c>
      <c r="G57" s="461">
        <v>0</v>
      </c>
      <c r="H57" s="461">
        <v>0</v>
      </c>
      <c r="I57" s="461">
        <v>0</v>
      </c>
      <c r="J57" s="461">
        <v>0</v>
      </c>
      <c r="K57" s="461">
        <v>0</v>
      </c>
      <c r="L57" s="334"/>
      <c r="M57" s="335" t="s">
        <v>317</v>
      </c>
      <c r="N57" s="336">
        <f t="shared" si="0"/>
        <v>0</v>
      </c>
      <c r="O57" s="337">
        <f t="shared" si="1"/>
        <v>0</v>
      </c>
    </row>
    <row r="58" spans="1:15" ht="14">
      <c r="A58" s="211" t="s">
        <v>472</v>
      </c>
      <c r="B58" s="553" t="s">
        <v>1451</v>
      </c>
      <c r="C58" s="333" t="s">
        <v>31</v>
      </c>
      <c r="D58" s="461">
        <v>3289310</v>
      </c>
      <c r="E58" s="461">
        <v>4248262</v>
      </c>
      <c r="F58" s="461">
        <v>0</v>
      </c>
      <c r="G58" s="461">
        <v>958952</v>
      </c>
      <c r="H58" s="461">
        <v>0</v>
      </c>
      <c r="I58" s="461">
        <v>958952</v>
      </c>
      <c r="J58" s="461">
        <v>0</v>
      </c>
      <c r="K58" s="461">
        <v>0</v>
      </c>
      <c r="L58" s="334"/>
      <c r="M58" s="335" t="s">
        <v>317</v>
      </c>
      <c r="N58" s="336">
        <f t="shared" si="0"/>
        <v>-958952</v>
      </c>
      <c r="O58" s="337">
        <f t="shared" si="1"/>
        <v>-1108.4868801294647</v>
      </c>
    </row>
    <row r="59" spans="1:15" ht="14">
      <c r="A59" s="211" t="s">
        <v>471</v>
      </c>
      <c r="B59" s="553" t="s">
        <v>1452</v>
      </c>
      <c r="C59" s="333" t="s">
        <v>32</v>
      </c>
      <c r="D59" s="461">
        <v>62073342</v>
      </c>
      <c r="E59" s="461">
        <v>76200159</v>
      </c>
      <c r="F59" s="461">
        <v>0</v>
      </c>
      <c r="G59" s="461">
        <v>14126817</v>
      </c>
      <c r="H59" s="461">
        <v>0</v>
      </c>
      <c r="I59" s="461">
        <v>14126817</v>
      </c>
      <c r="J59" s="461">
        <v>0</v>
      </c>
      <c r="K59" s="461">
        <v>0</v>
      </c>
      <c r="L59" s="334"/>
      <c r="M59" s="335" t="s">
        <v>317</v>
      </c>
      <c r="N59" s="336">
        <f t="shared" si="0"/>
        <v>-14126817</v>
      </c>
      <c r="O59" s="337">
        <f t="shared" si="1"/>
        <v>-16329.692521095827</v>
      </c>
    </row>
    <row r="60" spans="1:15" ht="14">
      <c r="A60" s="211" t="s">
        <v>473</v>
      </c>
      <c r="B60" s="553" t="s">
        <v>1453</v>
      </c>
      <c r="C60" s="333" t="s">
        <v>33</v>
      </c>
      <c r="D60" s="461">
        <v>0</v>
      </c>
      <c r="E60" s="461">
        <v>5770668867</v>
      </c>
      <c r="F60" s="461">
        <v>0</v>
      </c>
      <c r="G60" s="461">
        <v>5770668867</v>
      </c>
      <c r="H60" s="461">
        <v>0</v>
      </c>
      <c r="I60" s="461">
        <v>5770668867</v>
      </c>
      <c r="J60" s="461">
        <v>0</v>
      </c>
      <c r="K60" s="461">
        <v>0</v>
      </c>
      <c r="L60" s="334"/>
      <c r="M60" s="335" t="s">
        <v>318</v>
      </c>
      <c r="N60" s="336">
        <f t="shared" si="0"/>
        <v>-5770668867</v>
      </c>
      <c r="O60" s="337">
        <f t="shared" si="1"/>
        <v>-6670522.3292104956</v>
      </c>
    </row>
    <row r="61" spans="1:15" ht="17.2" customHeight="1">
      <c r="A61" s="219" t="s">
        <v>1931</v>
      </c>
      <c r="B61" s="553" t="s">
        <v>1454</v>
      </c>
      <c r="C61" s="333" t="s">
        <v>301</v>
      </c>
      <c r="D61" s="461">
        <v>3142106839</v>
      </c>
      <c r="E61" s="461">
        <v>0</v>
      </c>
      <c r="F61" s="461">
        <v>3142106839</v>
      </c>
      <c r="G61" s="461">
        <v>0</v>
      </c>
      <c r="H61" s="461">
        <v>3142106839</v>
      </c>
      <c r="I61" s="461">
        <v>0</v>
      </c>
      <c r="J61" s="461">
        <v>0</v>
      </c>
      <c r="K61" s="461">
        <v>0</v>
      </c>
      <c r="L61" s="335"/>
      <c r="M61" s="335" t="s">
        <v>317</v>
      </c>
      <c r="N61" s="336">
        <f t="shared" si="0"/>
        <v>3142106839</v>
      </c>
      <c r="O61" s="337">
        <f t="shared" si="1"/>
        <v>3632073.5625939197</v>
      </c>
    </row>
    <row r="62" spans="1:15" ht="14">
      <c r="A62" s="219" t="s">
        <v>474</v>
      </c>
      <c r="B62" s="460" t="s">
        <v>1542</v>
      </c>
      <c r="C62" s="333" t="s">
        <v>444</v>
      </c>
      <c r="D62" s="461">
        <v>14544984</v>
      </c>
      <c r="E62" s="461">
        <v>261159276</v>
      </c>
      <c r="F62" s="461">
        <v>0</v>
      </c>
      <c r="G62" s="461">
        <v>246614292</v>
      </c>
      <c r="H62" s="461">
        <v>0</v>
      </c>
      <c r="I62" s="461">
        <v>0</v>
      </c>
      <c r="J62" s="461">
        <v>0</v>
      </c>
      <c r="K62" s="461">
        <v>246614292</v>
      </c>
      <c r="L62" s="334"/>
      <c r="M62" s="335" t="s">
        <v>318</v>
      </c>
      <c r="N62" s="336">
        <f t="shared" si="0"/>
        <v>-246614292</v>
      </c>
      <c r="O62" s="337">
        <f>N62/$O$8</f>
        <v>-285070.27164489654</v>
      </c>
    </row>
    <row r="63" spans="1:15" ht="14">
      <c r="A63" s="219" t="s">
        <v>496</v>
      </c>
      <c r="B63" s="460" t="s">
        <v>2588</v>
      </c>
      <c r="C63" s="333" t="s">
        <v>2589</v>
      </c>
      <c r="D63" s="461">
        <v>0</v>
      </c>
      <c r="E63" s="461">
        <v>3751074</v>
      </c>
      <c r="F63" s="461">
        <v>0</v>
      </c>
      <c r="G63" s="461">
        <v>3751074</v>
      </c>
      <c r="H63" s="461">
        <v>0</v>
      </c>
      <c r="I63" s="461">
        <v>0</v>
      </c>
      <c r="J63" s="461">
        <v>0</v>
      </c>
      <c r="K63" s="461">
        <v>3751074</v>
      </c>
      <c r="L63" s="334"/>
      <c r="M63" s="335" t="s">
        <v>318</v>
      </c>
      <c r="N63" s="336">
        <f t="shared" si="0"/>
        <v>-3751074</v>
      </c>
      <c r="O63" s="337">
        <f>N63/$O$8</f>
        <v>-4336.0004623742916</v>
      </c>
    </row>
    <row r="64" spans="1:15" ht="17.2" customHeight="1">
      <c r="A64" s="219" t="s">
        <v>475</v>
      </c>
      <c r="B64" s="460" t="s">
        <v>1455</v>
      </c>
      <c r="C64" s="333" t="s">
        <v>35</v>
      </c>
      <c r="D64" s="461">
        <v>140247843</v>
      </c>
      <c r="E64" s="461">
        <v>5408771</v>
      </c>
      <c r="F64" s="461">
        <v>134839072</v>
      </c>
      <c r="G64" s="461">
        <v>0</v>
      </c>
      <c r="H64" s="461">
        <v>0</v>
      </c>
      <c r="I64" s="461">
        <v>0</v>
      </c>
      <c r="J64" s="461">
        <v>134839072</v>
      </c>
      <c r="K64" s="461">
        <v>0</v>
      </c>
      <c r="L64" s="334"/>
      <c r="M64" s="335" t="s">
        <v>318</v>
      </c>
      <c r="N64" s="336">
        <f t="shared" si="0"/>
        <v>134839072</v>
      </c>
      <c r="O64" s="337">
        <f t="shared" si="1"/>
        <v>155865.30112125765</v>
      </c>
    </row>
    <row r="65" spans="1:15" ht="17.2" customHeight="1">
      <c r="A65" s="219" t="s">
        <v>476</v>
      </c>
      <c r="B65" s="460" t="s">
        <v>1456</v>
      </c>
      <c r="C65" s="333" t="s">
        <v>358</v>
      </c>
      <c r="D65" s="461">
        <v>4308135</v>
      </c>
      <c r="E65" s="461">
        <v>2467680</v>
      </c>
      <c r="F65" s="461">
        <v>1840455</v>
      </c>
      <c r="G65" s="461">
        <v>0</v>
      </c>
      <c r="H65" s="461">
        <v>0</v>
      </c>
      <c r="I65" s="461">
        <v>0</v>
      </c>
      <c r="J65" s="461">
        <v>1840455</v>
      </c>
      <c r="K65" s="461">
        <v>0</v>
      </c>
      <c r="L65" s="334"/>
      <c r="M65" s="335" t="s">
        <v>318</v>
      </c>
      <c r="N65" s="336">
        <f t="shared" si="0"/>
        <v>1840455</v>
      </c>
      <c r="O65" s="337">
        <f t="shared" si="1"/>
        <v>2127.4476939082188</v>
      </c>
    </row>
    <row r="66" spans="1:15" ht="16.55" customHeight="1">
      <c r="A66" s="219" t="s">
        <v>476</v>
      </c>
      <c r="B66" s="460" t="s">
        <v>1458</v>
      </c>
      <c r="C66" s="333" t="s">
        <v>359</v>
      </c>
      <c r="D66" s="461">
        <v>3006169</v>
      </c>
      <c r="E66" s="461">
        <v>306345</v>
      </c>
      <c r="F66" s="461">
        <v>2699824</v>
      </c>
      <c r="G66" s="461">
        <v>0</v>
      </c>
      <c r="H66" s="461">
        <v>0</v>
      </c>
      <c r="I66" s="461">
        <v>0</v>
      </c>
      <c r="J66" s="461">
        <v>2699824</v>
      </c>
      <c r="K66" s="461">
        <v>0</v>
      </c>
      <c r="L66" s="334"/>
      <c r="M66" s="335" t="s">
        <v>318</v>
      </c>
      <c r="N66" s="336">
        <f t="shared" si="0"/>
        <v>2699824</v>
      </c>
      <c r="O66" s="337">
        <f t="shared" si="1"/>
        <v>3120.823026239741</v>
      </c>
    </row>
    <row r="67" spans="1:15" ht="16.55" customHeight="1">
      <c r="A67" s="219" t="s">
        <v>476</v>
      </c>
      <c r="B67" s="460" t="s">
        <v>1459</v>
      </c>
      <c r="C67" s="333" t="s">
        <v>360</v>
      </c>
      <c r="D67" s="461">
        <v>9636092</v>
      </c>
      <c r="E67" s="461">
        <v>8836045</v>
      </c>
      <c r="F67" s="461">
        <v>800047</v>
      </c>
      <c r="G67" s="461">
        <v>0</v>
      </c>
      <c r="H67" s="461">
        <v>0</v>
      </c>
      <c r="I67" s="461">
        <v>0</v>
      </c>
      <c r="J67" s="461">
        <v>800047</v>
      </c>
      <c r="K67" s="461">
        <v>0</v>
      </c>
      <c r="L67" s="334"/>
      <c r="M67" s="335" t="s">
        <v>318</v>
      </c>
      <c r="N67" s="336">
        <f t="shared" si="0"/>
        <v>800047</v>
      </c>
      <c r="O67" s="337">
        <f t="shared" si="1"/>
        <v>924.80291295803954</v>
      </c>
    </row>
    <row r="68" spans="1:15" ht="16.55" customHeight="1">
      <c r="A68" s="219" t="s">
        <v>476</v>
      </c>
      <c r="B68" s="460" t="s">
        <v>1460</v>
      </c>
      <c r="C68" s="333" t="s">
        <v>361</v>
      </c>
      <c r="D68" s="461">
        <v>1984340</v>
      </c>
      <c r="E68" s="461">
        <v>8318</v>
      </c>
      <c r="F68" s="461">
        <v>1976022</v>
      </c>
      <c r="G68" s="461">
        <v>0</v>
      </c>
      <c r="H68" s="461">
        <v>0</v>
      </c>
      <c r="I68" s="461">
        <v>0</v>
      </c>
      <c r="J68" s="461">
        <v>1976022</v>
      </c>
      <c r="K68" s="461">
        <v>0</v>
      </c>
      <c r="L68" s="334"/>
      <c r="M68" s="335" t="s">
        <v>318</v>
      </c>
      <c r="N68" s="336">
        <f t="shared" si="0"/>
        <v>1976022</v>
      </c>
      <c r="O68" s="337">
        <f t="shared" si="1"/>
        <v>2284.1544330135243</v>
      </c>
    </row>
    <row r="69" spans="1:15" ht="16.55" customHeight="1">
      <c r="A69" s="219" t="s">
        <v>476</v>
      </c>
      <c r="B69" s="460" t="s">
        <v>2567</v>
      </c>
      <c r="C69" s="333" t="s">
        <v>2565</v>
      </c>
      <c r="D69" s="461">
        <v>44990</v>
      </c>
      <c r="E69" s="461">
        <v>0</v>
      </c>
      <c r="F69" s="461">
        <v>44990</v>
      </c>
      <c r="G69" s="461">
        <v>0</v>
      </c>
      <c r="H69" s="461">
        <v>0</v>
      </c>
      <c r="I69" s="461">
        <v>0</v>
      </c>
      <c r="J69" s="461">
        <v>44990</v>
      </c>
      <c r="K69" s="461">
        <v>0</v>
      </c>
      <c r="L69" s="334"/>
      <c r="M69" s="335" t="s">
        <v>318</v>
      </c>
      <c r="N69" s="336">
        <f t="shared" si="0"/>
        <v>44990</v>
      </c>
      <c r="O69" s="337">
        <f t="shared" si="1"/>
        <v>52.005548491503873</v>
      </c>
    </row>
    <row r="70" spans="1:15" ht="16.55" customHeight="1">
      <c r="A70" s="219" t="s">
        <v>476</v>
      </c>
      <c r="B70" s="460" t="s">
        <v>2596</v>
      </c>
      <c r="C70" s="333" t="s">
        <v>2597</v>
      </c>
      <c r="D70" s="461">
        <v>46507</v>
      </c>
      <c r="E70" s="461">
        <v>0</v>
      </c>
      <c r="F70" s="461">
        <v>46507</v>
      </c>
      <c r="G70" s="461">
        <v>0</v>
      </c>
      <c r="H70" s="461">
        <v>0</v>
      </c>
      <c r="I70" s="461">
        <v>0</v>
      </c>
      <c r="J70" s="461">
        <v>46507</v>
      </c>
      <c r="K70" s="461">
        <v>0</v>
      </c>
      <c r="L70" s="334"/>
      <c r="M70" s="335" t="s">
        <v>318</v>
      </c>
      <c r="N70" s="336">
        <f t="shared" si="0"/>
        <v>46507</v>
      </c>
      <c r="O70" s="337">
        <f t="shared" si="1"/>
        <v>53.75910299387354</v>
      </c>
    </row>
    <row r="71" spans="1:15" ht="14">
      <c r="A71" s="211" t="s">
        <v>477</v>
      </c>
      <c r="B71" s="460" t="s">
        <v>1463</v>
      </c>
      <c r="C71" s="333" t="s">
        <v>36</v>
      </c>
      <c r="D71" s="461">
        <v>63650963</v>
      </c>
      <c r="E71" s="461">
        <v>18533812</v>
      </c>
      <c r="F71" s="461">
        <v>45117151</v>
      </c>
      <c r="G71" s="461">
        <v>0</v>
      </c>
      <c r="H71" s="461">
        <v>0</v>
      </c>
      <c r="I71" s="461">
        <v>0</v>
      </c>
      <c r="J71" s="461">
        <v>45117151</v>
      </c>
      <c r="K71" s="461">
        <v>0</v>
      </c>
      <c r="L71" s="334"/>
      <c r="M71" s="335" t="s">
        <v>318</v>
      </c>
      <c r="N71" s="336">
        <f t="shared" si="0"/>
        <v>45117151</v>
      </c>
      <c r="O71" s="337">
        <f t="shared" si="1"/>
        <v>52152.526875505719</v>
      </c>
    </row>
    <row r="72" spans="1:15" ht="14">
      <c r="A72" s="211" t="s">
        <v>477</v>
      </c>
      <c r="B72" s="460" t="s">
        <v>1464</v>
      </c>
      <c r="C72" s="333" t="s">
        <v>37</v>
      </c>
      <c r="D72" s="461">
        <v>3506290</v>
      </c>
      <c r="E72" s="461">
        <v>1775800</v>
      </c>
      <c r="F72" s="461">
        <v>1730490</v>
      </c>
      <c r="G72" s="461">
        <v>0</v>
      </c>
      <c r="H72" s="461">
        <v>0</v>
      </c>
      <c r="I72" s="461">
        <v>0</v>
      </c>
      <c r="J72" s="461">
        <v>1730490</v>
      </c>
      <c r="K72" s="461">
        <v>0</v>
      </c>
      <c r="L72" s="334"/>
      <c r="M72" s="335" t="s">
        <v>318</v>
      </c>
      <c r="N72" s="336">
        <f t="shared" si="0"/>
        <v>1730490</v>
      </c>
      <c r="O72" s="337">
        <f t="shared" si="1"/>
        <v>2000.3352213616922</v>
      </c>
    </row>
    <row r="73" spans="1:15" ht="14">
      <c r="A73" s="211" t="s">
        <v>477</v>
      </c>
      <c r="B73" s="460" t="s">
        <v>1465</v>
      </c>
      <c r="C73" s="333" t="s">
        <v>38</v>
      </c>
      <c r="D73" s="461">
        <v>2144489</v>
      </c>
      <c r="E73" s="461">
        <v>489406</v>
      </c>
      <c r="F73" s="461">
        <v>1655083</v>
      </c>
      <c r="G73" s="461">
        <v>0</v>
      </c>
      <c r="H73" s="461">
        <v>0</v>
      </c>
      <c r="I73" s="461">
        <v>0</v>
      </c>
      <c r="J73" s="461">
        <v>1655083</v>
      </c>
      <c r="K73" s="461">
        <v>0</v>
      </c>
      <c r="L73" s="334"/>
      <c r="M73" s="335" t="s">
        <v>318</v>
      </c>
      <c r="N73" s="336">
        <f t="shared" ref="N73:N116" si="6">+D73-E73</f>
        <v>1655083</v>
      </c>
      <c r="O73" s="337">
        <f t="shared" si="1"/>
        <v>1913.169575771587</v>
      </c>
    </row>
    <row r="74" spans="1:15" ht="14">
      <c r="A74" s="211" t="s">
        <v>477</v>
      </c>
      <c r="B74" s="460" t="s">
        <v>1466</v>
      </c>
      <c r="C74" s="333" t="s">
        <v>39</v>
      </c>
      <c r="D74" s="461">
        <v>12748748</v>
      </c>
      <c r="E74" s="461">
        <v>2164596</v>
      </c>
      <c r="F74" s="461">
        <v>10584152</v>
      </c>
      <c r="G74" s="461">
        <v>0</v>
      </c>
      <c r="H74" s="461">
        <v>0</v>
      </c>
      <c r="I74" s="461">
        <v>0</v>
      </c>
      <c r="J74" s="461">
        <v>10584152</v>
      </c>
      <c r="K74" s="461">
        <v>0</v>
      </c>
      <c r="L74" s="334"/>
      <c r="M74" s="335" t="s">
        <v>318</v>
      </c>
      <c r="N74" s="336">
        <f t="shared" si="6"/>
        <v>10584152</v>
      </c>
      <c r="O74" s="337">
        <f t="shared" si="1"/>
        <v>12234.599468269564</v>
      </c>
    </row>
    <row r="75" spans="1:15" ht="14">
      <c r="A75" s="211" t="s">
        <v>477</v>
      </c>
      <c r="B75" s="460" t="s">
        <v>1467</v>
      </c>
      <c r="C75" s="333" t="s">
        <v>393</v>
      </c>
      <c r="D75" s="461">
        <v>4000</v>
      </c>
      <c r="E75" s="461">
        <v>0</v>
      </c>
      <c r="F75" s="461">
        <v>4000</v>
      </c>
      <c r="G75" s="461">
        <v>0</v>
      </c>
      <c r="H75" s="461">
        <v>0</v>
      </c>
      <c r="I75" s="461">
        <v>0</v>
      </c>
      <c r="J75" s="461">
        <v>4000</v>
      </c>
      <c r="K75" s="461">
        <v>0</v>
      </c>
      <c r="L75" s="334"/>
      <c r="M75" s="335" t="s">
        <v>318</v>
      </c>
      <c r="N75" s="336">
        <f t="shared" si="6"/>
        <v>4000</v>
      </c>
      <c r="O75" s="337">
        <f t="shared" si="1"/>
        <v>4.6237429198936537</v>
      </c>
    </row>
    <row r="76" spans="1:15" ht="14">
      <c r="A76" s="211" t="s">
        <v>477</v>
      </c>
      <c r="B76" s="460" t="s">
        <v>1468</v>
      </c>
      <c r="C76" s="333" t="s">
        <v>42</v>
      </c>
      <c r="D76" s="461">
        <v>767127</v>
      </c>
      <c r="E76" s="461">
        <v>166973</v>
      </c>
      <c r="F76" s="461">
        <v>600154</v>
      </c>
      <c r="G76" s="461">
        <v>0</v>
      </c>
      <c r="H76" s="461">
        <v>0</v>
      </c>
      <c r="I76" s="461">
        <v>0</v>
      </c>
      <c r="J76" s="461">
        <v>600154</v>
      </c>
      <c r="K76" s="461">
        <v>0</v>
      </c>
      <c r="L76" s="334"/>
      <c r="M76" s="335" t="s">
        <v>318</v>
      </c>
      <c r="N76" s="336">
        <f t="shared" si="6"/>
        <v>600154</v>
      </c>
      <c r="O76" s="337">
        <f t="shared" ref="O76:O116" si="7">N76/$O$8</f>
        <v>693.73945208646398</v>
      </c>
    </row>
    <row r="77" spans="1:15" ht="14">
      <c r="A77" s="211" t="s">
        <v>477</v>
      </c>
      <c r="B77" s="460" t="s">
        <v>1469</v>
      </c>
      <c r="C77" s="333" t="s">
        <v>43</v>
      </c>
      <c r="D77" s="461">
        <v>1298877</v>
      </c>
      <c r="E77" s="461">
        <v>286396</v>
      </c>
      <c r="F77" s="461">
        <v>1012481</v>
      </c>
      <c r="G77" s="461">
        <v>0</v>
      </c>
      <c r="H77" s="461">
        <v>0</v>
      </c>
      <c r="I77" s="461">
        <v>0</v>
      </c>
      <c r="J77" s="461">
        <v>1012481</v>
      </c>
      <c r="K77" s="461">
        <v>0</v>
      </c>
      <c r="L77" s="334"/>
      <c r="M77" s="335" t="s">
        <v>318</v>
      </c>
      <c r="N77" s="336">
        <f t="shared" si="6"/>
        <v>1012481</v>
      </c>
      <c r="O77" s="337">
        <f t="shared" si="7"/>
        <v>1170.3629638192117</v>
      </c>
    </row>
    <row r="78" spans="1:15" ht="14">
      <c r="A78" s="211" t="s">
        <v>477</v>
      </c>
      <c r="B78" s="460" t="s">
        <v>2885</v>
      </c>
      <c r="C78" s="333" t="s">
        <v>2888</v>
      </c>
      <c r="D78" s="461">
        <v>82429</v>
      </c>
      <c r="E78" s="461">
        <v>17934</v>
      </c>
      <c r="F78" s="461">
        <v>64495</v>
      </c>
      <c r="G78" s="461">
        <v>0</v>
      </c>
      <c r="H78" s="461">
        <v>0</v>
      </c>
      <c r="I78" s="461">
        <v>0</v>
      </c>
      <c r="J78" s="461">
        <v>64495</v>
      </c>
      <c r="K78" s="461">
        <v>0</v>
      </c>
      <c r="L78" s="334"/>
      <c r="M78" s="335" t="s">
        <v>318</v>
      </c>
      <c r="N78" s="336">
        <f t="shared" si="6"/>
        <v>64495</v>
      </c>
      <c r="O78" s="337">
        <f t="shared" ref="O78:O79" si="8">N78/$O$8</f>
        <v>74.552074904635305</v>
      </c>
    </row>
    <row r="79" spans="1:15" ht="14">
      <c r="A79" s="211" t="s">
        <v>477</v>
      </c>
      <c r="B79" s="460" t="s">
        <v>2886</v>
      </c>
      <c r="C79" s="333" t="s">
        <v>2889</v>
      </c>
      <c r="D79" s="461">
        <v>759096</v>
      </c>
      <c r="E79" s="461">
        <v>167378</v>
      </c>
      <c r="F79" s="461">
        <v>591718</v>
      </c>
      <c r="G79" s="461">
        <v>0</v>
      </c>
      <c r="H79" s="461">
        <v>0</v>
      </c>
      <c r="I79" s="461">
        <v>0</v>
      </c>
      <c r="J79" s="461">
        <v>591718</v>
      </c>
      <c r="K79" s="461">
        <v>0</v>
      </c>
      <c r="L79" s="334"/>
      <c r="M79" s="335" t="s">
        <v>318</v>
      </c>
      <c r="N79" s="336">
        <f t="shared" si="6"/>
        <v>591718</v>
      </c>
      <c r="O79" s="337">
        <f t="shared" si="8"/>
        <v>683.98797826840826</v>
      </c>
    </row>
    <row r="80" spans="1:15" ht="14">
      <c r="A80" s="211" t="s">
        <v>477</v>
      </c>
      <c r="B80" s="460" t="s">
        <v>1932</v>
      </c>
      <c r="C80" s="333" t="s">
        <v>1933</v>
      </c>
      <c r="D80" s="461">
        <v>764042</v>
      </c>
      <c r="E80" s="461">
        <v>7718</v>
      </c>
      <c r="F80" s="461">
        <v>756324</v>
      </c>
      <c r="G80" s="461">
        <v>0</v>
      </c>
      <c r="H80" s="461">
        <v>0</v>
      </c>
      <c r="I80" s="461">
        <v>0</v>
      </c>
      <c r="J80" s="461">
        <v>756324</v>
      </c>
      <c r="K80" s="461">
        <v>0</v>
      </c>
      <c r="L80" s="334"/>
      <c r="M80" s="335" t="s">
        <v>318</v>
      </c>
      <c r="N80" s="336">
        <f t="shared" si="6"/>
        <v>756324</v>
      </c>
      <c r="O80" s="337">
        <f t="shared" si="7"/>
        <v>874.26193503641196</v>
      </c>
    </row>
    <row r="81" spans="1:16" ht="14">
      <c r="A81" s="211" t="s">
        <v>477</v>
      </c>
      <c r="B81" s="460" t="s">
        <v>1473</v>
      </c>
      <c r="C81" s="333" t="s">
        <v>311</v>
      </c>
      <c r="D81" s="461">
        <v>1499142</v>
      </c>
      <c r="E81" s="461">
        <v>51590</v>
      </c>
      <c r="F81" s="461">
        <v>1447552</v>
      </c>
      <c r="G81" s="461">
        <v>0</v>
      </c>
      <c r="H81" s="461">
        <v>0</v>
      </c>
      <c r="I81" s="461">
        <v>0</v>
      </c>
      <c r="J81" s="461">
        <v>1447552</v>
      </c>
      <c r="K81" s="461">
        <v>0</v>
      </c>
      <c r="L81" s="334"/>
      <c r="M81" s="335" t="s">
        <v>318</v>
      </c>
      <c r="N81" s="336">
        <f t="shared" si="6"/>
        <v>1447552</v>
      </c>
      <c r="O81" s="337">
        <f t="shared" si="7"/>
        <v>1673.2770777944745</v>
      </c>
    </row>
    <row r="82" spans="1:16" ht="14">
      <c r="A82" s="211" t="s">
        <v>477</v>
      </c>
      <c r="B82" s="460" t="s">
        <v>1474</v>
      </c>
      <c r="C82" s="333" t="s">
        <v>45</v>
      </c>
      <c r="D82" s="461">
        <v>6708242</v>
      </c>
      <c r="E82" s="461">
        <v>262921</v>
      </c>
      <c r="F82" s="461">
        <v>6445321</v>
      </c>
      <c r="G82" s="461">
        <v>0</v>
      </c>
      <c r="H82" s="461">
        <v>0</v>
      </c>
      <c r="I82" s="461">
        <v>0</v>
      </c>
      <c r="J82" s="461">
        <v>6445321</v>
      </c>
      <c r="K82" s="461">
        <v>0</v>
      </c>
      <c r="L82" s="334"/>
      <c r="M82" s="335" t="s">
        <v>318</v>
      </c>
      <c r="N82" s="336">
        <f t="shared" si="6"/>
        <v>6445321</v>
      </c>
      <c r="O82" s="337">
        <f t="shared" si="7"/>
        <v>7450.3768350479713</v>
      </c>
    </row>
    <row r="83" spans="1:16" ht="14">
      <c r="A83" s="211" t="s">
        <v>476</v>
      </c>
      <c r="B83" s="460" t="s">
        <v>1491</v>
      </c>
      <c r="C83" s="333" t="s">
        <v>40</v>
      </c>
      <c r="D83" s="461">
        <v>3186500</v>
      </c>
      <c r="E83" s="461">
        <v>860000</v>
      </c>
      <c r="F83" s="461">
        <v>2326500</v>
      </c>
      <c r="G83" s="461">
        <v>0</v>
      </c>
      <c r="H83" s="461">
        <v>0</v>
      </c>
      <c r="I83" s="461">
        <v>0</v>
      </c>
      <c r="J83" s="461">
        <v>2326500</v>
      </c>
      <c r="K83" s="461">
        <v>0</v>
      </c>
      <c r="L83" s="334"/>
      <c r="M83" s="335" t="s">
        <v>318</v>
      </c>
      <c r="N83" s="336">
        <f t="shared" si="6"/>
        <v>2326500</v>
      </c>
      <c r="O83" s="337">
        <f t="shared" si="7"/>
        <v>2689.2844757831463</v>
      </c>
    </row>
    <row r="84" spans="1:16" ht="14">
      <c r="A84" s="211" t="s">
        <v>476</v>
      </c>
      <c r="B84" s="460" t="s">
        <v>1492</v>
      </c>
      <c r="C84" s="333" t="s">
        <v>41</v>
      </c>
      <c r="D84" s="461">
        <v>3186500</v>
      </c>
      <c r="E84" s="461">
        <v>860000</v>
      </c>
      <c r="F84" s="461">
        <v>2326500</v>
      </c>
      <c r="G84" s="461">
        <v>0</v>
      </c>
      <c r="H84" s="461">
        <v>0</v>
      </c>
      <c r="I84" s="461">
        <v>0</v>
      </c>
      <c r="J84" s="461">
        <v>2326500</v>
      </c>
      <c r="K84" s="461">
        <v>0</v>
      </c>
      <c r="L84" s="334"/>
      <c r="M84" s="335" t="s">
        <v>318</v>
      </c>
      <c r="N84" s="336">
        <f t="shared" si="6"/>
        <v>2326500</v>
      </c>
      <c r="O84" s="337">
        <f t="shared" si="7"/>
        <v>2689.2844757831463</v>
      </c>
    </row>
    <row r="85" spans="1:16" s="193" customFormat="1" ht="14">
      <c r="A85" s="563" t="s">
        <v>476</v>
      </c>
      <c r="B85" s="564" t="s">
        <v>1494</v>
      </c>
      <c r="C85" s="468" t="s">
        <v>44</v>
      </c>
      <c r="D85" s="565">
        <v>397401</v>
      </c>
      <c r="E85" s="565">
        <v>1535790</v>
      </c>
      <c r="F85" s="565">
        <v>0</v>
      </c>
      <c r="G85" s="565">
        <v>1138389</v>
      </c>
      <c r="H85" s="565">
        <v>0</v>
      </c>
      <c r="I85" s="565">
        <v>0</v>
      </c>
      <c r="J85" s="565">
        <v>0</v>
      </c>
      <c r="K85" s="565">
        <v>1138389</v>
      </c>
      <c r="L85" s="566"/>
      <c r="M85" s="567" t="s">
        <v>318</v>
      </c>
      <c r="N85" s="336">
        <f t="shared" si="6"/>
        <v>-1138389</v>
      </c>
      <c r="O85" s="337">
        <f t="shared" si="7"/>
        <v>-1315.9045197087041</v>
      </c>
      <c r="P85" s="259"/>
    </row>
    <row r="86" spans="1:16" ht="14">
      <c r="A86" s="211" t="s">
        <v>476</v>
      </c>
      <c r="B86" s="460" t="s">
        <v>1497</v>
      </c>
      <c r="C86" s="333" t="s">
        <v>46</v>
      </c>
      <c r="D86" s="461">
        <v>505000</v>
      </c>
      <c r="E86" s="461">
        <v>0</v>
      </c>
      <c r="F86" s="461">
        <v>505000</v>
      </c>
      <c r="G86" s="461">
        <v>0</v>
      </c>
      <c r="H86" s="461">
        <v>0</v>
      </c>
      <c r="I86" s="461">
        <v>0</v>
      </c>
      <c r="J86" s="461">
        <v>505000</v>
      </c>
      <c r="K86" s="461">
        <v>0</v>
      </c>
      <c r="L86" s="334"/>
      <c r="M86" s="335" t="s">
        <v>318</v>
      </c>
      <c r="N86" s="336">
        <f t="shared" si="6"/>
        <v>505000</v>
      </c>
      <c r="O86" s="337">
        <f t="shared" si="7"/>
        <v>583.74754363657382</v>
      </c>
    </row>
    <row r="87" spans="1:16" ht="14">
      <c r="A87" s="211" t="s">
        <v>476</v>
      </c>
      <c r="B87" s="460" t="s">
        <v>1498</v>
      </c>
      <c r="C87" s="333" t="s">
        <v>388</v>
      </c>
      <c r="D87" s="461">
        <v>6995194</v>
      </c>
      <c r="E87" s="461">
        <v>3893716</v>
      </c>
      <c r="F87" s="461">
        <v>3101478</v>
      </c>
      <c r="G87" s="461">
        <v>0</v>
      </c>
      <c r="H87" s="461">
        <v>0</v>
      </c>
      <c r="I87" s="461">
        <v>0</v>
      </c>
      <c r="J87" s="461">
        <v>3101478</v>
      </c>
      <c r="K87" s="461">
        <v>0</v>
      </c>
      <c r="L87" s="334"/>
      <c r="M87" s="335" t="s">
        <v>318</v>
      </c>
      <c r="N87" s="336">
        <f t="shared" si="6"/>
        <v>3101478</v>
      </c>
      <c r="O87" s="337">
        <f t="shared" si="7"/>
        <v>3585.1092359264826</v>
      </c>
    </row>
    <row r="88" spans="1:16" ht="14">
      <c r="A88" s="211" t="s">
        <v>476</v>
      </c>
      <c r="B88" s="460" t="s">
        <v>1499</v>
      </c>
      <c r="C88" s="333" t="s">
        <v>328</v>
      </c>
      <c r="D88" s="461">
        <v>179571</v>
      </c>
      <c r="E88" s="461">
        <v>179571</v>
      </c>
      <c r="F88" s="461">
        <v>0</v>
      </c>
      <c r="G88" s="461">
        <v>0</v>
      </c>
      <c r="H88" s="461">
        <v>0</v>
      </c>
      <c r="I88" s="461">
        <v>0</v>
      </c>
      <c r="J88" s="461">
        <v>0</v>
      </c>
      <c r="K88" s="461">
        <v>0</v>
      </c>
      <c r="L88" s="334"/>
      <c r="M88" s="335" t="s">
        <v>318</v>
      </c>
      <c r="N88" s="336">
        <f t="shared" si="6"/>
        <v>0</v>
      </c>
      <c r="O88" s="337">
        <f t="shared" si="7"/>
        <v>0</v>
      </c>
    </row>
    <row r="89" spans="1:16" ht="14">
      <c r="A89" s="211" t="s">
        <v>476</v>
      </c>
      <c r="B89" s="460" t="s">
        <v>1501</v>
      </c>
      <c r="C89" s="333" t="s">
        <v>310</v>
      </c>
      <c r="D89" s="461">
        <v>81257049</v>
      </c>
      <c r="E89" s="461">
        <v>5262647</v>
      </c>
      <c r="F89" s="461">
        <v>75994402</v>
      </c>
      <c r="G89" s="461">
        <v>0</v>
      </c>
      <c r="H89" s="461">
        <v>0</v>
      </c>
      <c r="I89" s="461">
        <v>0</v>
      </c>
      <c r="J89" s="461">
        <v>75994402</v>
      </c>
      <c r="K89" s="461">
        <v>0</v>
      </c>
      <c r="L89" s="334"/>
      <c r="M89" s="335" t="s">
        <v>318</v>
      </c>
      <c r="N89" s="336">
        <f t="shared" si="6"/>
        <v>75994402</v>
      </c>
      <c r="O89" s="337">
        <f t="shared" si="7"/>
        <v>87844.644549763034</v>
      </c>
    </row>
    <row r="90" spans="1:16" ht="14">
      <c r="A90" s="211" t="s">
        <v>476</v>
      </c>
      <c r="B90" s="460" t="s">
        <v>1502</v>
      </c>
      <c r="C90" s="333" t="s">
        <v>47</v>
      </c>
      <c r="D90" s="461">
        <v>3126087</v>
      </c>
      <c r="E90" s="461">
        <v>0</v>
      </c>
      <c r="F90" s="461">
        <v>3126087</v>
      </c>
      <c r="G90" s="461">
        <v>0</v>
      </c>
      <c r="H90" s="461">
        <v>0</v>
      </c>
      <c r="I90" s="461">
        <v>0</v>
      </c>
      <c r="J90" s="461">
        <v>3126087</v>
      </c>
      <c r="K90" s="461">
        <v>0</v>
      </c>
      <c r="L90" s="334"/>
      <c r="M90" s="335" t="s">
        <v>318</v>
      </c>
      <c r="N90" s="336">
        <f t="shared" si="6"/>
        <v>3126087</v>
      </c>
      <c r="O90" s="337">
        <f t="shared" si="7"/>
        <v>3613.5556583053981</v>
      </c>
    </row>
    <row r="91" spans="1:16" ht="14">
      <c r="A91" s="211" t="s">
        <v>476</v>
      </c>
      <c r="B91" s="460" t="s">
        <v>1923</v>
      </c>
      <c r="C91" s="333" t="s">
        <v>1924</v>
      </c>
      <c r="D91" s="461">
        <v>925659</v>
      </c>
      <c r="E91" s="461">
        <v>294610</v>
      </c>
      <c r="F91" s="461">
        <v>631049</v>
      </c>
      <c r="G91" s="461">
        <v>0</v>
      </c>
      <c r="H91" s="461">
        <v>0</v>
      </c>
      <c r="I91" s="461">
        <v>0</v>
      </c>
      <c r="J91" s="461">
        <v>631049</v>
      </c>
      <c r="K91" s="461">
        <v>0</v>
      </c>
      <c r="L91" s="334"/>
      <c r="M91" s="335" t="s">
        <v>318</v>
      </c>
      <c r="N91" s="336">
        <f t="shared" si="6"/>
        <v>631049</v>
      </c>
      <c r="O91" s="337">
        <f t="shared" si="7"/>
        <v>729.4520864639926</v>
      </c>
    </row>
    <row r="92" spans="1:16" ht="14">
      <c r="A92" s="211" t="s">
        <v>476</v>
      </c>
      <c r="B92" s="460" t="s">
        <v>1504</v>
      </c>
      <c r="C92" s="333" t="s">
        <v>303</v>
      </c>
      <c r="D92" s="461">
        <v>919499</v>
      </c>
      <c r="E92" s="461">
        <v>741784</v>
      </c>
      <c r="F92" s="461">
        <v>177715</v>
      </c>
      <c r="G92" s="461">
        <v>0</v>
      </c>
      <c r="H92" s="461">
        <v>0</v>
      </c>
      <c r="I92" s="461">
        <v>0</v>
      </c>
      <c r="J92" s="461">
        <v>177715</v>
      </c>
      <c r="K92" s="461">
        <v>0</v>
      </c>
      <c r="L92" s="334"/>
      <c r="M92" s="335" t="s">
        <v>318</v>
      </c>
      <c r="N92" s="336">
        <f t="shared" si="6"/>
        <v>177715</v>
      </c>
      <c r="O92" s="337">
        <f t="shared" si="7"/>
        <v>205.42711825222517</v>
      </c>
    </row>
    <row r="93" spans="1:16" ht="14">
      <c r="A93" s="211" t="s">
        <v>476</v>
      </c>
      <c r="B93" s="460" t="s">
        <v>1925</v>
      </c>
      <c r="C93" s="333" t="s">
        <v>1487</v>
      </c>
      <c r="D93" s="461">
        <v>131229</v>
      </c>
      <c r="E93" s="461">
        <v>0</v>
      </c>
      <c r="F93" s="461">
        <v>131229</v>
      </c>
      <c r="G93" s="461">
        <v>0</v>
      </c>
      <c r="H93" s="461">
        <v>0</v>
      </c>
      <c r="I93" s="461">
        <v>0</v>
      </c>
      <c r="J93" s="461">
        <v>131229</v>
      </c>
      <c r="K93" s="461">
        <v>0</v>
      </c>
      <c r="L93" s="334"/>
      <c r="M93" s="335" t="s">
        <v>318</v>
      </c>
      <c r="N93" s="336">
        <f t="shared" si="6"/>
        <v>131229</v>
      </c>
      <c r="O93" s="337">
        <f t="shared" si="7"/>
        <v>151.69228990868106</v>
      </c>
    </row>
    <row r="94" spans="1:16" ht="14">
      <c r="A94" s="211" t="s">
        <v>476</v>
      </c>
      <c r="B94" s="460" t="s">
        <v>1506</v>
      </c>
      <c r="C94" s="333" t="s">
        <v>48</v>
      </c>
      <c r="D94" s="461">
        <v>839257</v>
      </c>
      <c r="E94" s="461">
        <v>0</v>
      </c>
      <c r="F94" s="461">
        <v>839257</v>
      </c>
      <c r="G94" s="461">
        <v>0</v>
      </c>
      <c r="H94" s="461">
        <v>0</v>
      </c>
      <c r="I94" s="461">
        <v>0</v>
      </c>
      <c r="J94" s="461">
        <v>839257</v>
      </c>
      <c r="K94" s="461">
        <v>0</v>
      </c>
      <c r="L94" s="334"/>
      <c r="M94" s="335" t="s">
        <v>318</v>
      </c>
      <c r="N94" s="336">
        <f t="shared" si="6"/>
        <v>839257</v>
      </c>
      <c r="O94" s="337">
        <f t="shared" si="7"/>
        <v>970.12715293029703</v>
      </c>
    </row>
    <row r="95" spans="1:16" ht="14">
      <c r="A95" s="211" t="s">
        <v>476</v>
      </c>
      <c r="B95" s="460" t="s">
        <v>3223</v>
      </c>
      <c r="C95" s="333" t="s">
        <v>3224</v>
      </c>
      <c r="D95" s="461">
        <v>1065119</v>
      </c>
      <c r="E95" s="461">
        <v>0</v>
      </c>
      <c r="F95" s="461">
        <v>1065119</v>
      </c>
      <c r="G95" s="461">
        <v>0</v>
      </c>
      <c r="H95" s="461">
        <v>0</v>
      </c>
      <c r="I95" s="461">
        <v>0</v>
      </c>
      <c r="J95" s="461">
        <v>1065119</v>
      </c>
      <c r="K95" s="461">
        <v>0</v>
      </c>
      <c r="L95" s="334"/>
      <c r="M95" s="335" t="s">
        <v>318</v>
      </c>
      <c r="N95" s="336">
        <f t="shared" si="6"/>
        <v>1065119</v>
      </c>
      <c r="O95" s="337">
        <f t="shared" ref="O95" si="9">N95/$O$8</f>
        <v>1231.2091087735521</v>
      </c>
    </row>
    <row r="96" spans="1:16" ht="14">
      <c r="A96" s="211" t="s">
        <v>476</v>
      </c>
      <c r="B96" s="460" t="s">
        <v>1507</v>
      </c>
      <c r="C96" s="333" t="s">
        <v>805</v>
      </c>
      <c r="D96" s="461">
        <v>420710</v>
      </c>
      <c r="E96" s="461">
        <v>0</v>
      </c>
      <c r="F96" s="461">
        <v>420710</v>
      </c>
      <c r="G96" s="461">
        <v>0</v>
      </c>
      <c r="H96" s="461">
        <v>0</v>
      </c>
      <c r="I96" s="461">
        <v>0</v>
      </c>
      <c r="J96" s="461">
        <v>420710</v>
      </c>
      <c r="K96" s="461">
        <v>0</v>
      </c>
      <c r="L96" s="334"/>
      <c r="M96" s="335" t="s">
        <v>318</v>
      </c>
      <c r="N96" s="336">
        <f t="shared" si="6"/>
        <v>420710</v>
      </c>
      <c r="O96" s="337">
        <f t="shared" si="7"/>
        <v>486.31372095711475</v>
      </c>
    </row>
    <row r="97" spans="1:16" ht="14">
      <c r="A97" s="211" t="s">
        <v>476</v>
      </c>
      <c r="B97" s="460" t="s">
        <v>1508</v>
      </c>
      <c r="C97" s="333" t="s">
        <v>806</v>
      </c>
      <c r="D97" s="461">
        <v>819868</v>
      </c>
      <c r="E97" s="461">
        <v>78227</v>
      </c>
      <c r="F97" s="461">
        <v>741641</v>
      </c>
      <c r="G97" s="461">
        <v>0</v>
      </c>
      <c r="H97" s="461">
        <v>0</v>
      </c>
      <c r="I97" s="461">
        <v>0</v>
      </c>
      <c r="J97" s="461">
        <v>741641</v>
      </c>
      <c r="K97" s="461">
        <v>0</v>
      </c>
      <c r="L97" s="334"/>
      <c r="M97" s="335" t="s">
        <v>318</v>
      </c>
      <c r="N97" s="336">
        <f t="shared" si="6"/>
        <v>741641</v>
      </c>
      <c r="O97" s="337">
        <f t="shared" si="7"/>
        <v>857.28933071321228</v>
      </c>
    </row>
    <row r="98" spans="1:16" ht="14">
      <c r="A98" s="211" t="s">
        <v>476</v>
      </c>
      <c r="B98" s="460" t="s">
        <v>1926</v>
      </c>
      <c r="C98" s="333" t="s">
        <v>1927</v>
      </c>
      <c r="D98" s="461">
        <v>61186</v>
      </c>
      <c r="E98" s="461">
        <v>61187</v>
      </c>
      <c r="F98" s="461">
        <v>0</v>
      </c>
      <c r="G98" s="461">
        <v>1</v>
      </c>
      <c r="H98" s="461">
        <v>0</v>
      </c>
      <c r="I98" s="461">
        <v>0</v>
      </c>
      <c r="J98" s="461">
        <v>0</v>
      </c>
      <c r="K98" s="461">
        <v>1</v>
      </c>
      <c r="L98" s="334"/>
      <c r="M98" s="335" t="s">
        <v>318</v>
      </c>
      <c r="N98" s="336">
        <f t="shared" si="6"/>
        <v>-1</v>
      </c>
      <c r="O98" s="337">
        <f t="shared" si="7"/>
        <v>-1.1559357299734134E-3</v>
      </c>
    </row>
    <row r="99" spans="1:16" ht="14">
      <c r="A99" s="211" t="s">
        <v>476</v>
      </c>
      <c r="B99" s="460" t="s">
        <v>1509</v>
      </c>
      <c r="C99" s="333" t="s">
        <v>49</v>
      </c>
      <c r="D99" s="461">
        <v>7893808</v>
      </c>
      <c r="E99" s="461">
        <v>6788199</v>
      </c>
      <c r="F99" s="461">
        <v>1105609</v>
      </c>
      <c r="G99" s="461">
        <v>0</v>
      </c>
      <c r="H99" s="461">
        <v>0</v>
      </c>
      <c r="I99" s="461">
        <v>0</v>
      </c>
      <c r="J99" s="461">
        <v>1105609</v>
      </c>
      <c r="K99" s="461">
        <v>0</v>
      </c>
      <c r="L99" s="334"/>
      <c r="M99" s="335" t="s">
        <v>318</v>
      </c>
      <c r="N99" s="336">
        <f t="shared" si="6"/>
        <v>1105609</v>
      </c>
      <c r="O99" s="337">
        <f t="shared" si="7"/>
        <v>1278.0129464801757</v>
      </c>
    </row>
    <row r="100" spans="1:16" ht="14">
      <c r="A100" s="211" t="s">
        <v>476</v>
      </c>
      <c r="B100" s="460" t="s">
        <v>1921</v>
      </c>
      <c r="C100" s="333" t="s">
        <v>1922</v>
      </c>
      <c r="D100" s="461">
        <v>642168</v>
      </c>
      <c r="E100" s="461">
        <v>0</v>
      </c>
      <c r="F100" s="461">
        <v>642168</v>
      </c>
      <c r="G100" s="461">
        <v>0</v>
      </c>
      <c r="H100" s="461">
        <v>0</v>
      </c>
      <c r="I100" s="461">
        <v>0</v>
      </c>
      <c r="J100" s="461">
        <v>642168</v>
      </c>
      <c r="K100" s="461">
        <v>0</v>
      </c>
      <c r="L100" s="334"/>
      <c r="M100" s="335" t="s">
        <v>318</v>
      </c>
      <c r="N100" s="336">
        <f t="shared" si="6"/>
        <v>642168</v>
      </c>
      <c r="O100" s="337">
        <f t="shared" si="7"/>
        <v>742.304935845567</v>
      </c>
    </row>
    <row r="101" spans="1:16" ht="14">
      <c r="A101" s="211" t="s">
        <v>476</v>
      </c>
      <c r="B101" s="460" t="s">
        <v>1512</v>
      </c>
      <c r="C101" s="333" t="s">
        <v>51</v>
      </c>
      <c r="D101" s="461">
        <v>371590</v>
      </c>
      <c r="E101" s="461">
        <v>0</v>
      </c>
      <c r="F101" s="461">
        <v>371590</v>
      </c>
      <c r="G101" s="461">
        <v>0</v>
      </c>
      <c r="H101" s="461">
        <v>0</v>
      </c>
      <c r="I101" s="461">
        <v>0</v>
      </c>
      <c r="J101" s="461">
        <v>371590</v>
      </c>
      <c r="K101" s="461">
        <v>0</v>
      </c>
      <c r="L101" s="334"/>
      <c r="M101" s="335" t="s">
        <v>318</v>
      </c>
      <c r="N101" s="336">
        <f t="shared" si="6"/>
        <v>371590</v>
      </c>
      <c r="O101" s="337">
        <f t="shared" si="7"/>
        <v>429.53415790082073</v>
      </c>
    </row>
    <row r="102" spans="1:16" ht="14">
      <c r="A102" s="211" t="s">
        <v>479</v>
      </c>
      <c r="B102" s="460" t="s">
        <v>1514</v>
      </c>
      <c r="C102" s="333" t="s">
        <v>52</v>
      </c>
      <c r="D102" s="461">
        <v>502259</v>
      </c>
      <c r="E102" s="461">
        <v>0</v>
      </c>
      <c r="F102" s="461">
        <v>502259</v>
      </c>
      <c r="G102" s="461">
        <v>0</v>
      </c>
      <c r="H102" s="461">
        <v>0</v>
      </c>
      <c r="I102" s="461">
        <v>0</v>
      </c>
      <c r="J102" s="461">
        <v>502259</v>
      </c>
      <c r="K102" s="461">
        <v>0</v>
      </c>
      <c r="L102" s="334"/>
      <c r="M102" s="335" t="s">
        <v>318</v>
      </c>
      <c r="N102" s="336">
        <f t="shared" si="6"/>
        <v>502259</v>
      </c>
      <c r="O102" s="337">
        <f t="shared" si="7"/>
        <v>580.57912380071662</v>
      </c>
    </row>
    <row r="103" spans="1:16" ht="16.55" customHeight="1">
      <c r="A103" s="219" t="s">
        <v>476</v>
      </c>
      <c r="B103" s="460" t="s">
        <v>1516</v>
      </c>
      <c r="C103" s="333" t="s">
        <v>53</v>
      </c>
      <c r="D103" s="461">
        <v>2925416</v>
      </c>
      <c r="E103" s="461">
        <v>71660</v>
      </c>
      <c r="F103" s="461">
        <v>2853756</v>
      </c>
      <c r="G103" s="461">
        <v>0</v>
      </c>
      <c r="H103" s="461">
        <v>0</v>
      </c>
      <c r="I103" s="461">
        <v>0</v>
      </c>
      <c r="J103" s="461">
        <v>2853756</v>
      </c>
      <c r="K103" s="461">
        <v>0</v>
      </c>
      <c r="L103" s="334"/>
      <c r="M103" s="335" t="s">
        <v>318</v>
      </c>
      <c r="N103" s="336">
        <f t="shared" si="6"/>
        <v>2853756</v>
      </c>
      <c r="O103" s="337">
        <f t="shared" ref="O103" si="10">N103/$O$8</f>
        <v>3298.7585250260086</v>
      </c>
    </row>
    <row r="104" spans="1:16" ht="16.55" customHeight="1">
      <c r="A104" s="219" t="s">
        <v>476</v>
      </c>
      <c r="B104" s="460" t="s">
        <v>2813</v>
      </c>
      <c r="C104" s="333" t="s">
        <v>2814</v>
      </c>
      <c r="D104" s="461">
        <v>597458</v>
      </c>
      <c r="E104" s="461">
        <v>0</v>
      </c>
      <c r="F104" s="461">
        <v>597458</v>
      </c>
      <c r="G104" s="461">
        <v>0</v>
      </c>
      <c r="H104" s="461">
        <v>0</v>
      </c>
      <c r="I104" s="461">
        <v>0</v>
      </c>
      <c r="J104" s="461">
        <v>597458</v>
      </c>
      <c r="K104" s="461">
        <v>0</v>
      </c>
      <c r="L104" s="334"/>
      <c r="M104" s="335" t="s">
        <v>318</v>
      </c>
      <c r="N104" s="336">
        <f t="shared" si="6"/>
        <v>597458</v>
      </c>
      <c r="O104" s="337">
        <f t="shared" si="7"/>
        <v>690.62304935845566</v>
      </c>
    </row>
    <row r="105" spans="1:16" ht="16.55" customHeight="1">
      <c r="A105" s="211" t="s">
        <v>476</v>
      </c>
      <c r="B105" s="460" t="s">
        <v>1518</v>
      </c>
      <c r="C105" s="333" t="s">
        <v>434</v>
      </c>
      <c r="D105" s="461">
        <v>868786</v>
      </c>
      <c r="E105" s="461">
        <v>0</v>
      </c>
      <c r="F105" s="461">
        <v>868786</v>
      </c>
      <c r="G105" s="461">
        <v>0</v>
      </c>
      <c r="H105" s="461">
        <v>0</v>
      </c>
      <c r="I105" s="461">
        <v>0</v>
      </c>
      <c r="J105" s="461">
        <v>868786</v>
      </c>
      <c r="K105" s="461">
        <v>0</v>
      </c>
      <c r="L105" s="334"/>
      <c r="M105" s="335" t="s">
        <v>318</v>
      </c>
      <c r="N105" s="336">
        <f t="shared" si="6"/>
        <v>868786</v>
      </c>
      <c r="O105" s="337">
        <f t="shared" si="7"/>
        <v>1004.2607791006819</v>
      </c>
    </row>
    <row r="106" spans="1:16" ht="14">
      <c r="A106" s="211" t="s">
        <v>476</v>
      </c>
      <c r="B106" s="460" t="s">
        <v>1928</v>
      </c>
      <c r="C106" s="333" t="s">
        <v>1305</v>
      </c>
      <c r="D106" s="461">
        <v>3506825</v>
      </c>
      <c r="E106" s="461">
        <v>587504</v>
      </c>
      <c r="F106" s="461">
        <v>2919321</v>
      </c>
      <c r="G106" s="461">
        <v>0</v>
      </c>
      <c r="H106" s="461">
        <v>0</v>
      </c>
      <c r="I106" s="461">
        <v>0</v>
      </c>
      <c r="J106" s="461">
        <v>2919321</v>
      </c>
      <c r="K106" s="461">
        <v>0</v>
      </c>
      <c r="L106" s="334"/>
      <c r="M106" s="335" t="s">
        <v>318</v>
      </c>
      <c r="N106" s="336">
        <f t="shared" si="6"/>
        <v>2919321</v>
      </c>
      <c r="O106" s="337">
        <f t="shared" si="7"/>
        <v>3374.5474511617153</v>
      </c>
    </row>
    <row r="107" spans="1:16" ht="14">
      <c r="A107" s="211" t="s">
        <v>476</v>
      </c>
      <c r="B107" s="460" t="s">
        <v>1520</v>
      </c>
      <c r="C107" s="333" t="s">
        <v>329</v>
      </c>
      <c r="D107" s="461">
        <v>268190</v>
      </c>
      <c r="E107" s="461">
        <v>0</v>
      </c>
      <c r="F107" s="461">
        <v>268190</v>
      </c>
      <c r="G107" s="461">
        <v>0</v>
      </c>
      <c r="H107" s="461">
        <v>0</v>
      </c>
      <c r="I107" s="461">
        <v>0</v>
      </c>
      <c r="J107" s="461">
        <v>268190</v>
      </c>
      <c r="K107" s="461">
        <v>0</v>
      </c>
      <c r="L107" s="334"/>
      <c r="M107" s="335" t="s">
        <v>318</v>
      </c>
      <c r="N107" s="336">
        <f t="shared" si="6"/>
        <v>268190</v>
      </c>
      <c r="O107" s="337">
        <f t="shared" si="7"/>
        <v>310.01040342156978</v>
      </c>
    </row>
    <row r="108" spans="1:16" ht="14">
      <c r="A108" s="211" t="s">
        <v>476</v>
      </c>
      <c r="B108" s="460" t="s">
        <v>1929</v>
      </c>
      <c r="C108" s="333" t="s">
        <v>1930</v>
      </c>
      <c r="D108" s="461">
        <v>2094675</v>
      </c>
      <c r="E108" s="461">
        <v>1506417</v>
      </c>
      <c r="F108" s="461">
        <v>588258</v>
      </c>
      <c r="G108" s="461">
        <v>0</v>
      </c>
      <c r="H108" s="461">
        <v>0</v>
      </c>
      <c r="I108" s="461">
        <v>0</v>
      </c>
      <c r="J108" s="461">
        <v>588258</v>
      </c>
      <c r="K108" s="461">
        <v>0</v>
      </c>
      <c r="L108" s="334"/>
      <c r="M108" s="335" t="s">
        <v>318</v>
      </c>
      <c r="N108" s="336">
        <f t="shared" si="6"/>
        <v>588258</v>
      </c>
      <c r="O108" s="337">
        <f t="shared" si="7"/>
        <v>679.9884406427002</v>
      </c>
    </row>
    <row r="109" spans="1:16" ht="14">
      <c r="A109" s="211" t="s">
        <v>480</v>
      </c>
      <c r="B109" s="460" t="s">
        <v>1521</v>
      </c>
      <c r="C109" s="333" t="s">
        <v>54</v>
      </c>
      <c r="D109" s="461">
        <v>2114357</v>
      </c>
      <c r="E109" s="461">
        <v>27489</v>
      </c>
      <c r="F109" s="461">
        <v>2086868</v>
      </c>
      <c r="G109" s="461">
        <v>0</v>
      </c>
      <c r="H109" s="461">
        <v>0</v>
      </c>
      <c r="I109" s="461">
        <v>0</v>
      </c>
      <c r="J109" s="461">
        <v>2086868</v>
      </c>
      <c r="K109" s="461">
        <v>0</v>
      </c>
      <c r="L109" s="334"/>
      <c r="M109" s="335" t="s">
        <v>318</v>
      </c>
      <c r="N109" s="336">
        <f t="shared" si="6"/>
        <v>2086868</v>
      </c>
      <c r="O109" s="337">
        <f t="shared" si="7"/>
        <v>2412.2852849381575</v>
      </c>
    </row>
    <row r="110" spans="1:16" s="193" customFormat="1" ht="14">
      <c r="A110" s="563" t="s">
        <v>476</v>
      </c>
      <c r="B110" s="564" t="s">
        <v>1522</v>
      </c>
      <c r="C110" s="468" t="s">
        <v>1523</v>
      </c>
      <c r="D110" s="565">
        <v>1894972</v>
      </c>
      <c r="E110" s="565">
        <v>63900</v>
      </c>
      <c r="F110" s="565">
        <v>1831072</v>
      </c>
      <c r="G110" s="565">
        <v>0</v>
      </c>
      <c r="H110" s="565">
        <v>0</v>
      </c>
      <c r="I110" s="565">
        <v>0</v>
      </c>
      <c r="J110" s="565">
        <v>1831072</v>
      </c>
      <c r="K110" s="565">
        <v>0</v>
      </c>
      <c r="L110" s="566"/>
      <c r="M110" s="567" t="s">
        <v>318</v>
      </c>
      <c r="N110" s="336">
        <f t="shared" si="6"/>
        <v>1831072</v>
      </c>
      <c r="O110" s="337">
        <f t="shared" si="7"/>
        <v>2116.6015489538781</v>
      </c>
      <c r="P110" s="259"/>
    </row>
    <row r="111" spans="1:16" ht="14">
      <c r="A111" s="211" t="s">
        <v>478</v>
      </c>
      <c r="B111" s="460" t="s">
        <v>1524</v>
      </c>
      <c r="C111" s="333" t="s">
        <v>254</v>
      </c>
      <c r="D111" s="461">
        <v>8846337</v>
      </c>
      <c r="E111" s="461">
        <v>0</v>
      </c>
      <c r="F111" s="461">
        <v>8846337</v>
      </c>
      <c r="G111" s="461">
        <v>0</v>
      </c>
      <c r="H111" s="461">
        <v>0</v>
      </c>
      <c r="I111" s="461">
        <v>0</v>
      </c>
      <c r="J111" s="461">
        <v>8846337</v>
      </c>
      <c r="K111" s="461">
        <v>0</v>
      </c>
      <c r="L111" s="334"/>
      <c r="M111" s="335" t="s">
        <v>318</v>
      </c>
      <c r="N111" s="336">
        <f t="shared" si="6"/>
        <v>8846337</v>
      </c>
      <c r="O111" s="337">
        <f t="shared" si="7"/>
        <v>10225.797017685816</v>
      </c>
    </row>
    <row r="112" spans="1:16" ht="14">
      <c r="A112" s="211" t="s">
        <v>481</v>
      </c>
      <c r="B112" s="460" t="s">
        <v>1525</v>
      </c>
      <c r="C112" s="333" t="s">
        <v>3002</v>
      </c>
      <c r="D112" s="461">
        <v>19305</v>
      </c>
      <c r="E112" s="461">
        <v>0</v>
      </c>
      <c r="F112" s="461">
        <v>19305</v>
      </c>
      <c r="G112" s="461">
        <v>0</v>
      </c>
      <c r="H112" s="461">
        <v>0</v>
      </c>
      <c r="I112" s="461">
        <v>0</v>
      </c>
      <c r="J112" s="461">
        <v>19305</v>
      </c>
      <c r="K112" s="461">
        <v>0</v>
      </c>
      <c r="L112" s="334"/>
      <c r="M112" s="335" t="s">
        <v>318</v>
      </c>
      <c r="N112" s="336">
        <f t="shared" si="6"/>
        <v>19305</v>
      </c>
      <c r="O112" s="337">
        <f t="shared" ref="O112" si="11">N112/$O$8</f>
        <v>22.315339267136746</v>
      </c>
    </row>
    <row r="113" spans="1:15" ht="14">
      <c r="A113" s="211" t="s">
        <v>481</v>
      </c>
      <c r="B113" s="460" t="s">
        <v>1528</v>
      </c>
      <c r="C113" s="333" t="s">
        <v>396</v>
      </c>
      <c r="D113" s="461">
        <v>0</v>
      </c>
      <c r="E113" s="461">
        <v>5791</v>
      </c>
      <c r="F113" s="461">
        <v>0</v>
      </c>
      <c r="G113" s="461">
        <v>5791</v>
      </c>
      <c r="H113" s="461">
        <v>0</v>
      </c>
      <c r="I113" s="461">
        <v>0</v>
      </c>
      <c r="J113" s="461">
        <v>0</v>
      </c>
      <c r="K113" s="461">
        <v>5791</v>
      </c>
      <c r="L113" s="334"/>
      <c r="M113" s="335" t="s">
        <v>318</v>
      </c>
      <c r="N113" s="336">
        <f t="shared" si="6"/>
        <v>-5791</v>
      </c>
      <c r="O113" s="337">
        <f t="shared" si="7"/>
        <v>-6.6940238122760372</v>
      </c>
    </row>
    <row r="114" spans="1:15" ht="14">
      <c r="A114" s="259" t="s">
        <v>481</v>
      </c>
      <c r="B114" s="460" t="s">
        <v>1537</v>
      </c>
      <c r="C114" s="333" t="s">
        <v>592</v>
      </c>
      <c r="D114" s="461">
        <v>60116244</v>
      </c>
      <c r="E114" s="461">
        <v>84142416</v>
      </c>
      <c r="F114" s="461">
        <v>0</v>
      </c>
      <c r="G114" s="461">
        <v>24026172</v>
      </c>
      <c r="H114" s="461">
        <v>0</v>
      </c>
      <c r="I114" s="461">
        <v>0</v>
      </c>
      <c r="J114" s="461">
        <v>0</v>
      </c>
      <c r="K114" s="461">
        <v>24026172</v>
      </c>
      <c r="L114" s="334"/>
      <c r="M114" s="335" t="s">
        <v>318</v>
      </c>
      <c r="N114" s="336">
        <f t="shared" si="6"/>
        <v>-24026172</v>
      </c>
      <c r="O114" s="337">
        <f t="shared" si="7"/>
        <v>-27772.710669286786</v>
      </c>
    </row>
    <row r="115" spans="1:15" ht="14">
      <c r="A115" s="259" t="s">
        <v>481</v>
      </c>
      <c r="B115" s="460" t="s">
        <v>1538</v>
      </c>
      <c r="C115" s="333" t="s">
        <v>56</v>
      </c>
      <c r="D115" s="461">
        <v>1746970</v>
      </c>
      <c r="E115" s="461">
        <v>1123173</v>
      </c>
      <c r="F115" s="461">
        <v>623797</v>
      </c>
      <c r="G115" s="461">
        <v>0</v>
      </c>
      <c r="H115" s="461">
        <v>0</v>
      </c>
      <c r="I115" s="461">
        <v>0</v>
      </c>
      <c r="J115" s="461">
        <v>623797</v>
      </c>
      <c r="K115" s="461">
        <v>0</v>
      </c>
      <c r="L115" s="334"/>
      <c r="M115" s="335" t="s">
        <v>318</v>
      </c>
      <c r="N115" s="336">
        <f t="shared" si="6"/>
        <v>623797</v>
      </c>
      <c r="O115" s="337">
        <f t="shared" si="7"/>
        <v>721.06924055022535</v>
      </c>
    </row>
    <row r="116" spans="1:15" ht="14">
      <c r="A116" s="259" t="s">
        <v>481</v>
      </c>
      <c r="B116" s="460" t="s">
        <v>1539</v>
      </c>
      <c r="C116" s="333" t="s">
        <v>57</v>
      </c>
      <c r="D116" s="461">
        <v>34</v>
      </c>
      <c r="E116" s="461">
        <v>0</v>
      </c>
      <c r="F116" s="461">
        <v>34</v>
      </c>
      <c r="G116" s="461">
        <v>0</v>
      </c>
      <c r="H116" s="461">
        <v>0</v>
      </c>
      <c r="I116" s="461">
        <v>0</v>
      </c>
      <c r="J116" s="461">
        <v>34</v>
      </c>
      <c r="K116" s="461">
        <v>0</v>
      </c>
      <c r="L116" s="334"/>
      <c r="M116" s="335" t="s">
        <v>318</v>
      </c>
      <c r="N116" s="336">
        <f t="shared" si="6"/>
        <v>34</v>
      </c>
      <c r="O116" s="337">
        <f t="shared" si="7"/>
        <v>3.9301814819096059E-2</v>
      </c>
    </row>
    <row r="117" spans="1:15" ht="14">
      <c r="B117" s="338" t="s">
        <v>58</v>
      </c>
      <c r="C117" s="339"/>
      <c r="D117" s="340">
        <f t="shared" ref="D117:K117" si="12">SUM(D9:D116)</f>
        <v>13821361994</v>
      </c>
      <c r="E117" s="340">
        <f t="shared" si="12"/>
        <v>13821361994</v>
      </c>
      <c r="F117" s="340">
        <f t="shared" si="12"/>
        <v>7806222781</v>
      </c>
      <c r="G117" s="340">
        <f t="shared" si="12"/>
        <v>7806222781</v>
      </c>
      <c r="H117" s="340">
        <f t="shared" si="12"/>
        <v>7478455448</v>
      </c>
      <c r="I117" s="340">
        <f t="shared" si="12"/>
        <v>7530687062</v>
      </c>
      <c r="J117" s="340">
        <f t="shared" si="12"/>
        <v>327767333</v>
      </c>
      <c r="K117" s="340">
        <f t="shared" si="12"/>
        <v>275535719</v>
      </c>
      <c r="L117" s="334"/>
      <c r="M117" s="334"/>
      <c r="N117" s="336">
        <f t="shared" ref="N117" si="13">+D117-E117</f>
        <v>0</v>
      </c>
      <c r="O117" s="336">
        <f>SUM(O9:O116)</f>
        <v>2.1525031757008151E-10</v>
      </c>
    </row>
    <row r="118" spans="1:15" ht="14">
      <c r="B118" s="338" t="s">
        <v>59</v>
      </c>
      <c r="C118" s="339"/>
      <c r="D118" s="340"/>
      <c r="E118" s="341"/>
      <c r="F118" s="341"/>
      <c r="G118" s="341"/>
      <c r="H118" s="340">
        <v>0</v>
      </c>
      <c r="I118" s="344">
        <f>+H117-I117</f>
        <v>-52231614</v>
      </c>
      <c r="J118" s="340">
        <f>+K117-J117</f>
        <v>-52231614</v>
      </c>
      <c r="K118" s="340">
        <v>0</v>
      </c>
      <c r="L118" s="334"/>
      <c r="M118" s="334"/>
      <c r="N118" s="342">
        <f>SUM(N62:N116)</f>
        <v>52231614</v>
      </c>
      <c r="O118" s="343">
        <f>SUM(O62:O116)</f>
        <v>60376.388856779588</v>
      </c>
    </row>
    <row r="119" spans="1:15" ht="14">
      <c r="B119" s="338" t="s">
        <v>60</v>
      </c>
      <c r="C119" s="339"/>
      <c r="D119" s="340">
        <f>D117</f>
        <v>13821361994</v>
      </c>
      <c r="E119" s="341">
        <f>E117</f>
        <v>13821361994</v>
      </c>
      <c r="F119" s="341">
        <f>F117</f>
        <v>7806222781</v>
      </c>
      <c r="G119" s="341">
        <f>G117</f>
        <v>7806222781</v>
      </c>
      <c r="H119" s="340">
        <f>SUM(H117:H118)</f>
        <v>7478455448</v>
      </c>
      <c r="I119" s="340">
        <f>SUM(I117:I118)</f>
        <v>7478455448</v>
      </c>
      <c r="J119" s="340">
        <f>SUM(J117:J118)</f>
        <v>275535719</v>
      </c>
      <c r="K119" s="340">
        <f>SUM(K117:K118)</f>
        <v>275535719</v>
      </c>
      <c r="L119" s="334"/>
      <c r="M119" s="334"/>
      <c r="N119" s="432"/>
      <c r="O119" s="433"/>
    </row>
    <row r="120" spans="1:15" ht="14">
      <c r="B120" s="335" t="s">
        <v>0</v>
      </c>
      <c r="C120" s="335"/>
      <c r="D120" s="334"/>
      <c r="E120" s="334">
        <f>D119-E119</f>
        <v>0</v>
      </c>
      <c r="F120" s="334"/>
      <c r="G120" s="334"/>
      <c r="H120" s="334"/>
      <c r="I120" s="334"/>
      <c r="J120" s="334"/>
      <c r="K120" s="334"/>
      <c r="L120" s="334"/>
      <c r="M120" s="334"/>
      <c r="N120" s="334"/>
      <c r="O120" s="335"/>
    </row>
    <row r="121" spans="1:15">
      <c r="O121" s="570"/>
    </row>
    <row r="122" spans="1:15">
      <c r="E122" s="267">
        <f>E120/2</f>
        <v>0</v>
      </c>
    </row>
    <row r="123" spans="1:15">
      <c r="E123" s="267">
        <f>E120*2</f>
        <v>0</v>
      </c>
    </row>
    <row r="125" spans="1:15">
      <c r="B125" s="259" t="s">
        <v>0</v>
      </c>
    </row>
    <row r="129" spans="5:5">
      <c r="E129" s="267" t="s">
        <v>0</v>
      </c>
    </row>
  </sheetData>
  <autoFilter ref="A7:K120" xr:uid="{00000000-0001-0000-0600-000000000000}">
    <filterColumn colId="3" showButton="0"/>
    <filterColumn colId="5" showButton="0"/>
    <filterColumn colId="7" showButton="0"/>
    <filterColumn colId="9" showButton="0"/>
  </autoFilter>
  <mergeCells count="9">
    <mergeCell ref="F7:G7"/>
    <mergeCell ref="H7:I7"/>
    <mergeCell ref="J7:K7"/>
    <mergeCell ref="B2:K2"/>
    <mergeCell ref="B3:K3"/>
    <mergeCell ref="B4:K4"/>
    <mergeCell ref="B7:B8"/>
    <mergeCell ref="C7:C8"/>
    <mergeCell ref="D7:E7"/>
  </mergeCells>
  <phoneticPr fontId="40" type="noConversion"/>
  <hyperlinks>
    <hyperlink ref="B9" location="'Cajas y Bancos'!A1" display="1.1.01.101" xr:uid="{C0B6F68F-B002-48BC-B45E-2A297545D49F}"/>
    <hyperlink ref="B10" location="'Cajas y Bancos'!A1" display="1.1.01.203" xr:uid="{27DEC780-332B-4CC8-85CE-C0D9427C3D7D}"/>
    <hyperlink ref="B11" location="'Cajas y Bancos'!A1" display="1.1.01.204" xr:uid="{FAF47476-B0E8-46CC-A5EE-595FCA4E8714}"/>
    <hyperlink ref="B12" location="'Cajas y Bancos'!A1" display="1.1.01.205" xr:uid="{E8C2DD7D-D27F-4788-B755-8A2531333115}"/>
    <hyperlink ref="B13" location="'Cajas y Bancos'!A1" display="1.1.01.206" xr:uid="{EF25AA04-869F-4EFE-B64C-2CDD5E3AAA62}"/>
    <hyperlink ref="B14" location="'Cajas y Bancos'!A1" display="1.1.01.207" xr:uid="{EE6502A2-430E-4329-9CA0-747FF7F01F17}"/>
    <hyperlink ref="B15" location="'Cajas y Bancos'!A1" display="1.1.01.208" xr:uid="{1CCB1843-A079-4B3F-964E-CF5CB13E314C}"/>
    <hyperlink ref="B19" location="'Cajas y Bancos'!A1" display="1.1.01.209" xr:uid="{9E318BE0-0210-4D2A-9E2B-9F0CA9EC9432}"/>
    <hyperlink ref="B20" location="'Cajas y Bancos'!A1" display="1.1.01.301" xr:uid="{257EF075-AE42-427A-9535-194983F3DB20}"/>
    <hyperlink ref="B21" location="'Cajas y Bancos'!A1" display="1.1.01.302" xr:uid="{1D1A5CD1-29C2-43C5-9A21-835E6ECF3FE5}"/>
    <hyperlink ref="B22" location="'Cajas y Bancos'!A1" display="1.1.02.106" xr:uid="{807DA19E-72F5-4DFD-A863-B0CBC011CA5A}"/>
    <hyperlink ref="B23" location="'Derechos de arrendamiento'!A1" display="1.1.03.201" xr:uid="{070AAADB-962C-4B87-A28C-52134DE116E9}"/>
    <hyperlink ref="B24" location="Clientes!A1" display="1.1.04.102" xr:uid="{D7C021CF-F698-45EC-9E8B-A1C45870C7FE}"/>
    <hyperlink ref="B25" location="'Pagos Anticipados'!A1" display="1.1.04.104" xr:uid="{FB2146CA-A3C3-43A5-A4D8-978A0FFE1C80}"/>
    <hyperlink ref="B26" location="'Deudores Diversos'!A1" display="1.1.04.105" xr:uid="{A2450BB9-CEE6-419E-AD29-F7727082159C}"/>
    <hyperlink ref="B27" location="'Deudores Diversos'!A1" display="1.1.04.106" xr:uid="{4973DE54-ED15-4DF3-85C8-FEA74004D421}"/>
    <hyperlink ref="B29" location="'Deudores Diversos'!A1" display="1.1.04.109" xr:uid="{93664D92-AA52-4568-B662-2B7E4A98314D}"/>
    <hyperlink ref="B32" location="'Deudores Diversos'!A1" display="1.1.04.200" xr:uid="{FF1C5F76-0819-4ADA-9AE5-72B72AA2CE70}"/>
    <hyperlink ref="B33" location="'Pagos Anticipados'!A1" display="1.1.05.403" xr:uid="{B38C1C75-DE03-4215-BAB1-431A07261B70}"/>
    <hyperlink ref="B34" location="'Pagos Anticipados'!A1" display="1.1.05.405" xr:uid="{66991AAB-ECE6-4F49-AC50-8FCD575FFA35}"/>
    <hyperlink ref="B35" location="Inventarios!A1" display="1.1.06.401" xr:uid="{F4EABD4C-5248-40B7-9F30-D2412EF6B454}"/>
    <hyperlink ref="B36" location="Inventarios!A1" display="1.1.06.801" xr:uid="{E7BDA6CA-79FD-4FF5-A6F9-B4B5DC506797}"/>
    <hyperlink ref="B37" location="Inventarios!A1" display="1.1.06.802" xr:uid="{B013E647-942E-435A-B91E-BAA86E876FA6}"/>
    <hyperlink ref="B38" location="'Impuestos a favor'!A1" display="1.1.09.101" xr:uid="{8FB9B359-1ABC-4E50-94DC-8B86DE4F4C64}"/>
    <hyperlink ref="B39" location="'Impuestos a favor'!A1" display="1.1.09.103" xr:uid="{CB4D1D73-B128-4215-99E6-F4FE5C1B9C06}"/>
    <hyperlink ref="B40" location="'Derechos de arrendamiento'!A1" display="1.2.02.101" xr:uid="{32F22431-919A-458D-A9FB-C10A1AB8F06A}"/>
    <hyperlink ref="B41" location="'Activo fijo'!A1" display="1.2.02.401" xr:uid="{94E4FDCD-6B55-47B4-B898-8406EAE4D351}"/>
    <hyperlink ref="B42" location="'Activo fijo'!A1" display="1.2.02.402" xr:uid="{87BD121C-2DBB-4512-B735-634B540B28F7}"/>
    <hyperlink ref="B44" location="'Activo fijo'!A1" display="1.2.02.904" xr:uid="{D2D827E8-F6DA-4628-93D4-6A91C06B6790}"/>
    <hyperlink ref="B45" location="'Activo fijo'!A1" display="1.2.02.905" xr:uid="{AEF767D2-87BE-47E4-B021-3D3C11B71A70}"/>
    <hyperlink ref="B46" location="'Acreedores diversos (prestamo)'!A1" display="2.1.01.203" xr:uid="{4697E371-DB05-4B70-8FC7-56CF59B950E5}"/>
    <hyperlink ref="B48" location="'Acreedores Diversos'!A1" display="2.1.01.601" xr:uid="{AD67180F-71D2-4FF8-BED7-85C1D43333AF}"/>
    <hyperlink ref="B49" location="'Cuentas por pagar EERR'!A1" display="2.1.02.102" xr:uid="{478350FE-4E50-47C4-B655-78012B7902F9}"/>
    <hyperlink ref="B50" location="Proveedores!A1" display="2.1.02.103" xr:uid="{59590D6E-7541-4BEC-8449-A887068F5476}"/>
    <hyperlink ref="B51" location="Proveedores!A1" display="2.1.02.401" xr:uid="{E8D48828-7756-4734-94A6-5EFB38280877}"/>
    <hyperlink ref="B52" location="'Impuestos nómina'!A1" display="2.1.02.503" xr:uid="{27E59FFE-360D-49AE-9722-125C91A811E2}"/>
    <hyperlink ref="B53" location="Proveedores!A1" display="2.1.02.604" xr:uid="{6595DE74-2FA1-4E38-AAB9-DFDB97B18F60}"/>
    <hyperlink ref="B54" location="'Otros Pasivos'!A1" display="2.1.02.605" xr:uid="{28F2AC0F-CB87-4D20-A9E1-C8F3C28D5548}"/>
    <hyperlink ref="B55" location="'IVA por pagar del mes'!A1" display="2.1.05.101" xr:uid="{2C583B59-888B-4004-9E28-C443AC4D2450}"/>
    <hyperlink ref="B56" location="'IVA por pagar del mes'!A1" display="2.1.05.102" xr:uid="{2808734C-ABB9-4237-B6FC-5A260178BB7E}"/>
    <hyperlink ref="B57" location="'IVA por pagar del mes'!A1" display="2.1.05.103" xr:uid="{59626565-7A76-4BC9-987B-98825C79DFE2}"/>
    <hyperlink ref="B58" location="'IVA por pagar del mes'!A1" display="2.1.05.106" xr:uid="{474CD37F-F375-4C1C-9C5C-34FADE35266A}"/>
    <hyperlink ref="B59" location="'Otros Pasivos'!A1" display="2.1.06.103" xr:uid="{1D6AD34A-F4DC-4EBD-AE2F-7AB7A92967B6}"/>
    <hyperlink ref="B60" location="Patrimonio!A1" display="2.3.01.101" xr:uid="{D1EFE023-3721-4A94-8659-942F5C7B1982}"/>
    <hyperlink ref="B61" location="Patrimonio!A1" display="2.3.02.101" xr:uid="{EB6F99FE-3271-4A11-9579-A00428FAF5DE}"/>
    <hyperlink ref="B16" location="'Cajas y Bancos'!A1" display="1.1.01.209" xr:uid="{9D4C46F0-FA40-47A5-90C6-C8CA4A1D65D3}"/>
    <hyperlink ref="B17" location="'Cajas y Bancos'!A1" display="1.1.01.209" xr:uid="{BC669CA4-8D3B-4C1D-8330-DCA9EF392D06}"/>
    <hyperlink ref="B43" location="'Activo fijo'!A1" display="1.2.02.404" xr:uid="{89D114AC-90CC-4F20-88DC-A7A8D7D2B307}"/>
    <hyperlink ref="B18" location="'Cajas y Bancos'!A1" display="1.1.01.209" xr:uid="{26ADDEC5-FBE1-4861-B7D3-20456E93DE5E}"/>
    <hyperlink ref="B47" location="'Acreedores Diversos'!A1" display="2.1.01.601" xr:uid="{BCFEEA75-D0DE-4D8E-B2B4-A5FBAF205F2C}"/>
  </hyperlinks>
  <pageMargins left="0.70866141732283472" right="0.70866141732283472" top="0.74803149606299213" bottom="0.74803149606299213" header="0.31496062992125984" footer="0.31496062992125984"/>
  <pageSetup scale="67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446-1B65-40FC-8835-E922AA5F8B0A}">
  <sheetPr codeName="Hoja8">
    <pageSetUpPr fitToPage="1"/>
  </sheetPr>
  <dimension ref="A1:L93"/>
  <sheetViews>
    <sheetView showGridLines="0" topLeftCell="A8" zoomScale="70" zoomScaleNormal="70" zoomScaleSheetLayoutView="80" workbookViewId="0">
      <pane xSplit="2" ySplit="3" topLeftCell="C11" activePane="bottomRight" state="frozen"/>
      <selection activeCell="D14" sqref="D14"/>
      <selection pane="topRight" activeCell="D14" sqref="D14"/>
      <selection pane="bottomLeft" activeCell="D14" sqref="D14"/>
      <selection pane="bottomRight" activeCell="J38" sqref="J38"/>
    </sheetView>
  </sheetViews>
  <sheetFormatPr baseColWidth="10" defaultColWidth="11.3984375" defaultRowHeight="13.45"/>
  <cols>
    <col min="1" max="1" width="11.3984375" style="198"/>
    <col min="2" max="2" width="49.296875" style="198" customWidth="1"/>
    <col min="3" max="10" width="18.296875" style="198" customWidth="1"/>
    <col min="11" max="11" width="19.09765625" style="198" customWidth="1"/>
    <col min="12" max="12" width="14.59765625" style="198" bestFit="1" customWidth="1"/>
    <col min="13" max="16384" width="11.3984375" style="198"/>
  </cols>
  <sheetData>
    <row r="1" spans="1:12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</row>
    <row r="2" spans="1:12">
      <c r="A2" s="777" t="s">
        <v>234</v>
      </c>
      <c r="B2" s="777"/>
      <c r="C2" s="777"/>
      <c r="D2" s="777"/>
      <c r="E2" s="777"/>
      <c r="F2" s="777"/>
      <c r="G2" s="777"/>
      <c r="H2" s="777"/>
      <c r="I2" s="777"/>
      <c r="J2" s="777"/>
      <c r="K2" s="777"/>
    </row>
    <row r="3" spans="1:12">
      <c r="A3" s="777" t="s">
        <v>320</v>
      </c>
      <c r="B3" s="777"/>
      <c r="C3" s="777"/>
      <c r="D3" s="777"/>
      <c r="E3" s="777"/>
      <c r="F3" s="777"/>
      <c r="G3" s="777"/>
      <c r="H3" s="777"/>
      <c r="I3" s="777"/>
      <c r="J3" s="777"/>
      <c r="K3" s="777"/>
    </row>
    <row r="4" spans="1:12">
      <c r="A4" s="777" t="str">
        <f>+'Estado de Resultados'!B3</f>
        <v>Para el período comprendido entre el 01-01-2026 hasta el 31/01/2026</v>
      </c>
      <c r="B4" s="777"/>
      <c r="C4" s="777"/>
      <c r="D4" s="777"/>
      <c r="E4" s="777"/>
      <c r="F4" s="777"/>
      <c r="G4" s="777"/>
      <c r="H4" s="777"/>
      <c r="I4" s="777"/>
      <c r="J4" s="777"/>
      <c r="K4" s="777"/>
    </row>
    <row r="5" spans="1:12">
      <c r="A5" s="777" t="s">
        <v>321</v>
      </c>
      <c r="B5" s="777"/>
      <c r="C5" s="777"/>
      <c r="D5" s="777"/>
      <c r="E5" s="777"/>
      <c r="F5" s="777"/>
      <c r="G5" s="777"/>
      <c r="H5" s="777"/>
      <c r="I5" s="777"/>
      <c r="J5" s="777"/>
      <c r="K5" s="777"/>
    </row>
    <row r="6" spans="1:12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</row>
    <row r="7" spans="1:1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</row>
    <row r="8" spans="1:12" ht="25.55" customHeight="1">
      <c r="A8" s="782" t="s">
        <v>259</v>
      </c>
      <c r="B8" s="782" t="s">
        <v>260</v>
      </c>
      <c r="C8" s="785">
        <v>44957</v>
      </c>
      <c r="D8" s="785">
        <v>44985</v>
      </c>
      <c r="E8" s="785">
        <v>45016</v>
      </c>
      <c r="F8" s="785">
        <v>45046</v>
      </c>
      <c r="G8" s="785">
        <v>45077</v>
      </c>
      <c r="H8" s="785">
        <v>45107</v>
      </c>
      <c r="I8" s="785">
        <v>45138</v>
      </c>
      <c r="J8" s="459">
        <v>45169</v>
      </c>
      <c r="K8" s="785" t="s">
        <v>322</v>
      </c>
    </row>
    <row r="9" spans="1:12" ht="15.05" customHeight="1">
      <c r="A9" s="783"/>
      <c r="B9" s="783"/>
      <c r="C9" s="786"/>
      <c r="D9" s="786"/>
      <c r="E9" s="786"/>
      <c r="F9" s="786"/>
      <c r="G9" s="786"/>
      <c r="H9" s="786"/>
      <c r="I9" s="786"/>
      <c r="J9" s="462">
        <v>855.86</v>
      </c>
      <c r="K9" s="786"/>
    </row>
    <row r="10" spans="1:12">
      <c r="A10" s="784"/>
      <c r="B10" s="784"/>
      <c r="C10" s="260" t="s">
        <v>323</v>
      </c>
      <c r="D10" s="260" t="s">
        <v>323</v>
      </c>
      <c r="E10" s="260" t="s">
        <v>323</v>
      </c>
      <c r="F10" s="260" t="s">
        <v>323</v>
      </c>
      <c r="G10" s="260" t="s">
        <v>323</v>
      </c>
      <c r="H10" s="260" t="s">
        <v>323</v>
      </c>
      <c r="I10" s="260" t="s">
        <v>323</v>
      </c>
      <c r="J10" s="260" t="s">
        <v>323</v>
      </c>
      <c r="K10" s="260" t="s">
        <v>323</v>
      </c>
    </row>
    <row r="11" spans="1:12">
      <c r="A11" s="261" t="s">
        <v>1540</v>
      </c>
      <c r="B11" s="261" t="s">
        <v>34</v>
      </c>
      <c r="C11" s="262">
        <v>0</v>
      </c>
      <c r="D11" s="262">
        <v>1879.2000000000003</v>
      </c>
      <c r="E11" s="262">
        <v>0</v>
      </c>
      <c r="F11" s="262">
        <v>0</v>
      </c>
      <c r="G11" s="262">
        <v>0</v>
      </c>
      <c r="H11" s="262">
        <v>0</v>
      </c>
      <c r="I11" s="262">
        <v>283320.34000000003</v>
      </c>
      <c r="J11" s="262" t="e">
        <f>'EERR Mensual $'!#REF!/'EERR Mensual US$'!$J$9</f>
        <v>#REF!</v>
      </c>
      <c r="K11" s="262" t="e">
        <f t="shared" ref="K11:K74" si="0">SUM(C11:J11)</f>
        <v>#REF!</v>
      </c>
      <c r="L11" s="301"/>
    </row>
    <row r="12" spans="1:12">
      <c r="A12" s="261" t="s">
        <v>1541</v>
      </c>
      <c r="B12" s="261" t="s">
        <v>1355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154.26</v>
      </c>
      <c r="J12" s="262" t="e">
        <f>'EERR Mensual $'!#REF!/'EERR Mensual US$'!$J$9</f>
        <v>#REF!</v>
      </c>
      <c r="K12" s="262" t="e">
        <f t="shared" si="0"/>
        <v>#REF!</v>
      </c>
      <c r="L12" s="301"/>
    </row>
    <row r="13" spans="1:12">
      <c r="A13" s="261" t="s">
        <v>1542</v>
      </c>
      <c r="B13" s="261" t="s">
        <v>444</v>
      </c>
      <c r="C13" s="262">
        <v>236876.84999999969</v>
      </c>
      <c r="D13" s="262">
        <v>181614.10000000003</v>
      </c>
      <c r="E13" s="262">
        <v>197725.78000000003</v>
      </c>
      <c r="F13" s="262">
        <v>278768.46999999997</v>
      </c>
      <c r="G13" s="262">
        <v>325586.64999999985</v>
      </c>
      <c r="H13" s="262">
        <v>267228.91999999969</v>
      </c>
      <c r="I13" s="262">
        <v>0</v>
      </c>
      <c r="J13" s="262" t="e">
        <f>'EERR Mensual $'!#REF!/'EERR Mensual US$'!$J$9</f>
        <v>#REF!</v>
      </c>
      <c r="K13" s="262" t="e">
        <f t="shared" si="0"/>
        <v>#REF!</v>
      </c>
      <c r="L13" s="301"/>
    </row>
    <row r="14" spans="1:12">
      <c r="A14" s="261" t="s">
        <v>1543</v>
      </c>
      <c r="B14" s="261" t="s">
        <v>445</v>
      </c>
      <c r="C14" s="262">
        <v>37403.03</v>
      </c>
      <c r="D14" s="262">
        <v>128785.99000000002</v>
      </c>
      <c r="E14" s="262">
        <v>95545.93</v>
      </c>
      <c r="F14" s="262">
        <v>70291.039999999979</v>
      </c>
      <c r="G14" s="262">
        <v>32098.070000000007</v>
      </c>
      <c r="H14" s="262">
        <v>1370.3400000000256</v>
      </c>
      <c r="I14" s="262">
        <v>0</v>
      </c>
      <c r="J14" s="262" t="e">
        <f>'EERR Mensual $'!#REF!/'EERR Mensual US$'!$J$9</f>
        <v>#REF!</v>
      </c>
      <c r="K14" s="262" t="e">
        <f t="shared" si="0"/>
        <v>#REF!</v>
      </c>
      <c r="L14" s="301"/>
    </row>
    <row r="15" spans="1:12">
      <c r="A15" s="261" t="s">
        <v>1455</v>
      </c>
      <c r="B15" s="304" t="s">
        <v>35</v>
      </c>
      <c r="C15" s="305">
        <v>-172048.4</v>
      </c>
      <c r="D15" s="305">
        <v>-193242.81999999998</v>
      </c>
      <c r="E15" s="305">
        <v>-174833.04000000007</v>
      </c>
      <c r="F15" s="305">
        <v>-179090.11000000013</v>
      </c>
      <c r="G15" s="305">
        <v>-175480.27000000005</v>
      </c>
      <c r="H15" s="305">
        <v>-132641.24000000002</v>
      </c>
      <c r="I15" s="305">
        <v>-147645.76000000004</v>
      </c>
      <c r="J15" s="262" t="e">
        <f>'EERR Mensual $'!#REF!/'EERR Mensual US$'!$J$9</f>
        <v>#REF!</v>
      </c>
      <c r="K15" s="262" t="e">
        <f t="shared" si="0"/>
        <v>#REF!</v>
      </c>
      <c r="L15" s="301"/>
    </row>
    <row r="16" spans="1:12">
      <c r="A16" s="261" t="s">
        <v>1456</v>
      </c>
      <c r="B16" s="304" t="s">
        <v>358</v>
      </c>
      <c r="C16" s="305">
        <v>-5526.7999999999993</v>
      </c>
      <c r="D16" s="305">
        <v>-3269.9500000000007</v>
      </c>
      <c r="E16" s="305">
        <v>-2476.83</v>
      </c>
      <c r="F16" s="305">
        <v>-4054.6399999999994</v>
      </c>
      <c r="G16" s="305">
        <v>-4460.4600000000009</v>
      </c>
      <c r="H16" s="305">
        <v>-3747.1800000000021</v>
      </c>
      <c r="I16" s="305">
        <v>-2806.3699999999972</v>
      </c>
      <c r="J16" s="262" t="e">
        <f>'EERR Mensual $'!#REF!/'EERR Mensual US$'!$J$9</f>
        <v>#REF!</v>
      </c>
      <c r="K16" s="262" t="e">
        <f t="shared" si="0"/>
        <v>#REF!</v>
      </c>
      <c r="L16" s="301"/>
    </row>
    <row r="17" spans="1:12">
      <c r="A17" s="261" t="s">
        <v>1457</v>
      </c>
      <c r="B17" s="304" t="s">
        <v>803</v>
      </c>
      <c r="C17" s="305">
        <v>0</v>
      </c>
      <c r="D17" s="305">
        <v>-1815.63</v>
      </c>
      <c r="E17" s="305">
        <v>0</v>
      </c>
      <c r="F17" s="305">
        <v>0</v>
      </c>
      <c r="G17" s="305">
        <v>-8.8400000000001455</v>
      </c>
      <c r="H17" s="305">
        <v>0</v>
      </c>
      <c r="I17" s="305">
        <v>0</v>
      </c>
      <c r="J17" s="262" t="e">
        <f>'EERR Mensual $'!#REF!/'EERR Mensual US$'!$J$9</f>
        <v>#REF!</v>
      </c>
      <c r="K17" s="262" t="e">
        <f t="shared" si="0"/>
        <v>#REF!</v>
      </c>
      <c r="L17" s="301"/>
    </row>
    <row r="18" spans="1:12">
      <c r="A18" s="261" t="s">
        <v>1458</v>
      </c>
      <c r="B18" s="304" t="s">
        <v>359</v>
      </c>
      <c r="C18" s="305">
        <v>-7346.76</v>
      </c>
      <c r="D18" s="305">
        <v>-6770.43</v>
      </c>
      <c r="E18" s="305">
        <v>-6816.9400000000005</v>
      </c>
      <c r="F18" s="305">
        <v>-5793.5199999999986</v>
      </c>
      <c r="G18" s="305">
        <v>-5837.4400000000041</v>
      </c>
      <c r="H18" s="305">
        <v>-5822.3900000000012</v>
      </c>
      <c r="I18" s="305">
        <v>-2880.4000000000033</v>
      </c>
      <c r="J18" s="262" t="e">
        <f>'EERR Mensual $'!#REF!/'EERR Mensual US$'!$J$9</f>
        <v>#REF!</v>
      </c>
      <c r="K18" s="262" t="e">
        <f t="shared" si="0"/>
        <v>#REF!</v>
      </c>
      <c r="L18" s="301"/>
    </row>
    <row r="19" spans="1:12">
      <c r="A19" s="261" t="s">
        <v>1459</v>
      </c>
      <c r="B19" s="304" t="s">
        <v>360</v>
      </c>
      <c r="C19" s="305">
        <v>-1346.95</v>
      </c>
      <c r="D19" s="305">
        <v>-1543.2</v>
      </c>
      <c r="E19" s="305">
        <v>-1141.3399999999999</v>
      </c>
      <c r="F19" s="305">
        <v>-1804.89</v>
      </c>
      <c r="G19" s="305">
        <v>-1496.9399999999994</v>
      </c>
      <c r="H19" s="305">
        <v>-1560.26</v>
      </c>
      <c r="I19" s="305">
        <v>-1890.1599999999996</v>
      </c>
      <c r="J19" s="262" t="e">
        <f>'EERR Mensual $'!#REF!/'EERR Mensual US$'!$J$9</f>
        <v>#REF!</v>
      </c>
      <c r="K19" s="262" t="e">
        <f t="shared" si="0"/>
        <v>#REF!</v>
      </c>
      <c r="L19" s="301"/>
    </row>
    <row r="20" spans="1:12">
      <c r="A20" s="261" t="s">
        <v>1460</v>
      </c>
      <c r="B20" s="304" t="s">
        <v>361</v>
      </c>
      <c r="C20" s="305">
        <v>-3921.5899999999979</v>
      </c>
      <c r="D20" s="305">
        <v>-6599.8200000000015</v>
      </c>
      <c r="E20" s="305">
        <v>-7103.609999999986</v>
      </c>
      <c r="F20" s="305">
        <v>-10158.599999999999</v>
      </c>
      <c r="G20" s="305">
        <v>-7259.9199999999946</v>
      </c>
      <c r="H20" s="305">
        <v>-8043.4399999999987</v>
      </c>
      <c r="I20" s="305">
        <v>-10487.54</v>
      </c>
      <c r="J20" s="262" t="e">
        <f>'EERR Mensual $'!#REF!/'EERR Mensual US$'!$J$9</f>
        <v>#REF!</v>
      </c>
      <c r="K20" s="262" t="e">
        <f t="shared" si="0"/>
        <v>#REF!</v>
      </c>
      <c r="L20" s="301"/>
    </row>
    <row r="21" spans="1:12">
      <c r="A21" s="261" t="s">
        <v>1461</v>
      </c>
      <c r="B21" s="304" t="s">
        <v>1462</v>
      </c>
      <c r="C21" s="305">
        <v>15.109999999999673</v>
      </c>
      <c r="D21" s="305">
        <v>-48.7199999999998</v>
      </c>
      <c r="E21" s="305">
        <v>203.13000000000102</v>
      </c>
      <c r="F21" s="305">
        <v>19.369999999999891</v>
      </c>
      <c r="G21" s="305">
        <v>-23.380000000000109</v>
      </c>
      <c r="H21" s="305">
        <v>0</v>
      </c>
      <c r="I21" s="305">
        <v>0</v>
      </c>
      <c r="J21" s="262" t="e">
        <f>'EERR Mensual $'!#REF!/'EERR Mensual US$'!$J$9</f>
        <v>#REF!</v>
      </c>
      <c r="K21" s="262" t="e">
        <f t="shared" si="0"/>
        <v>#REF!</v>
      </c>
      <c r="L21" s="301"/>
    </row>
    <row r="22" spans="1:12">
      <c r="A22" s="261" t="s">
        <v>1463</v>
      </c>
      <c r="B22" s="261" t="s">
        <v>36</v>
      </c>
      <c r="C22" s="262">
        <v>-28991.84</v>
      </c>
      <c r="D22" s="262">
        <v>-51892.520000000019</v>
      </c>
      <c r="E22" s="262">
        <v>-29766.329999999998</v>
      </c>
      <c r="F22" s="262">
        <v>-28208.49</v>
      </c>
      <c r="G22" s="262">
        <v>-28491.3</v>
      </c>
      <c r="H22" s="262">
        <v>-29738.910000000014</v>
      </c>
      <c r="I22" s="262">
        <v>-28728.390000000025</v>
      </c>
      <c r="J22" s="262" t="e">
        <f>'EERR Mensual $'!#REF!/'EERR Mensual US$'!$J$9</f>
        <v>#REF!</v>
      </c>
      <c r="K22" s="262" t="e">
        <f t="shared" si="0"/>
        <v>#REF!</v>
      </c>
      <c r="L22" s="301"/>
    </row>
    <row r="23" spans="1:12">
      <c r="A23" s="261" t="s">
        <v>1464</v>
      </c>
      <c r="B23" s="261" t="s">
        <v>37</v>
      </c>
      <c r="C23" s="262">
        <v>0</v>
      </c>
      <c r="D23" s="262">
        <v>0</v>
      </c>
      <c r="E23" s="262">
        <v>0</v>
      </c>
      <c r="F23" s="262">
        <v>0</v>
      </c>
      <c r="G23" s="262">
        <v>0</v>
      </c>
      <c r="H23" s="262">
        <v>-684.93000000000006</v>
      </c>
      <c r="I23" s="262">
        <v>-779.3</v>
      </c>
      <c r="J23" s="262" t="e">
        <f>'EERR Mensual $'!#REF!/'EERR Mensual US$'!$J$9</f>
        <v>#REF!</v>
      </c>
      <c r="K23" s="262" t="e">
        <f t="shared" si="0"/>
        <v>#REF!</v>
      </c>
      <c r="L23" s="301"/>
    </row>
    <row r="24" spans="1:12">
      <c r="A24" s="261" t="s">
        <v>1465</v>
      </c>
      <c r="B24" s="261" t="s">
        <v>38</v>
      </c>
      <c r="C24" s="262">
        <v>-878.39</v>
      </c>
      <c r="D24" s="262">
        <v>-828.78000000000009</v>
      </c>
      <c r="E24" s="262">
        <v>-864.38999999999976</v>
      </c>
      <c r="F24" s="262">
        <v>-862.65</v>
      </c>
      <c r="G24" s="262">
        <v>-866.64999999999952</v>
      </c>
      <c r="H24" s="262">
        <v>-933.59</v>
      </c>
      <c r="I24" s="262">
        <v>-881.10000000000025</v>
      </c>
      <c r="J24" s="262" t="e">
        <f>'EERR Mensual $'!#REF!/'EERR Mensual US$'!$J$9</f>
        <v>#REF!</v>
      </c>
      <c r="K24" s="262" t="e">
        <f t="shared" si="0"/>
        <v>#REF!</v>
      </c>
      <c r="L24" s="301"/>
    </row>
    <row r="25" spans="1:12">
      <c r="A25" s="261" t="s">
        <v>1466</v>
      </c>
      <c r="B25" s="261" t="s">
        <v>39</v>
      </c>
      <c r="C25" s="305">
        <v>-4782.55</v>
      </c>
      <c r="D25" s="305">
        <v>-4435.8499999999995</v>
      </c>
      <c r="E25" s="305">
        <v>-4606.170000000001</v>
      </c>
      <c r="F25" s="305">
        <v>-4451.2399999999971</v>
      </c>
      <c r="G25" s="305">
        <v>-4651.4599999999982</v>
      </c>
      <c r="H25" s="305">
        <v>-5188.1599999999989</v>
      </c>
      <c r="I25" s="305">
        <v>-4693.8200000000024</v>
      </c>
      <c r="J25" s="262" t="e">
        <f>'EERR Mensual $'!#REF!/'EERR Mensual US$'!$J$9</f>
        <v>#REF!</v>
      </c>
      <c r="K25" s="262" t="e">
        <f t="shared" si="0"/>
        <v>#REF!</v>
      </c>
      <c r="L25" s="301"/>
    </row>
    <row r="26" spans="1:12">
      <c r="A26" s="304" t="s">
        <v>1467</v>
      </c>
      <c r="B26" s="304" t="s">
        <v>393</v>
      </c>
      <c r="C26" s="305">
        <v>0</v>
      </c>
      <c r="D26" s="305">
        <v>-1046.1199999999999</v>
      </c>
      <c r="E26" s="305">
        <v>-3094.9399999999996</v>
      </c>
      <c r="F26" s="305">
        <v>-6477.7300000000014</v>
      </c>
      <c r="G26" s="305">
        <v>-266.96999999999935</v>
      </c>
      <c r="H26" s="305">
        <v>-352.90999999999985</v>
      </c>
      <c r="I26" s="305">
        <v>-2362.92</v>
      </c>
      <c r="J26" s="262" t="e">
        <f>'EERR Mensual $'!#REF!/'EERR Mensual US$'!$J$9</f>
        <v>#REF!</v>
      </c>
      <c r="K26" s="262" t="e">
        <f t="shared" si="0"/>
        <v>#REF!</v>
      </c>
      <c r="L26" s="301"/>
    </row>
    <row r="27" spans="1:12">
      <c r="A27" s="304" t="s">
        <v>1468</v>
      </c>
      <c r="B27" s="304" t="s">
        <v>42</v>
      </c>
      <c r="C27" s="305">
        <v>-319.97000000000003</v>
      </c>
      <c r="D27" s="305">
        <v>-303.30999999999995</v>
      </c>
      <c r="E27" s="305">
        <v>-307.8599999999999</v>
      </c>
      <c r="F27" s="305">
        <v>-309.42000000000007</v>
      </c>
      <c r="G27" s="305">
        <v>-312.52</v>
      </c>
      <c r="H27" s="305">
        <v>-340.32000000000016</v>
      </c>
      <c r="I27" s="305">
        <v>-318.7800000000002</v>
      </c>
      <c r="J27" s="262" t="e">
        <f>'EERR Mensual $'!#REF!/'EERR Mensual US$'!$J$9</f>
        <v>#REF!</v>
      </c>
      <c r="K27" s="262" t="e">
        <f t="shared" si="0"/>
        <v>#REF!</v>
      </c>
      <c r="L27" s="301"/>
    </row>
    <row r="28" spans="1:12">
      <c r="A28" s="304" t="s">
        <v>1469</v>
      </c>
      <c r="B28" s="304" t="s">
        <v>43</v>
      </c>
      <c r="C28" s="305">
        <v>-535.70000000000005</v>
      </c>
      <c r="D28" s="305">
        <v>-505.53</v>
      </c>
      <c r="E28" s="305">
        <v>-526.97</v>
      </c>
      <c r="F28" s="305">
        <v>-546.91999999999985</v>
      </c>
      <c r="G28" s="305">
        <v>-549.6400000000001</v>
      </c>
      <c r="H28" s="305">
        <v>-589.12999999999988</v>
      </c>
      <c r="I28" s="305">
        <v>-644.39999999999941</v>
      </c>
      <c r="J28" s="262" t="e">
        <f>'EERR Mensual $'!#REF!/'EERR Mensual US$'!$J$9</f>
        <v>#REF!</v>
      </c>
      <c r="K28" s="262" t="e">
        <f t="shared" si="0"/>
        <v>#REF!</v>
      </c>
      <c r="L28" s="301"/>
    </row>
    <row r="29" spans="1:12">
      <c r="A29" s="304" t="s">
        <v>1470</v>
      </c>
      <c r="B29" s="304" t="s">
        <v>454</v>
      </c>
      <c r="C29" s="305">
        <v>-675.33999999999992</v>
      </c>
      <c r="D29" s="305">
        <v>-165.74</v>
      </c>
      <c r="E29" s="305">
        <v>-181.79999999999995</v>
      </c>
      <c r="F29" s="305">
        <v>-394.63000000000011</v>
      </c>
      <c r="G29" s="305">
        <v>-467.25</v>
      </c>
      <c r="H29" s="305">
        <v>-1146.6199999999997</v>
      </c>
      <c r="I29" s="305">
        <v>-485.51999999999975</v>
      </c>
      <c r="J29" s="262" t="e">
        <f>'EERR Mensual $'!#REF!/'EERR Mensual US$'!$J$9</f>
        <v>#REF!</v>
      </c>
      <c r="K29" s="262" t="e">
        <f t="shared" si="0"/>
        <v>#REF!</v>
      </c>
      <c r="L29" s="301"/>
    </row>
    <row r="30" spans="1:12">
      <c r="A30" s="304" t="s">
        <v>1545</v>
      </c>
      <c r="B30" s="304" t="s">
        <v>1471</v>
      </c>
      <c r="C30" s="305">
        <v>0</v>
      </c>
      <c r="D30" s="305">
        <v>0</v>
      </c>
      <c r="E30" s="305">
        <v>0</v>
      </c>
      <c r="F30" s="305">
        <v>0</v>
      </c>
      <c r="G30" s="305">
        <v>0</v>
      </c>
      <c r="H30" s="305">
        <v>0</v>
      </c>
      <c r="I30" s="305">
        <v>0</v>
      </c>
      <c r="J30" s="262" t="e">
        <f>'EERR Mensual $'!#REF!/'EERR Mensual US$'!$J$9</f>
        <v>#REF!</v>
      </c>
      <c r="K30" s="262" t="e">
        <f t="shared" si="0"/>
        <v>#REF!</v>
      </c>
      <c r="L30" s="301"/>
    </row>
    <row r="31" spans="1:12">
      <c r="A31" s="304" t="s">
        <v>1472</v>
      </c>
      <c r="B31" s="304" t="s">
        <v>340</v>
      </c>
      <c r="C31" s="305">
        <v>-321.58</v>
      </c>
      <c r="D31" s="305">
        <v>-1006.77</v>
      </c>
      <c r="E31" s="305">
        <v>0</v>
      </c>
      <c r="F31" s="305">
        <v>-22.359999999999843</v>
      </c>
      <c r="G31" s="305">
        <v>0</v>
      </c>
      <c r="H31" s="305">
        <v>0</v>
      </c>
      <c r="I31" s="305">
        <v>0</v>
      </c>
      <c r="J31" s="262" t="e">
        <f>'EERR Mensual $'!#REF!/'EERR Mensual US$'!$J$9</f>
        <v>#REF!</v>
      </c>
      <c r="K31" s="262" t="e">
        <f t="shared" si="0"/>
        <v>#REF!</v>
      </c>
      <c r="L31" s="301"/>
    </row>
    <row r="32" spans="1:12">
      <c r="A32" s="304" t="s">
        <v>1473</v>
      </c>
      <c r="B32" s="304" t="s">
        <v>311</v>
      </c>
      <c r="C32" s="305">
        <v>-874.80000000000007</v>
      </c>
      <c r="D32" s="305">
        <v>-451.4</v>
      </c>
      <c r="E32" s="305">
        <v>-427.56999999999982</v>
      </c>
      <c r="F32" s="305">
        <v>-1065.04</v>
      </c>
      <c r="G32" s="305">
        <v>-755.56000000000006</v>
      </c>
      <c r="H32" s="305">
        <v>-891.92000000000019</v>
      </c>
      <c r="I32" s="305">
        <v>-697.22000000000037</v>
      </c>
      <c r="J32" s="262" t="e">
        <f>'EERR Mensual $'!#REF!/'EERR Mensual US$'!$J$9</f>
        <v>#REF!</v>
      </c>
      <c r="K32" s="262" t="e">
        <f t="shared" si="0"/>
        <v>#REF!</v>
      </c>
      <c r="L32" s="301"/>
    </row>
    <row r="33" spans="1:12">
      <c r="A33" s="304" t="s">
        <v>1474</v>
      </c>
      <c r="B33" s="304" t="s">
        <v>45</v>
      </c>
      <c r="C33" s="305">
        <v>-3084.7599999999998</v>
      </c>
      <c r="D33" s="305">
        <v>-2273.94</v>
      </c>
      <c r="E33" s="305">
        <v>-2477.9</v>
      </c>
      <c r="F33" s="305">
        <v>-3372.5399999999995</v>
      </c>
      <c r="G33" s="305">
        <v>-3465.64</v>
      </c>
      <c r="H33" s="305">
        <v>-3181.5400000000013</v>
      </c>
      <c r="I33" s="305">
        <v>-3011.8300000000022</v>
      </c>
      <c r="J33" s="262" t="e">
        <f>'EERR Mensual $'!#REF!/'EERR Mensual US$'!$J$9</f>
        <v>#REF!</v>
      </c>
      <c r="K33" s="262" t="e">
        <f t="shared" si="0"/>
        <v>#REF!</v>
      </c>
      <c r="L33" s="301"/>
    </row>
    <row r="34" spans="1:12">
      <c r="A34" s="304" t="s">
        <v>1475</v>
      </c>
      <c r="B34" s="304" t="s">
        <v>394</v>
      </c>
      <c r="C34" s="305">
        <v>-12065.41</v>
      </c>
      <c r="D34" s="305">
        <v>-11527.530000000002</v>
      </c>
      <c r="E34" s="305">
        <v>-13219.04</v>
      </c>
      <c r="F34" s="305">
        <v>-16193.309999999998</v>
      </c>
      <c r="G34" s="305">
        <v>-18650.220000000008</v>
      </c>
      <c r="H34" s="305">
        <v>-18781.090000000004</v>
      </c>
      <c r="I34" s="305">
        <v>-17547.410000000011</v>
      </c>
      <c r="J34" s="262" t="e">
        <f>'EERR Mensual $'!#REF!/'EERR Mensual US$'!$J$9</f>
        <v>#REF!</v>
      </c>
      <c r="K34" s="262" t="e">
        <f t="shared" si="0"/>
        <v>#REF!</v>
      </c>
      <c r="L34" s="301"/>
    </row>
    <row r="35" spans="1:12">
      <c r="A35" s="304" t="s">
        <v>1476</v>
      </c>
      <c r="B35" s="304" t="s">
        <v>416</v>
      </c>
      <c r="C35" s="305">
        <v>-3937.3499999999995</v>
      </c>
      <c r="D35" s="305">
        <v>-3458.74</v>
      </c>
      <c r="E35" s="305">
        <v>-3840.9800000000005</v>
      </c>
      <c r="F35" s="305">
        <v>-5246.12</v>
      </c>
      <c r="G35" s="305">
        <v>-5833.9800000000005</v>
      </c>
      <c r="H35" s="305">
        <v>-5982.0500000000038</v>
      </c>
      <c r="I35" s="305">
        <v>-5554.28</v>
      </c>
      <c r="J35" s="262" t="e">
        <f>'EERR Mensual $'!#REF!/'EERR Mensual US$'!$J$9</f>
        <v>#REF!</v>
      </c>
      <c r="K35" s="262" t="e">
        <f t="shared" si="0"/>
        <v>#REF!</v>
      </c>
      <c r="L35" s="301"/>
    </row>
    <row r="36" spans="1:12">
      <c r="A36" s="304" t="s">
        <v>1477</v>
      </c>
      <c r="B36" s="304" t="s">
        <v>417</v>
      </c>
      <c r="C36" s="305">
        <v>-477.13999999999993</v>
      </c>
      <c r="D36" s="305">
        <v>-35.46999999999997</v>
      </c>
      <c r="E36" s="305">
        <v>-232.7</v>
      </c>
      <c r="F36" s="305">
        <v>-797.13000000000011</v>
      </c>
      <c r="G36" s="305">
        <v>-702.31</v>
      </c>
      <c r="H36" s="305">
        <v>-1198.3800000000001</v>
      </c>
      <c r="I36" s="305">
        <v>-710.43000000000029</v>
      </c>
      <c r="J36" s="262" t="e">
        <f>'EERR Mensual $'!#REF!/'EERR Mensual US$'!$J$9</f>
        <v>#REF!</v>
      </c>
      <c r="K36" s="262" t="e">
        <f t="shared" si="0"/>
        <v>#REF!</v>
      </c>
      <c r="L36" s="301"/>
    </row>
    <row r="37" spans="1:12">
      <c r="A37" s="304" t="s">
        <v>1478</v>
      </c>
      <c r="B37" s="304" t="s">
        <v>418</v>
      </c>
      <c r="C37" s="305">
        <v>-2449.31</v>
      </c>
      <c r="D37" s="305">
        <v>-1786.9600000000005</v>
      </c>
      <c r="E37" s="305">
        <v>-1973.3199999999993</v>
      </c>
      <c r="F37" s="305">
        <v>-2966.61</v>
      </c>
      <c r="G37" s="305">
        <v>-1199.7800000000007</v>
      </c>
      <c r="H37" s="305">
        <v>-3273.4199999999996</v>
      </c>
      <c r="I37" s="305">
        <v>-3259.8399999999997</v>
      </c>
      <c r="J37" s="262" t="e">
        <f>'EERR Mensual $'!#REF!/'EERR Mensual US$'!$J$9</f>
        <v>#REF!</v>
      </c>
      <c r="K37" s="262" t="e">
        <f t="shared" si="0"/>
        <v>#REF!</v>
      </c>
      <c r="L37" s="301"/>
    </row>
    <row r="38" spans="1:12">
      <c r="A38" s="304" t="s">
        <v>1479</v>
      </c>
      <c r="B38" s="304" t="s">
        <v>419</v>
      </c>
      <c r="C38" s="305">
        <v>-684.83</v>
      </c>
      <c r="D38" s="305">
        <v>-735.11</v>
      </c>
      <c r="E38" s="305">
        <v>0</v>
      </c>
      <c r="F38" s="305">
        <v>-645.70000000000016</v>
      </c>
      <c r="G38" s="305">
        <v>-1107.0299999999997</v>
      </c>
      <c r="H38" s="305">
        <v>-478.61999999999978</v>
      </c>
      <c r="I38" s="305">
        <v>-660.35000000000025</v>
      </c>
      <c r="J38" s="262" t="e">
        <f>'EERR Mensual $'!#REF!/'EERR Mensual US$'!$J$9</f>
        <v>#REF!</v>
      </c>
      <c r="K38" s="262" t="e">
        <f t="shared" si="0"/>
        <v>#REF!</v>
      </c>
      <c r="L38" s="301"/>
    </row>
    <row r="39" spans="1:12">
      <c r="A39" s="261" t="s">
        <v>1480</v>
      </c>
      <c r="B39" s="261" t="s">
        <v>420</v>
      </c>
      <c r="C39" s="305">
        <v>-679.12000000000012</v>
      </c>
      <c r="D39" s="305">
        <v>-363.60000000000014</v>
      </c>
      <c r="E39" s="305">
        <v>-334.49</v>
      </c>
      <c r="F39" s="305">
        <v>-942.78999999999974</v>
      </c>
      <c r="G39" s="305">
        <v>-2139.63</v>
      </c>
      <c r="H39" s="305">
        <v>-983.99999999999977</v>
      </c>
      <c r="I39" s="305">
        <v>-764.58999999999992</v>
      </c>
      <c r="J39" s="262" t="e">
        <f>'EERR Mensual $'!#REF!/'EERR Mensual US$'!$J$9</f>
        <v>#REF!</v>
      </c>
      <c r="K39" s="262" t="e">
        <f t="shared" si="0"/>
        <v>#REF!</v>
      </c>
      <c r="L39" s="301"/>
    </row>
    <row r="40" spans="1:12">
      <c r="A40" s="261" t="s">
        <v>1481</v>
      </c>
      <c r="B40" s="261" t="s">
        <v>1482</v>
      </c>
      <c r="C40" s="305"/>
      <c r="D40" s="305"/>
      <c r="E40" s="305"/>
      <c r="F40" s="305"/>
      <c r="G40" s="305"/>
      <c r="H40" s="305"/>
      <c r="I40" s="305"/>
      <c r="J40" s="262" t="e">
        <f>'EERR Mensual $'!#REF!/'EERR Mensual US$'!$J$9</f>
        <v>#REF!</v>
      </c>
      <c r="K40" s="262" t="e">
        <f t="shared" si="0"/>
        <v>#REF!</v>
      </c>
      <c r="L40" s="301"/>
    </row>
    <row r="41" spans="1:12">
      <c r="A41" s="261" t="s">
        <v>1483</v>
      </c>
      <c r="B41" s="261" t="s">
        <v>423</v>
      </c>
      <c r="C41" s="262">
        <v>-557.26</v>
      </c>
      <c r="D41" s="262">
        <v>-496.18000000000006</v>
      </c>
      <c r="E41" s="262">
        <v>-546.09000000000015</v>
      </c>
      <c r="F41" s="262">
        <v>-780.91999999999962</v>
      </c>
      <c r="G41" s="262">
        <v>-825.81</v>
      </c>
      <c r="H41" s="262">
        <v>-822.45000000000027</v>
      </c>
      <c r="I41" s="262">
        <v>-730.56999999999971</v>
      </c>
      <c r="J41" s="262" t="e">
        <f>'EERR Mensual $'!#REF!/'EERR Mensual US$'!$J$9</f>
        <v>#REF!</v>
      </c>
      <c r="K41" s="262" t="e">
        <f t="shared" si="0"/>
        <v>#REF!</v>
      </c>
      <c r="L41" s="301"/>
    </row>
    <row r="42" spans="1:12">
      <c r="A42" s="261" t="s">
        <v>1484</v>
      </c>
      <c r="B42" s="261" t="s">
        <v>424</v>
      </c>
      <c r="C42" s="262">
        <v>-189.07</v>
      </c>
      <c r="D42" s="262">
        <v>-166.98000000000002</v>
      </c>
      <c r="E42" s="262">
        <v>-182.67000000000002</v>
      </c>
      <c r="F42" s="262">
        <v>-249.75999999999993</v>
      </c>
      <c r="G42" s="262">
        <v>-275.80999999999989</v>
      </c>
      <c r="H42" s="262">
        <v>-285.50999999999993</v>
      </c>
      <c r="I42" s="262">
        <v>-265.01999999999992</v>
      </c>
      <c r="J42" s="262" t="e">
        <f>'EERR Mensual $'!#REF!/'EERR Mensual US$'!$J$9</f>
        <v>#REF!</v>
      </c>
      <c r="K42" s="262" t="e">
        <f t="shared" si="0"/>
        <v>#REF!</v>
      </c>
      <c r="L42" s="301"/>
    </row>
    <row r="43" spans="1:12">
      <c r="A43" s="261" t="s">
        <v>1485</v>
      </c>
      <c r="B43" s="261" t="s">
        <v>425</v>
      </c>
      <c r="C43" s="262">
        <v>-332.03000000000003</v>
      </c>
      <c r="D43" s="262">
        <v>-300.74999999999994</v>
      </c>
      <c r="E43" s="262">
        <v>-324.07000000000011</v>
      </c>
      <c r="F43" s="262">
        <v>-462.83999999999986</v>
      </c>
      <c r="G43" s="262">
        <v>-489.93</v>
      </c>
      <c r="H43" s="262">
        <v>-495.56999999999988</v>
      </c>
      <c r="I43" s="262">
        <v>-535.75000000000023</v>
      </c>
      <c r="J43" s="262" t="e">
        <f>'EERR Mensual $'!#REF!/'EERR Mensual US$'!$J$9</f>
        <v>#REF!</v>
      </c>
      <c r="K43" s="262" t="e">
        <f t="shared" si="0"/>
        <v>#REF!</v>
      </c>
      <c r="L43" s="301"/>
    </row>
    <row r="44" spans="1:12">
      <c r="A44" s="304" t="s">
        <v>1486</v>
      </c>
      <c r="B44" s="304" t="s">
        <v>1487</v>
      </c>
      <c r="C44" s="305">
        <v>0</v>
      </c>
      <c r="D44" s="305">
        <v>0</v>
      </c>
      <c r="E44" s="305">
        <v>-50.57</v>
      </c>
      <c r="F44" s="305">
        <v>-132.07</v>
      </c>
      <c r="G44" s="305">
        <v>-347.37</v>
      </c>
      <c r="H44" s="305">
        <v>197.52000000000015</v>
      </c>
      <c r="I44" s="305">
        <v>-326</v>
      </c>
      <c r="J44" s="262" t="e">
        <f>'EERR Mensual $'!#REF!/'EERR Mensual US$'!$J$9</f>
        <v>#REF!</v>
      </c>
      <c r="K44" s="262" t="e">
        <f t="shared" si="0"/>
        <v>#REF!</v>
      </c>
      <c r="L44" s="301"/>
    </row>
    <row r="45" spans="1:12">
      <c r="A45" s="261" t="s">
        <v>1488</v>
      </c>
      <c r="B45" s="261" t="s">
        <v>1305</v>
      </c>
      <c r="C45" s="262">
        <v>-1029.5399999999997</v>
      </c>
      <c r="D45" s="262">
        <v>-659.43000000000006</v>
      </c>
      <c r="E45" s="262">
        <v>-1208.2500000000002</v>
      </c>
      <c r="F45" s="262">
        <v>-1557.2200000000005</v>
      </c>
      <c r="G45" s="262">
        <v>-1705.700000000001</v>
      </c>
      <c r="H45" s="262">
        <v>-1422.9800000000007</v>
      </c>
      <c r="I45" s="262">
        <v>-2060.5399999999991</v>
      </c>
      <c r="J45" s="262" t="e">
        <f>'EERR Mensual $'!#REF!/'EERR Mensual US$'!$J$9</f>
        <v>#REF!</v>
      </c>
      <c r="K45" s="262" t="e">
        <f t="shared" si="0"/>
        <v>#REF!</v>
      </c>
      <c r="L45" s="301"/>
    </row>
    <row r="46" spans="1:12">
      <c r="A46" s="261" t="s">
        <v>1489</v>
      </c>
      <c r="B46" s="261" t="s">
        <v>1306</v>
      </c>
      <c r="C46" s="262">
        <v>0</v>
      </c>
      <c r="D46" s="262">
        <v>0</v>
      </c>
      <c r="E46" s="262">
        <v>0</v>
      </c>
      <c r="F46" s="262">
        <v>0</v>
      </c>
      <c r="G46" s="262">
        <v>-1029.6500000000001</v>
      </c>
      <c r="H46" s="262">
        <v>-4041.179999999998</v>
      </c>
      <c r="I46" s="262">
        <v>0</v>
      </c>
      <c r="J46" s="262" t="e">
        <f>'EERR Mensual $'!#REF!/'EERR Mensual US$'!$J$9</f>
        <v>#REF!</v>
      </c>
      <c r="K46" s="262" t="e">
        <f t="shared" si="0"/>
        <v>#REF!</v>
      </c>
      <c r="L46" s="301"/>
    </row>
    <row r="47" spans="1:12">
      <c r="A47" s="261" t="s">
        <v>1490</v>
      </c>
      <c r="B47" s="261" t="s">
        <v>1307</v>
      </c>
      <c r="C47" s="262">
        <v>0</v>
      </c>
      <c r="D47" s="262">
        <v>-950.60999999999967</v>
      </c>
      <c r="E47" s="262">
        <v>-618.51</v>
      </c>
      <c r="F47" s="262">
        <v>0</v>
      </c>
      <c r="G47" s="262">
        <v>-960.97999999999979</v>
      </c>
      <c r="H47" s="262">
        <v>0</v>
      </c>
      <c r="I47" s="262">
        <v>0</v>
      </c>
      <c r="J47" s="262" t="e">
        <f>'EERR Mensual $'!#REF!/'EERR Mensual US$'!$J$9</f>
        <v>#REF!</v>
      </c>
      <c r="K47" s="262" t="e">
        <f t="shared" si="0"/>
        <v>#REF!</v>
      </c>
      <c r="L47" s="301"/>
    </row>
    <row r="48" spans="1:12">
      <c r="A48" s="304" t="s">
        <v>1491</v>
      </c>
      <c r="B48" s="304" t="s">
        <v>40</v>
      </c>
      <c r="C48" s="305">
        <v>-1578.29</v>
      </c>
      <c r="D48" s="305">
        <v>-1545.87</v>
      </c>
      <c r="E48" s="305">
        <v>-1557.0499999999993</v>
      </c>
      <c r="F48" s="305">
        <v>-1490.3099999999995</v>
      </c>
      <c r="G48" s="305">
        <v>-1475.63</v>
      </c>
      <c r="H48" s="305">
        <v>-1592.5700000000006</v>
      </c>
      <c r="I48" s="305">
        <v>-1477.3500000000013</v>
      </c>
      <c r="J48" s="262" t="e">
        <f>'EERR Mensual $'!#REF!/'EERR Mensual US$'!$J$9</f>
        <v>#REF!</v>
      </c>
      <c r="K48" s="262" t="e">
        <f t="shared" si="0"/>
        <v>#REF!</v>
      </c>
      <c r="L48" s="301"/>
    </row>
    <row r="49" spans="1:12">
      <c r="A49" s="304" t="s">
        <v>1492</v>
      </c>
      <c r="B49" s="304" t="s">
        <v>41</v>
      </c>
      <c r="C49" s="305">
        <v>-1578.29</v>
      </c>
      <c r="D49" s="305">
        <v>-1545.87</v>
      </c>
      <c r="E49" s="305">
        <v>-1557.0499999999993</v>
      </c>
      <c r="F49" s="305">
        <v>-1490.3099999999995</v>
      </c>
      <c r="G49" s="305">
        <v>-1475.63</v>
      </c>
      <c r="H49" s="305">
        <v>-1592.5700000000006</v>
      </c>
      <c r="I49" s="305">
        <v>-1477.3500000000013</v>
      </c>
      <c r="J49" s="262" t="e">
        <f>'EERR Mensual $'!#REF!/'EERR Mensual US$'!$J$9</f>
        <v>#REF!</v>
      </c>
      <c r="K49" s="262" t="e">
        <f t="shared" si="0"/>
        <v>#REF!</v>
      </c>
      <c r="L49" s="301"/>
    </row>
    <row r="50" spans="1:12">
      <c r="A50" s="304" t="s">
        <v>1493</v>
      </c>
      <c r="B50" s="304" t="s">
        <v>804</v>
      </c>
      <c r="C50" s="305">
        <v>0</v>
      </c>
      <c r="D50" s="305">
        <v>0</v>
      </c>
      <c r="E50" s="305">
        <v>0</v>
      </c>
      <c r="F50" s="305">
        <v>0</v>
      </c>
      <c r="G50" s="305">
        <v>0</v>
      </c>
      <c r="H50" s="305">
        <v>0</v>
      </c>
      <c r="I50" s="305">
        <v>-5865.62</v>
      </c>
      <c r="J50" s="262" t="e">
        <f>'EERR Mensual $'!#REF!/'EERR Mensual US$'!$J$9</f>
        <v>#REF!</v>
      </c>
      <c r="K50" s="262" t="e">
        <f t="shared" si="0"/>
        <v>#REF!</v>
      </c>
      <c r="L50" s="301"/>
    </row>
    <row r="51" spans="1:12">
      <c r="A51" s="304" t="s">
        <v>1494</v>
      </c>
      <c r="B51" s="304" t="s">
        <v>44</v>
      </c>
      <c r="C51" s="305">
        <v>-530.76</v>
      </c>
      <c r="D51" s="305">
        <v>-291.98</v>
      </c>
      <c r="E51" s="305">
        <v>-1719.0900000000008</v>
      </c>
      <c r="F51" s="305">
        <v>-2660.0500000000038</v>
      </c>
      <c r="G51" s="305">
        <v>-2170.8600000000006</v>
      </c>
      <c r="H51" s="305">
        <v>-185.13000000000011</v>
      </c>
      <c r="I51" s="305">
        <v>-2440.0800000000017</v>
      </c>
      <c r="J51" s="262" t="e">
        <f>'EERR Mensual $'!#REF!/'EERR Mensual US$'!$J$9</f>
        <v>#REF!</v>
      </c>
      <c r="K51" s="262" t="e">
        <f t="shared" si="0"/>
        <v>#REF!</v>
      </c>
      <c r="L51" s="301"/>
    </row>
    <row r="52" spans="1:12">
      <c r="A52" s="304" t="s">
        <v>1495</v>
      </c>
      <c r="B52" s="304" t="s">
        <v>421</v>
      </c>
      <c r="C52" s="305">
        <v>-744.8900000000001</v>
      </c>
      <c r="D52" s="305">
        <v>-771.37000000000012</v>
      </c>
      <c r="E52" s="305">
        <v>-841.11999999999989</v>
      </c>
      <c r="F52" s="305">
        <v>-979.02</v>
      </c>
      <c r="G52" s="305">
        <v>-1097.0099999999998</v>
      </c>
      <c r="H52" s="305">
        <v>-1121.4899999999993</v>
      </c>
      <c r="I52" s="305">
        <v>-1109.4699999999989</v>
      </c>
      <c r="J52" s="262" t="e">
        <f>'EERR Mensual $'!#REF!/'EERR Mensual US$'!$J$9</f>
        <v>#REF!</v>
      </c>
      <c r="K52" s="262" t="e">
        <f t="shared" si="0"/>
        <v>#REF!</v>
      </c>
      <c r="L52" s="301"/>
    </row>
    <row r="53" spans="1:12">
      <c r="A53" s="304" t="s">
        <v>1496</v>
      </c>
      <c r="B53" s="304" t="s">
        <v>422</v>
      </c>
      <c r="C53" s="305">
        <v>-744.8900000000001</v>
      </c>
      <c r="D53" s="305">
        <v>-771.37000000000012</v>
      </c>
      <c r="E53" s="305">
        <v>-841.11999999999989</v>
      </c>
      <c r="F53" s="305">
        <v>-979.02</v>
      </c>
      <c r="G53" s="305">
        <v>-1097.0099999999998</v>
      </c>
      <c r="H53" s="305">
        <v>-1121.4899999999993</v>
      </c>
      <c r="I53" s="305">
        <v>-1109.4699999999989</v>
      </c>
      <c r="J53" s="262" t="e">
        <f>'EERR Mensual $'!#REF!/'EERR Mensual US$'!$J$9</f>
        <v>#REF!</v>
      </c>
      <c r="K53" s="262" t="e">
        <f t="shared" si="0"/>
        <v>#REF!</v>
      </c>
      <c r="L53" s="301"/>
    </row>
    <row r="54" spans="1:12">
      <c r="A54" s="261" t="s">
        <v>1497</v>
      </c>
      <c r="B54" s="261" t="s">
        <v>46</v>
      </c>
      <c r="C54" s="262">
        <v>-2326.8799999999997</v>
      </c>
      <c r="D54" s="262">
        <v>-1487.27</v>
      </c>
      <c r="E54" s="262">
        <v>-2526.5400000000004</v>
      </c>
      <c r="F54" s="262">
        <v>36.160000000000309</v>
      </c>
      <c r="G54" s="262">
        <v>-1599.9499999999989</v>
      </c>
      <c r="H54" s="262">
        <v>-3101.9500000000003</v>
      </c>
      <c r="I54" s="262">
        <v>-949.70000000000073</v>
      </c>
      <c r="J54" s="262" t="e">
        <f>'EERR Mensual $'!#REF!/'EERR Mensual US$'!$J$9</f>
        <v>#REF!</v>
      </c>
      <c r="K54" s="262" t="e">
        <f t="shared" si="0"/>
        <v>#REF!</v>
      </c>
      <c r="L54" s="301"/>
    </row>
    <row r="55" spans="1:12">
      <c r="A55" s="261" t="s">
        <v>1498</v>
      </c>
      <c r="B55" s="261" t="s">
        <v>388</v>
      </c>
      <c r="C55" s="262">
        <v>-2046.61</v>
      </c>
      <c r="D55" s="262">
        <v>-2012.9400000000003</v>
      </c>
      <c r="E55" s="262">
        <v>-7961.670000000001</v>
      </c>
      <c r="F55" s="262">
        <v>-2115.2099999999991</v>
      </c>
      <c r="G55" s="262">
        <v>-2098.3899999999994</v>
      </c>
      <c r="H55" s="262">
        <v>-2086.8499999999985</v>
      </c>
      <c r="I55" s="262">
        <v>-2116.0800000000017</v>
      </c>
      <c r="J55" s="262" t="e">
        <f>'EERR Mensual $'!#REF!/'EERR Mensual US$'!$J$9</f>
        <v>#REF!</v>
      </c>
      <c r="K55" s="262" t="e">
        <f t="shared" si="0"/>
        <v>#REF!</v>
      </c>
      <c r="L55" s="301"/>
    </row>
    <row r="56" spans="1:12">
      <c r="A56" s="261" t="s">
        <v>1499</v>
      </c>
      <c r="B56" s="261" t="s">
        <v>328</v>
      </c>
      <c r="C56" s="262">
        <v>-1925.8500000000001</v>
      </c>
      <c r="D56" s="262">
        <v>-6089.92</v>
      </c>
      <c r="E56" s="262">
        <v>-6868.51</v>
      </c>
      <c r="F56" s="262">
        <v>9941.23</v>
      </c>
      <c r="G56" s="262">
        <v>-198.94999999999914</v>
      </c>
      <c r="H56" s="262">
        <v>-817.28000000000088</v>
      </c>
      <c r="I56" s="262">
        <v>-207.60999999999899</v>
      </c>
      <c r="J56" s="262" t="e">
        <f>'EERR Mensual $'!#REF!/'EERR Mensual US$'!$J$9</f>
        <v>#REF!</v>
      </c>
      <c r="K56" s="262" t="e">
        <f t="shared" si="0"/>
        <v>#REF!</v>
      </c>
      <c r="L56" s="301"/>
    </row>
    <row r="57" spans="1:12">
      <c r="A57" s="261" t="s">
        <v>1500</v>
      </c>
      <c r="B57" s="261" t="s">
        <v>395</v>
      </c>
      <c r="C57" s="262">
        <v>-3055.36</v>
      </c>
      <c r="D57" s="262">
        <v>-2704.94</v>
      </c>
      <c r="E57" s="262">
        <v>-2797.3599999999992</v>
      </c>
      <c r="F57" s="262">
        <v>-6105.5299999999988</v>
      </c>
      <c r="G57" s="262">
        <v>-4466.1200000000026</v>
      </c>
      <c r="H57" s="262">
        <v>-7230.5300000000025</v>
      </c>
      <c r="I57" s="262">
        <v>-3703.2000000000012</v>
      </c>
      <c r="J57" s="262" t="e">
        <f>'EERR Mensual $'!#REF!/'EERR Mensual US$'!$J$9</f>
        <v>#REF!</v>
      </c>
      <c r="K57" s="262" t="e">
        <f t="shared" si="0"/>
        <v>#REF!</v>
      </c>
      <c r="L57" s="301"/>
    </row>
    <row r="58" spans="1:12">
      <c r="A58" s="261" t="s">
        <v>1501</v>
      </c>
      <c r="B58" s="261" t="s">
        <v>310</v>
      </c>
      <c r="C58" s="262">
        <v>-65775.609999999971</v>
      </c>
      <c r="D58" s="262">
        <v>-47763.779999999984</v>
      </c>
      <c r="E58" s="262">
        <v>-61357.610000000015</v>
      </c>
      <c r="F58" s="262">
        <v>-52626.920000000013</v>
      </c>
      <c r="G58" s="262">
        <v>-62220.770000000019</v>
      </c>
      <c r="H58" s="262">
        <v>-62269.739999999991</v>
      </c>
      <c r="I58" s="262">
        <v>-63369.399999999965</v>
      </c>
      <c r="J58" s="262" t="e">
        <f>'EERR Mensual $'!#REF!/'EERR Mensual US$'!$J$9</f>
        <v>#REF!</v>
      </c>
      <c r="K58" s="262" t="e">
        <f t="shared" si="0"/>
        <v>#REF!</v>
      </c>
      <c r="L58" s="301"/>
    </row>
    <row r="59" spans="1:12">
      <c r="A59" s="261" t="s">
        <v>1502</v>
      </c>
      <c r="B59" s="261" t="s">
        <v>47</v>
      </c>
      <c r="C59" s="262">
        <v>-3154.99</v>
      </c>
      <c r="D59" s="262">
        <v>-3047.58</v>
      </c>
      <c r="E59" s="262">
        <v>-2993.0499999999993</v>
      </c>
      <c r="F59" s="262">
        <v>-3145.6100000000006</v>
      </c>
      <c r="G59" s="262">
        <v>-3474.9500000000007</v>
      </c>
      <c r="H59" s="262">
        <v>-3210.5299999999988</v>
      </c>
      <c r="I59" s="262">
        <v>-3335.5200000000004</v>
      </c>
      <c r="J59" s="262" t="e">
        <f>'EERR Mensual $'!#REF!/'EERR Mensual US$'!$J$9</f>
        <v>#REF!</v>
      </c>
      <c r="K59" s="262" t="e">
        <f t="shared" si="0"/>
        <v>#REF!</v>
      </c>
      <c r="L59" s="301"/>
    </row>
    <row r="60" spans="1:12">
      <c r="A60" s="261" t="s">
        <v>1503</v>
      </c>
      <c r="B60" s="261" t="s">
        <v>302</v>
      </c>
      <c r="C60" s="262">
        <v>-434.12</v>
      </c>
      <c r="D60" s="262">
        <v>-49.230000000000018</v>
      </c>
      <c r="E60" s="262">
        <v>-87.82000000000005</v>
      </c>
      <c r="F60" s="262">
        <v>-79.590000000000032</v>
      </c>
      <c r="G60" s="262">
        <v>-16.759999999999991</v>
      </c>
      <c r="H60" s="262">
        <v>0</v>
      </c>
      <c r="I60" s="262">
        <v>0</v>
      </c>
      <c r="J60" s="262" t="e">
        <f>'EERR Mensual $'!#REF!/'EERR Mensual US$'!$J$9</f>
        <v>#REF!</v>
      </c>
      <c r="K60" s="262" t="e">
        <f t="shared" si="0"/>
        <v>#REF!</v>
      </c>
      <c r="L60" s="301"/>
    </row>
    <row r="61" spans="1:12">
      <c r="A61" s="304" t="s">
        <v>1504</v>
      </c>
      <c r="B61" s="304" t="s">
        <v>303</v>
      </c>
      <c r="C61" s="305">
        <v>-2683.2000000000007</v>
      </c>
      <c r="D61" s="305">
        <v>-2609.9000000000005</v>
      </c>
      <c r="E61" s="305">
        <v>-3020.55</v>
      </c>
      <c r="F61" s="305">
        <v>-2748.2600000000039</v>
      </c>
      <c r="G61" s="305">
        <v>-2600.2500000000018</v>
      </c>
      <c r="H61" s="305">
        <v>-4367.8999999999987</v>
      </c>
      <c r="I61" s="305">
        <v>-4494.6800000000012</v>
      </c>
      <c r="J61" s="262" t="e">
        <f>'EERR Mensual $'!#REF!/'EERR Mensual US$'!$J$9</f>
        <v>#REF!</v>
      </c>
      <c r="K61" s="262" t="e">
        <f t="shared" si="0"/>
        <v>#REF!</v>
      </c>
      <c r="L61" s="301"/>
    </row>
    <row r="62" spans="1:12">
      <c r="A62" s="304" t="s">
        <v>1505</v>
      </c>
      <c r="B62" s="304" t="s">
        <v>312</v>
      </c>
      <c r="C62" s="305">
        <v>-4.3399999999994456</v>
      </c>
      <c r="D62" s="305">
        <v>-5.1299999999998196</v>
      </c>
      <c r="E62" s="305">
        <v>1.8700000000009283</v>
      </c>
      <c r="F62" s="305">
        <v>16.620000000000147</v>
      </c>
      <c r="G62" s="305">
        <v>-17.050000000000825</v>
      </c>
      <c r="H62" s="305">
        <v>0</v>
      </c>
      <c r="I62" s="305">
        <v>0</v>
      </c>
      <c r="J62" s="262" t="e">
        <f>'EERR Mensual $'!#REF!/'EERR Mensual US$'!$J$9</f>
        <v>#REF!</v>
      </c>
      <c r="K62" s="262" t="e">
        <f t="shared" si="0"/>
        <v>#REF!</v>
      </c>
      <c r="L62" s="301"/>
    </row>
    <row r="63" spans="1:12">
      <c r="A63" s="261" t="s">
        <v>1506</v>
      </c>
      <c r="B63" s="261" t="s">
        <v>48</v>
      </c>
      <c r="C63" s="262">
        <v>-468.00000000000006</v>
      </c>
      <c r="D63" s="262">
        <v>0</v>
      </c>
      <c r="E63" s="262">
        <v>0</v>
      </c>
      <c r="F63" s="262">
        <v>-51.390000000000043</v>
      </c>
      <c r="G63" s="262">
        <v>0</v>
      </c>
      <c r="H63" s="262">
        <v>-79.130000000000052</v>
      </c>
      <c r="I63" s="262">
        <v>-816.97999999999979</v>
      </c>
      <c r="J63" s="262" t="e">
        <f>'EERR Mensual $'!#REF!/'EERR Mensual US$'!$J$9</f>
        <v>#REF!</v>
      </c>
      <c r="K63" s="262" t="e">
        <f t="shared" si="0"/>
        <v>#REF!</v>
      </c>
      <c r="L63" s="301"/>
    </row>
    <row r="64" spans="1:12">
      <c r="A64" s="261" t="s">
        <v>1507</v>
      </c>
      <c r="B64" s="261" t="s">
        <v>805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-78.08</v>
      </c>
      <c r="J64" s="262" t="e">
        <f>'EERR Mensual $'!#REF!/'EERR Mensual US$'!$J$9</f>
        <v>#REF!</v>
      </c>
      <c r="K64" s="262" t="e">
        <f t="shared" si="0"/>
        <v>#REF!</v>
      </c>
      <c r="L64" s="301"/>
    </row>
    <row r="65" spans="1:12">
      <c r="A65" s="261" t="s">
        <v>1508</v>
      </c>
      <c r="B65" s="261" t="s">
        <v>806</v>
      </c>
      <c r="C65" s="262">
        <v>0</v>
      </c>
      <c r="D65" s="262">
        <v>0</v>
      </c>
      <c r="E65" s="262">
        <v>-3322.8</v>
      </c>
      <c r="F65" s="262">
        <v>-289.36000000000013</v>
      </c>
      <c r="G65" s="262">
        <v>-21.9699999999998</v>
      </c>
      <c r="H65" s="262">
        <v>-1639.29</v>
      </c>
      <c r="I65" s="262">
        <v>-112.05000000000018</v>
      </c>
      <c r="J65" s="262" t="e">
        <f>'EERR Mensual $'!#REF!/'EERR Mensual US$'!$J$9</f>
        <v>#REF!</v>
      </c>
      <c r="K65" s="262" t="e">
        <f t="shared" si="0"/>
        <v>#REF!</v>
      </c>
      <c r="L65" s="301"/>
    </row>
    <row r="66" spans="1:12">
      <c r="A66" s="261" t="s">
        <v>1509</v>
      </c>
      <c r="B66" s="261" t="s">
        <v>49</v>
      </c>
      <c r="C66" s="262">
        <v>-2117.0200000000004</v>
      </c>
      <c r="D66" s="262">
        <v>-2090.08</v>
      </c>
      <c r="E66" s="262">
        <v>-1809.4300000000003</v>
      </c>
      <c r="F66" s="262">
        <v>18.020000000000437</v>
      </c>
      <c r="G66" s="262">
        <v>-1715.6599999999999</v>
      </c>
      <c r="H66" s="262">
        <v>-664.53000000000065</v>
      </c>
      <c r="I66" s="262">
        <v>-935.54000000000087</v>
      </c>
      <c r="J66" s="262" t="e">
        <f>'EERR Mensual $'!#REF!/'EERR Mensual US$'!$J$9</f>
        <v>#REF!</v>
      </c>
      <c r="K66" s="262" t="e">
        <f t="shared" si="0"/>
        <v>#REF!</v>
      </c>
      <c r="L66" s="301"/>
    </row>
    <row r="67" spans="1:12">
      <c r="A67" s="261" t="s">
        <v>1510</v>
      </c>
      <c r="B67" s="261" t="s">
        <v>50</v>
      </c>
      <c r="C67" s="262">
        <v>-746.30000000000007</v>
      </c>
      <c r="D67" s="262">
        <v>-1850.349999999999</v>
      </c>
      <c r="E67" s="262">
        <v>-868.83</v>
      </c>
      <c r="F67" s="262">
        <v>-2624.57</v>
      </c>
      <c r="G67" s="262">
        <v>-1747.1600000000003</v>
      </c>
      <c r="H67" s="262">
        <v>-1024.860000000001</v>
      </c>
      <c r="I67" s="262">
        <v>-2388.7000000000012</v>
      </c>
      <c r="J67" s="262" t="e">
        <f>'EERR Mensual $'!#REF!/'EERR Mensual US$'!$J$9</f>
        <v>#REF!</v>
      </c>
      <c r="K67" s="262" t="e">
        <f t="shared" si="0"/>
        <v>#REF!</v>
      </c>
      <c r="L67" s="301"/>
    </row>
    <row r="68" spans="1:12">
      <c r="A68" s="261" t="s">
        <v>1511</v>
      </c>
      <c r="B68" s="261" t="s">
        <v>807</v>
      </c>
      <c r="C68" s="262">
        <v>0</v>
      </c>
      <c r="D68" s="262">
        <v>0</v>
      </c>
      <c r="E68" s="262">
        <v>0</v>
      </c>
      <c r="F68" s="262">
        <v>0</v>
      </c>
      <c r="G68" s="262">
        <v>-6.9999999999996732E-2</v>
      </c>
      <c r="H68" s="262">
        <v>0</v>
      </c>
      <c r="I68" s="262">
        <v>0</v>
      </c>
      <c r="J68" s="262" t="e">
        <f>'EERR Mensual $'!#REF!/'EERR Mensual US$'!$J$9</f>
        <v>#REF!</v>
      </c>
      <c r="K68" s="262" t="e">
        <f t="shared" si="0"/>
        <v>#REF!</v>
      </c>
      <c r="L68" s="301"/>
    </row>
    <row r="69" spans="1:12">
      <c r="A69" s="261" t="s">
        <v>1512</v>
      </c>
      <c r="B69" s="261" t="s">
        <v>51</v>
      </c>
      <c r="C69" s="262">
        <v>-600.66999999999985</v>
      </c>
      <c r="D69" s="262">
        <v>-480.20000000000005</v>
      </c>
      <c r="E69" s="262">
        <v>-872.62000000000012</v>
      </c>
      <c r="F69" s="262">
        <v>-671.2</v>
      </c>
      <c r="G69" s="262">
        <v>-554.58000000000061</v>
      </c>
      <c r="H69" s="262">
        <v>-549.00000000000068</v>
      </c>
      <c r="I69" s="262">
        <v>-455.24999999999886</v>
      </c>
      <c r="J69" s="262" t="e">
        <f>'EERR Mensual $'!#REF!/'EERR Mensual US$'!$J$9</f>
        <v>#REF!</v>
      </c>
      <c r="K69" s="262" t="e">
        <f t="shared" si="0"/>
        <v>#REF!</v>
      </c>
      <c r="L69" s="301"/>
    </row>
    <row r="70" spans="1:12">
      <c r="A70" s="261" t="s">
        <v>1513</v>
      </c>
      <c r="B70" s="261" t="s">
        <v>808</v>
      </c>
      <c r="C70" s="262">
        <v>0</v>
      </c>
      <c r="D70" s="262">
        <v>0</v>
      </c>
      <c r="E70" s="262">
        <v>12.829999999999984</v>
      </c>
      <c r="F70" s="262">
        <v>0</v>
      </c>
      <c r="G70" s="262">
        <v>0</v>
      </c>
      <c r="H70" s="262">
        <v>0</v>
      </c>
      <c r="I70" s="262">
        <v>0</v>
      </c>
      <c r="J70" s="262" t="e">
        <f>'EERR Mensual $'!#REF!/'EERR Mensual US$'!$J$9</f>
        <v>#REF!</v>
      </c>
      <c r="K70" s="262" t="e">
        <f t="shared" si="0"/>
        <v>#REF!</v>
      </c>
      <c r="L70" s="301"/>
    </row>
    <row r="71" spans="1:12">
      <c r="A71" s="261" t="s">
        <v>1514</v>
      </c>
      <c r="B71" s="261" t="s">
        <v>52</v>
      </c>
      <c r="C71" s="262">
        <v>-375.23000000000638</v>
      </c>
      <c r="D71" s="262">
        <v>-39.129999999999995</v>
      </c>
      <c r="E71" s="262">
        <v>-35.760000000000218</v>
      </c>
      <c r="F71" s="262">
        <v>-85.449999999998909</v>
      </c>
      <c r="G71" s="262">
        <v>-39.450000000000045</v>
      </c>
      <c r="H71" s="262">
        <v>-161.89999999999998</v>
      </c>
      <c r="I71" s="262">
        <v>-38.889999999999986</v>
      </c>
      <c r="J71" s="262" t="e">
        <f>'EERR Mensual $'!#REF!/'EERR Mensual US$'!$J$9</f>
        <v>#REF!</v>
      </c>
      <c r="K71" s="262" t="e">
        <f t="shared" si="0"/>
        <v>#REF!</v>
      </c>
      <c r="L71" s="301"/>
    </row>
    <row r="72" spans="1:12">
      <c r="A72" s="261" t="s">
        <v>1515</v>
      </c>
      <c r="B72" s="261" t="s">
        <v>436</v>
      </c>
      <c r="C72" s="262">
        <v>-535.32999999999993</v>
      </c>
      <c r="D72" s="262">
        <v>-113.83000000000004</v>
      </c>
      <c r="E72" s="262">
        <v>-142.56000000000006</v>
      </c>
      <c r="F72" s="262">
        <v>-596.20000000000027</v>
      </c>
      <c r="G72" s="262">
        <v>-195.77999999999975</v>
      </c>
      <c r="H72" s="262">
        <v>-174.84999999999991</v>
      </c>
      <c r="I72" s="262">
        <v>-420.10000000000025</v>
      </c>
      <c r="J72" s="262" t="e">
        <f>'EERR Mensual $'!#REF!/'EERR Mensual US$'!$J$9</f>
        <v>#REF!</v>
      </c>
      <c r="K72" s="262" t="e">
        <f t="shared" si="0"/>
        <v>#REF!</v>
      </c>
      <c r="L72" s="301"/>
    </row>
    <row r="73" spans="1:12">
      <c r="A73" s="261" t="s">
        <v>1516</v>
      </c>
      <c r="B73" s="261" t="s">
        <v>53</v>
      </c>
      <c r="C73" s="262">
        <v>-3666.8900000000008</v>
      </c>
      <c r="D73" s="262">
        <v>-3560.2700000000018</v>
      </c>
      <c r="E73" s="262">
        <v>-3549.8399999999988</v>
      </c>
      <c r="F73" s="262">
        <v>-3238.7799999999993</v>
      </c>
      <c r="G73" s="262">
        <v>-4492.3699999999972</v>
      </c>
      <c r="H73" s="262">
        <v>-3792.8000000000015</v>
      </c>
      <c r="I73" s="262">
        <v>-3859.0699999999983</v>
      </c>
      <c r="J73" s="262" t="e">
        <f>'EERR Mensual $'!#REF!/'EERR Mensual US$'!$J$9</f>
        <v>#REF!</v>
      </c>
      <c r="K73" s="262" t="e">
        <f t="shared" si="0"/>
        <v>#REF!</v>
      </c>
      <c r="L73" s="301"/>
    </row>
    <row r="74" spans="1:12">
      <c r="A74" s="261" t="s">
        <v>1517</v>
      </c>
      <c r="B74" s="261" t="s">
        <v>435</v>
      </c>
      <c r="C74" s="262">
        <v>3.2299999999999898</v>
      </c>
      <c r="D74" s="262">
        <v>-15.579999999999984</v>
      </c>
      <c r="E74" s="262">
        <v>-3.5527136788005009E-15</v>
      </c>
      <c r="F74" s="262">
        <v>-1.5899999999999981</v>
      </c>
      <c r="G74" s="262">
        <v>-200.63999999999987</v>
      </c>
      <c r="H74" s="262">
        <v>-3322.28</v>
      </c>
      <c r="I74" s="262">
        <v>-5.8619775700208265E-14</v>
      </c>
      <c r="J74" s="262" t="e">
        <f>'EERR Mensual $'!#REF!/'EERR Mensual US$'!$J$9</f>
        <v>#REF!</v>
      </c>
      <c r="K74" s="262" t="e">
        <f t="shared" si="0"/>
        <v>#REF!</v>
      </c>
      <c r="L74" s="301"/>
    </row>
    <row r="75" spans="1:12">
      <c r="A75" s="261" t="s">
        <v>1518</v>
      </c>
      <c r="B75" s="261" t="s">
        <v>434</v>
      </c>
      <c r="C75" s="262">
        <v>-1822.69</v>
      </c>
      <c r="D75" s="262">
        <v>0</v>
      </c>
      <c r="E75" s="262">
        <v>0</v>
      </c>
      <c r="F75" s="262">
        <v>-202.65000000000009</v>
      </c>
      <c r="G75" s="262">
        <v>-2153.3700000000008</v>
      </c>
      <c r="H75" s="262">
        <v>0</v>
      </c>
      <c r="I75" s="262">
        <v>0</v>
      </c>
      <c r="J75" s="262" t="e">
        <f>'EERR Mensual $'!#REF!/'EERR Mensual US$'!$J$9</f>
        <v>#REF!</v>
      </c>
      <c r="K75" s="262" t="e">
        <f t="shared" ref="K75:K89" si="1">SUM(C75:J75)</f>
        <v>#REF!</v>
      </c>
      <c r="L75" s="301"/>
    </row>
    <row r="76" spans="1:12">
      <c r="A76" s="261" t="s">
        <v>1519</v>
      </c>
      <c r="B76" s="261" t="s">
        <v>55</v>
      </c>
      <c r="C76" s="262">
        <v>-1.3000000000000009</v>
      </c>
      <c r="D76" s="262">
        <v>683.62</v>
      </c>
      <c r="E76" s="262">
        <v>-1.2199999999999809</v>
      </c>
      <c r="F76" s="262">
        <v>-1.3299999999999945</v>
      </c>
      <c r="G76" s="262">
        <v>-1.9199999999999127</v>
      </c>
      <c r="H76" s="262">
        <v>-1.6599999999999218</v>
      </c>
      <c r="I76" s="262">
        <v>-1.379999999999949</v>
      </c>
      <c r="J76" s="262" t="e">
        <f>'EERR Mensual $'!#REF!/'EERR Mensual US$'!$J$9</f>
        <v>#REF!</v>
      </c>
      <c r="K76" s="262" t="e">
        <f t="shared" si="1"/>
        <v>#REF!</v>
      </c>
      <c r="L76" s="301"/>
    </row>
    <row r="77" spans="1:12">
      <c r="A77" s="261" t="s">
        <v>1520</v>
      </c>
      <c r="B77" s="261" t="s">
        <v>329</v>
      </c>
      <c r="C77" s="262">
        <v>-186.74</v>
      </c>
      <c r="D77" s="262">
        <v>0</v>
      </c>
      <c r="E77" s="262">
        <v>0</v>
      </c>
      <c r="F77" s="262">
        <v>-241.36</v>
      </c>
      <c r="G77" s="262">
        <v>0</v>
      </c>
      <c r="H77" s="262">
        <v>0</v>
      </c>
      <c r="I77" s="262">
        <v>-203.18999999999994</v>
      </c>
      <c r="J77" s="262" t="e">
        <f>'EERR Mensual $'!#REF!/'EERR Mensual US$'!$J$9</f>
        <v>#REF!</v>
      </c>
      <c r="K77" s="262" t="e">
        <f t="shared" si="1"/>
        <v>#REF!</v>
      </c>
      <c r="L77" s="301"/>
    </row>
    <row r="78" spans="1:12">
      <c r="A78" s="261" t="s">
        <v>1521</v>
      </c>
      <c r="B78" s="261" t="s">
        <v>54</v>
      </c>
      <c r="C78" s="262">
        <v>73.149999999999295</v>
      </c>
      <c r="D78" s="262">
        <v>-243.57000000000033</v>
      </c>
      <c r="E78" s="262">
        <v>126.35000000000133</v>
      </c>
      <c r="F78" s="262">
        <v>-96.380000000002553</v>
      </c>
      <c r="G78" s="262">
        <v>-42.500000000000313</v>
      </c>
      <c r="H78" s="262">
        <v>0</v>
      </c>
      <c r="I78" s="262">
        <v>0</v>
      </c>
      <c r="J78" s="262" t="e">
        <f>'EERR Mensual $'!#REF!/'EERR Mensual US$'!$J$9</f>
        <v>#REF!</v>
      </c>
      <c r="K78" s="262" t="e">
        <f t="shared" si="1"/>
        <v>#REF!</v>
      </c>
      <c r="L78" s="301"/>
    </row>
    <row r="79" spans="1:12">
      <c r="A79" s="261" t="s">
        <v>1522</v>
      </c>
      <c r="B79" s="261" t="s">
        <v>1523</v>
      </c>
      <c r="C79" s="262">
        <v>-908.10000000000036</v>
      </c>
      <c r="D79" s="262">
        <v>-123.91000000000008</v>
      </c>
      <c r="E79" s="262">
        <v>-6834.5500000000029</v>
      </c>
      <c r="F79" s="262">
        <v>-5447.8799999999992</v>
      </c>
      <c r="G79" s="262">
        <v>-590.37000000000057</v>
      </c>
      <c r="H79" s="262">
        <v>-1795.630000000001</v>
      </c>
      <c r="I79" s="262">
        <v>-634.39999999999941</v>
      </c>
      <c r="J79" s="262" t="e">
        <f>'EERR Mensual $'!#REF!/'EERR Mensual US$'!$J$9</f>
        <v>#REF!</v>
      </c>
      <c r="K79" s="262" t="e">
        <f t="shared" si="1"/>
        <v>#REF!</v>
      </c>
      <c r="L79" s="301"/>
    </row>
    <row r="80" spans="1:12">
      <c r="A80" s="261" t="s">
        <v>1524</v>
      </c>
      <c r="B80" s="261" t="s">
        <v>254</v>
      </c>
      <c r="C80" s="262">
        <v>-2650.4299999999994</v>
      </c>
      <c r="D80" s="262">
        <v>-3219.04</v>
      </c>
      <c r="E80" s="262">
        <v>-4028.9699999999993</v>
      </c>
      <c r="F80" s="262">
        <v>-4550.5</v>
      </c>
      <c r="G80" s="262">
        <v>-5459.130000000001</v>
      </c>
      <c r="H80" s="262">
        <v>-5551.3499999999995</v>
      </c>
      <c r="I80" s="262">
        <v>-6041.0599999999986</v>
      </c>
      <c r="J80" s="262" t="e">
        <f>'EERR Mensual $'!#REF!/'EERR Mensual US$'!$J$9</f>
        <v>#REF!</v>
      </c>
      <c r="K80" s="262" t="e">
        <f t="shared" si="1"/>
        <v>#REF!</v>
      </c>
      <c r="L80" s="301"/>
    </row>
    <row r="81" spans="1:12">
      <c r="A81" s="261" t="s">
        <v>1525</v>
      </c>
      <c r="B81" s="261" t="s">
        <v>389</v>
      </c>
      <c r="C81" s="262">
        <v>-6500</v>
      </c>
      <c r="D81" s="262">
        <v>-6062.02</v>
      </c>
      <c r="E81" s="262">
        <v>-6847.7599999999984</v>
      </c>
      <c r="F81" s="262">
        <v>-6698.2000000000007</v>
      </c>
      <c r="G81" s="262">
        <v>-7011.48</v>
      </c>
      <c r="H81" s="262">
        <v>-6757.4600000000028</v>
      </c>
      <c r="I81" s="262">
        <v>-6919.7499999999964</v>
      </c>
      <c r="J81" s="262" t="e">
        <f>'EERR Mensual $'!#REF!/'EERR Mensual US$'!$J$9</f>
        <v>#REF!</v>
      </c>
      <c r="K81" s="262" t="e">
        <f t="shared" si="1"/>
        <v>#REF!</v>
      </c>
      <c r="L81" s="301"/>
    </row>
    <row r="82" spans="1:12">
      <c r="A82" s="261" t="s">
        <v>1526</v>
      </c>
      <c r="B82" s="261" t="s">
        <v>1527</v>
      </c>
      <c r="C82" s="262">
        <v>0</v>
      </c>
      <c r="D82" s="262">
        <v>0</v>
      </c>
      <c r="E82" s="262">
        <v>0</v>
      </c>
      <c r="F82" s="262">
        <v>0</v>
      </c>
      <c r="G82" s="262">
        <v>0</v>
      </c>
      <c r="H82" s="262">
        <v>0</v>
      </c>
      <c r="I82" s="262">
        <v>1351.09</v>
      </c>
      <c r="J82" s="262" t="e">
        <f>'EERR Mensual $'!#REF!/'EERR Mensual US$'!$J$9</f>
        <v>#REF!</v>
      </c>
      <c r="K82" s="262" t="e">
        <f t="shared" si="1"/>
        <v>#REF!</v>
      </c>
      <c r="L82" s="301"/>
    </row>
    <row r="83" spans="1:12">
      <c r="A83" s="261" t="s">
        <v>1528</v>
      </c>
      <c r="B83" s="261" t="s">
        <v>396</v>
      </c>
      <c r="C83" s="262">
        <v>44.2</v>
      </c>
      <c r="D83" s="262">
        <v>37.78</v>
      </c>
      <c r="E83" s="262">
        <v>42.78</v>
      </c>
      <c r="F83" s="262">
        <v>42.339999999999989</v>
      </c>
      <c r="G83" s="262">
        <v>43.470000000000013</v>
      </c>
      <c r="H83" s="262">
        <v>42.179999999999993</v>
      </c>
      <c r="I83" s="262">
        <v>41.999999999999986</v>
      </c>
      <c r="J83" s="262" t="e">
        <f>'EERR Mensual $'!#REF!/'EERR Mensual US$'!$J$9</f>
        <v>#REF!</v>
      </c>
      <c r="K83" s="262" t="e">
        <f t="shared" si="1"/>
        <v>#REF!</v>
      </c>
      <c r="L83" s="301"/>
    </row>
    <row r="84" spans="1:12">
      <c r="A84" s="261" t="s">
        <v>1529</v>
      </c>
      <c r="B84" s="261" t="s">
        <v>1530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 t="e">
        <f>'EERR Mensual $'!#REF!/'EERR Mensual US$'!$J$9</f>
        <v>#REF!</v>
      </c>
      <c r="K84" s="262" t="e">
        <f t="shared" si="1"/>
        <v>#REF!</v>
      </c>
      <c r="L84" s="301"/>
    </row>
    <row r="85" spans="1:12">
      <c r="A85" s="261" t="s">
        <v>1531</v>
      </c>
      <c r="B85" s="261" t="s">
        <v>1532</v>
      </c>
      <c r="C85" s="262">
        <v>0</v>
      </c>
      <c r="D85" s="262">
        <v>0</v>
      </c>
      <c r="E85" s="262">
        <v>0</v>
      </c>
      <c r="F85" s="262">
        <v>0</v>
      </c>
      <c r="G85" s="262">
        <v>0</v>
      </c>
      <c r="H85" s="262">
        <v>0</v>
      </c>
      <c r="I85" s="262">
        <v>0</v>
      </c>
      <c r="J85" s="262" t="e">
        <f>'EERR Mensual $'!#REF!/'EERR Mensual US$'!$J$9</f>
        <v>#REF!</v>
      </c>
      <c r="K85" s="262" t="e">
        <f t="shared" si="1"/>
        <v>#REF!</v>
      </c>
      <c r="L85" s="301"/>
    </row>
    <row r="86" spans="1:12">
      <c r="A86" s="261" t="s">
        <v>1533</v>
      </c>
      <c r="B86" s="261" t="s">
        <v>1534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 t="e">
        <f>'EERR Mensual $'!#REF!/'EERR Mensual US$'!$J$9</f>
        <v>#REF!</v>
      </c>
      <c r="K86" s="262" t="e">
        <f t="shared" si="1"/>
        <v>#REF!</v>
      </c>
      <c r="L86" s="301"/>
    </row>
    <row r="87" spans="1:12">
      <c r="A87" s="261" t="s">
        <v>1535</v>
      </c>
      <c r="B87" s="261" t="s">
        <v>1536</v>
      </c>
      <c r="C87" s="262">
        <v>0</v>
      </c>
      <c r="D87" s="262">
        <v>0</v>
      </c>
      <c r="E87" s="262">
        <v>0</v>
      </c>
      <c r="F87" s="262">
        <v>0</v>
      </c>
      <c r="G87" s="262">
        <v>0</v>
      </c>
      <c r="H87" s="262">
        <v>0</v>
      </c>
      <c r="I87" s="262">
        <v>0</v>
      </c>
      <c r="J87" s="262" t="e">
        <f>'EERR Mensual $'!#REF!/'EERR Mensual US$'!$J$9</f>
        <v>#REF!</v>
      </c>
      <c r="K87" s="262" t="e">
        <f t="shared" si="1"/>
        <v>#REF!</v>
      </c>
      <c r="L87" s="301"/>
    </row>
    <row r="88" spans="1:12">
      <c r="A88" s="261" t="s">
        <v>1537</v>
      </c>
      <c r="B88" s="261" t="s">
        <v>592</v>
      </c>
      <c r="C88" s="262">
        <v>-661.15</v>
      </c>
      <c r="D88" s="262">
        <v>-22.279999999999973</v>
      </c>
      <c r="E88" s="262">
        <v>48.940000000000055</v>
      </c>
      <c r="F88" s="262">
        <v>-258.70000000000005</v>
      </c>
      <c r="G88" s="262">
        <v>0</v>
      </c>
      <c r="H88" s="262">
        <v>0</v>
      </c>
      <c r="I88" s="262">
        <v>2367.71</v>
      </c>
      <c r="J88" s="262" t="e">
        <f>'EERR Mensual $'!#REF!/'EERR Mensual US$'!$J$9</f>
        <v>#REF!</v>
      </c>
      <c r="K88" s="262" t="e">
        <f t="shared" si="1"/>
        <v>#REF!</v>
      </c>
      <c r="L88" s="301"/>
    </row>
    <row r="89" spans="1:12">
      <c r="A89" s="261" t="s">
        <v>1538</v>
      </c>
      <c r="B89" s="261" t="s">
        <v>56</v>
      </c>
      <c r="C89" s="262">
        <v>246.72</v>
      </c>
      <c r="D89" s="262">
        <v>728.63</v>
      </c>
      <c r="E89" s="262">
        <v>-66.460000000000008</v>
      </c>
      <c r="F89" s="262">
        <v>1796.0399999999997</v>
      </c>
      <c r="G89" s="262">
        <v>469.11000000000024</v>
      </c>
      <c r="H89" s="262">
        <v>137.46000000000018</v>
      </c>
      <c r="I89" s="262">
        <v>-296.52999999999963</v>
      </c>
      <c r="J89" s="262" t="e">
        <f>'EERR Mensual $'!#REF!/'EERR Mensual US$'!$J$9</f>
        <v>#REF!</v>
      </c>
      <c r="K89" s="262" t="e">
        <f t="shared" si="1"/>
        <v>#REF!</v>
      </c>
      <c r="L89" s="301"/>
    </row>
    <row r="90" spans="1:12">
      <c r="A90" s="261" t="s">
        <v>1539</v>
      </c>
      <c r="B90" s="261" t="s">
        <v>57</v>
      </c>
      <c r="C90" s="262">
        <v>0</v>
      </c>
      <c r="D90" s="262">
        <v>-0.01</v>
      </c>
      <c r="E90" s="262">
        <v>0</v>
      </c>
      <c r="F90" s="262">
        <v>0.03</v>
      </c>
      <c r="G90" s="262">
        <v>3.0000000000000006E-2</v>
      </c>
      <c r="H90" s="262">
        <v>-0.20999999999999996</v>
      </c>
      <c r="I90" s="262">
        <v>-0.34000000000000008</v>
      </c>
      <c r="J90" s="262" t="e">
        <f>'EERR Mensual $'!#REF!/'EERR Mensual US$'!$J$9</f>
        <v>#REF!</v>
      </c>
      <c r="K90" s="262" t="e">
        <f>SUM(C90:J90)</f>
        <v>#REF!</v>
      </c>
      <c r="L90" s="301"/>
    </row>
    <row r="91" spans="1:12" ht="14.55" thickBot="1">
      <c r="A91" s="263" t="s">
        <v>324</v>
      </c>
      <c r="B91" s="264"/>
      <c r="C91" s="265">
        <f t="shared" ref="C91:K91" si="2">SUM(C11:C90)</f>
        <v>-86218.130000000325</v>
      </c>
      <c r="D91" s="265">
        <f t="shared" si="2"/>
        <v>-71469.989999999962</v>
      </c>
      <c r="E91" s="265">
        <f t="shared" si="2"/>
        <v>-85958.110000000059</v>
      </c>
      <c r="F91" s="265">
        <f t="shared" si="2"/>
        <v>-15133.300000000156</v>
      </c>
      <c r="G91" s="265">
        <f t="shared" si="2"/>
        <v>-19700.890000000156</v>
      </c>
      <c r="H91" s="265">
        <f t="shared" si="2"/>
        <v>-77864.350000000341</v>
      </c>
      <c r="I91" s="265">
        <f t="shared" si="2"/>
        <v>-68349.73000000001</v>
      </c>
      <c r="J91" s="265" t="e">
        <f t="shared" si="2"/>
        <v>#REF!</v>
      </c>
      <c r="K91" s="265" t="e">
        <f t="shared" si="2"/>
        <v>#REF!</v>
      </c>
    </row>
    <row r="92" spans="1:12" ht="14" thickTop="1">
      <c r="K92" s="456" t="e">
        <f>K91+'Balance 8 Columnas'!O118</f>
        <v>#REF!</v>
      </c>
    </row>
    <row r="93" spans="1:12">
      <c r="K93" s="301"/>
    </row>
  </sheetData>
  <mergeCells count="14">
    <mergeCell ref="A2:K2"/>
    <mergeCell ref="A3:K3"/>
    <mergeCell ref="A4:K4"/>
    <mergeCell ref="A5:K5"/>
    <mergeCell ref="A8:A10"/>
    <mergeCell ref="B8:B10"/>
    <mergeCell ref="C8:C9"/>
    <mergeCell ref="K8:K9"/>
    <mergeCell ref="H8:H9"/>
    <mergeCell ref="D8:D9"/>
    <mergeCell ref="E8:E9"/>
    <mergeCell ref="F8:F9"/>
    <mergeCell ref="G8:G9"/>
    <mergeCell ref="I8:I9"/>
  </mergeCells>
  <pageMargins left="0.7" right="0.7" top="0.75" bottom="0.75" header="0.3" footer="0.3"/>
  <pageSetup scale="39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E475-C312-4CBE-9403-B6BB6FAF1271}">
  <sheetPr codeName="Hoja7">
    <tabColor theme="4" tint="0.79998168889431442"/>
    <pageSetUpPr fitToPage="1"/>
  </sheetPr>
  <dimension ref="A1:T78"/>
  <sheetViews>
    <sheetView showGridLines="0" zoomScale="90" zoomScaleNormal="90" zoomScaleSheetLayoutView="80" workbookViewId="0">
      <pane xSplit="2" ySplit="10" topLeftCell="C71" activePane="bottomRight" state="frozen"/>
      <selection activeCell="J61" sqref="J61"/>
      <selection pane="topRight" activeCell="J61" sqref="J61"/>
      <selection pane="bottomLeft" activeCell="J61" sqref="J61"/>
      <selection pane="bottomRight" activeCell="R89" sqref="R89"/>
    </sheetView>
  </sheetViews>
  <sheetFormatPr baseColWidth="10" defaultColWidth="11.3984375" defaultRowHeight="13.45"/>
  <cols>
    <col min="1" max="1" width="11.3984375" style="198"/>
    <col min="2" max="2" width="61.8984375" style="198" customWidth="1"/>
    <col min="3" max="3" width="18.69921875" style="198" customWidth="1"/>
    <col min="4" max="14" width="18.69921875" style="198" hidden="1" customWidth="1"/>
    <col min="15" max="15" width="19.3984375" style="198" customWidth="1"/>
    <col min="16" max="16" width="21.296875" style="313" hidden="1" customWidth="1"/>
    <col min="17" max="17" width="14.59765625" style="198" bestFit="1" customWidth="1"/>
    <col min="18" max="16384" width="11.3984375" style="198"/>
  </cols>
  <sheetData>
    <row r="1" spans="1:20" ht="14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Q1" s="541" t="s">
        <v>1901</v>
      </c>
    </row>
    <row r="2" spans="1:20">
      <c r="A2" s="777" t="s">
        <v>234</v>
      </c>
      <c r="B2" s="777"/>
      <c r="C2" s="777"/>
      <c r="D2" s="777"/>
      <c r="E2" s="777"/>
      <c r="F2" s="777"/>
      <c r="G2" s="777"/>
      <c r="H2" s="777"/>
      <c r="I2" s="777"/>
      <c r="J2" s="777"/>
      <c r="K2" s="777"/>
      <c r="L2" s="777"/>
      <c r="M2" s="777"/>
      <c r="N2" s="777"/>
      <c r="O2" s="777"/>
    </row>
    <row r="3" spans="1:20">
      <c r="A3" s="777" t="s">
        <v>320</v>
      </c>
      <c r="B3" s="777"/>
      <c r="C3" s="777"/>
      <c r="D3" s="777"/>
      <c r="E3" s="777"/>
      <c r="F3" s="777"/>
      <c r="G3" s="777"/>
      <c r="H3" s="777"/>
      <c r="I3" s="777"/>
      <c r="J3" s="777"/>
      <c r="K3" s="777"/>
      <c r="L3" s="777"/>
      <c r="M3" s="777"/>
      <c r="N3" s="777"/>
      <c r="O3" s="777"/>
    </row>
    <row r="4" spans="1:20">
      <c r="A4" s="777" t="str">
        <f>+'Estado de Resultados'!B3</f>
        <v>Para el período comprendido entre el 01-01-2026 hasta el 31/01/2026</v>
      </c>
      <c r="B4" s="777"/>
      <c r="C4" s="777"/>
      <c r="D4" s="777"/>
      <c r="E4" s="777"/>
      <c r="F4" s="777"/>
      <c r="G4" s="777"/>
      <c r="H4" s="777"/>
      <c r="I4" s="777"/>
      <c r="J4" s="777"/>
      <c r="K4" s="777"/>
      <c r="L4" s="777"/>
      <c r="M4" s="777"/>
      <c r="N4" s="777"/>
      <c r="O4" s="777"/>
    </row>
    <row r="5" spans="1:20">
      <c r="A5" s="777" t="s">
        <v>429</v>
      </c>
      <c r="B5" s="777"/>
      <c r="C5" s="777"/>
      <c r="D5" s="777"/>
      <c r="E5" s="777"/>
      <c r="F5" s="777"/>
      <c r="G5" s="777"/>
      <c r="H5" s="777"/>
      <c r="I5" s="777"/>
      <c r="J5" s="777"/>
      <c r="K5" s="777"/>
      <c r="L5" s="777"/>
      <c r="M5" s="777"/>
      <c r="N5" s="777"/>
      <c r="O5" s="777"/>
    </row>
    <row r="6" spans="1:20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</row>
    <row r="7" spans="1:20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</row>
    <row r="8" spans="1:20" ht="25.55" customHeight="1">
      <c r="A8" s="782" t="s">
        <v>259</v>
      </c>
      <c r="B8" s="782" t="s">
        <v>260</v>
      </c>
      <c r="C8" s="785">
        <v>46053</v>
      </c>
      <c r="D8" s="785">
        <v>46081</v>
      </c>
      <c r="E8" s="785">
        <v>46112</v>
      </c>
      <c r="F8" s="785">
        <v>46142</v>
      </c>
      <c r="G8" s="785">
        <v>46173</v>
      </c>
      <c r="H8" s="785">
        <v>46203</v>
      </c>
      <c r="I8" s="785">
        <v>46234</v>
      </c>
      <c r="J8" s="785">
        <v>46265</v>
      </c>
      <c r="K8" s="785">
        <v>46295</v>
      </c>
      <c r="L8" s="785">
        <v>46326</v>
      </c>
      <c r="M8" s="785">
        <v>46356</v>
      </c>
      <c r="N8" s="785">
        <v>46387</v>
      </c>
      <c r="O8" s="785" t="s">
        <v>322</v>
      </c>
    </row>
    <row r="9" spans="1:20" ht="15.05" customHeight="1">
      <c r="A9" s="783"/>
      <c r="B9" s="783"/>
      <c r="C9" s="786"/>
      <c r="D9" s="786"/>
      <c r="E9" s="786"/>
      <c r="F9" s="786"/>
      <c r="G9" s="786"/>
      <c r="H9" s="786"/>
      <c r="I9" s="786"/>
      <c r="J9" s="786"/>
      <c r="K9" s="786"/>
      <c r="L9" s="786"/>
      <c r="M9" s="786"/>
      <c r="N9" s="786"/>
      <c r="O9" s="786"/>
    </row>
    <row r="10" spans="1:20">
      <c r="A10" s="784"/>
      <c r="B10" s="784"/>
      <c r="C10" s="260" t="s">
        <v>66</v>
      </c>
      <c r="D10" s="260" t="s">
        <v>66</v>
      </c>
      <c r="E10" s="260" t="s">
        <v>66</v>
      </c>
      <c r="F10" s="260" t="s">
        <v>66</v>
      </c>
      <c r="G10" s="260" t="s">
        <v>66</v>
      </c>
      <c r="H10" s="260" t="s">
        <v>66</v>
      </c>
      <c r="I10" s="260" t="s">
        <v>66</v>
      </c>
      <c r="J10" s="260" t="s">
        <v>66</v>
      </c>
      <c r="K10" s="260" t="s">
        <v>66</v>
      </c>
      <c r="L10" s="260" t="s">
        <v>66</v>
      </c>
      <c r="M10" s="260" t="s">
        <v>66</v>
      </c>
      <c r="N10" s="260" t="s">
        <v>66</v>
      </c>
      <c r="O10" s="260" t="s">
        <v>66</v>
      </c>
    </row>
    <row r="11" spans="1:20">
      <c r="A11" s="261" t="s">
        <v>1542</v>
      </c>
      <c r="B11" s="261" t="s">
        <v>444</v>
      </c>
      <c r="C11" s="524">
        <v>246614292</v>
      </c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>
        <f>SUM(C11:N11)</f>
        <v>246614292</v>
      </c>
      <c r="Q11" s="301"/>
    </row>
    <row r="12" spans="1:20">
      <c r="A12" s="261" t="s">
        <v>2588</v>
      </c>
      <c r="B12" s="261" t="s">
        <v>2589</v>
      </c>
      <c r="C12" s="524">
        <v>3751074</v>
      </c>
      <c r="D12" s="524"/>
      <c r="E12" s="524"/>
      <c r="F12" s="524"/>
      <c r="G12" s="524"/>
      <c r="H12" s="524"/>
      <c r="I12" s="524"/>
      <c r="J12" s="524"/>
      <c r="K12" s="524"/>
      <c r="L12" s="524"/>
      <c r="M12" s="524"/>
      <c r="N12" s="524"/>
      <c r="O12" s="524">
        <f t="shared" ref="O12:O72" si="0">SUM(C12:N12)</f>
        <v>3751074</v>
      </c>
      <c r="Q12" s="301"/>
    </row>
    <row r="13" spans="1:20" s="200" customFormat="1">
      <c r="A13" s="261" t="s">
        <v>1455</v>
      </c>
      <c r="B13" s="261" t="s">
        <v>35</v>
      </c>
      <c r="C13" s="524">
        <v>-134839072</v>
      </c>
      <c r="D13" s="524"/>
      <c r="E13" s="524"/>
      <c r="F13" s="524"/>
      <c r="G13" s="524"/>
      <c r="H13" s="524"/>
      <c r="I13" s="524"/>
      <c r="J13" s="524"/>
      <c r="K13" s="524"/>
      <c r="L13" s="524"/>
      <c r="M13" s="524"/>
      <c r="N13" s="524"/>
      <c r="O13" s="524">
        <f t="shared" si="0"/>
        <v>-134839072</v>
      </c>
      <c r="P13" s="352">
        <f>C13-D13</f>
        <v>-134839072</v>
      </c>
      <c r="Q13" s="568"/>
    </row>
    <row r="14" spans="1:20">
      <c r="A14" s="261" t="s">
        <v>1456</v>
      </c>
      <c r="B14" s="261" t="s">
        <v>358</v>
      </c>
      <c r="C14" s="524">
        <v>-1840455</v>
      </c>
      <c r="D14" s="524"/>
      <c r="E14" s="524"/>
      <c r="F14" s="524"/>
      <c r="G14" s="524"/>
      <c r="H14" s="524"/>
      <c r="I14" s="524"/>
      <c r="J14" s="524"/>
      <c r="K14" s="524"/>
      <c r="L14" s="524"/>
      <c r="M14" s="524"/>
      <c r="N14" s="524"/>
      <c r="O14" s="524">
        <f t="shared" si="0"/>
        <v>-1840455</v>
      </c>
      <c r="P14" s="352">
        <f t="shared" ref="P14:P72" si="1">C14-D14</f>
        <v>-1840455</v>
      </c>
      <c r="Q14" s="301"/>
      <c r="T14" s="610" t="s">
        <v>2486</v>
      </c>
    </row>
    <row r="15" spans="1:20">
      <c r="A15" s="261" t="s">
        <v>1458</v>
      </c>
      <c r="B15" s="261" t="s">
        <v>359</v>
      </c>
      <c r="C15" s="524">
        <v>-2699824</v>
      </c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>
        <f t="shared" si="0"/>
        <v>-2699824</v>
      </c>
      <c r="P15" s="352">
        <f t="shared" si="1"/>
        <v>-2699824</v>
      </c>
      <c r="Q15" s="301"/>
    </row>
    <row r="16" spans="1:20">
      <c r="A16" s="261" t="s">
        <v>1459</v>
      </c>
      <c r="B16" s="261" t="s">
        <v>360</v>
      </c>
      <c r="C16" s="524">
        <v>-800047</v>
      </c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>
        <f t="shared" si="0"/>
        <v>-800047</v>
      </c>
      <c r="P16" s="352">
        <f t="shared" si="1"/>
        <v>-800047</v>
      </c>
      <c r="Q16" s="301"/>
    </row>
    <row r="17" spans="1:17">
      <c r="A17" s="261" t="s">
        <v>1460</v>
      </c>
      <c r="B17" s="261" t="s">
        <v>361</v>
      </c>
      <c r="C17" s="524">
        <v>-1976022</v>
      </c>
      <c r="D17" s="524"/>
      <c r="E17" s="524"/>
      <c r="F17" s="524"/>
      <c r="G17" s="524"/>
      <c r="H17" s="524"/>
      <c r="I17" s="524"/>
      <c r="J17" s="524"/>
      <c r="K17" s="524"/>
      <c r="L17" s="524"/>
      <c r="M17" s="524"/>
      <c r="N17" s="524"/>
      <c r="O17" s="524">
        <f t="shared" si="0"/>
        <v>-1976022</v>
      </c>
      <c r="P17" s="352">
        <f t="shared" si="1"/>
        <v>-1976022</v>
      </c>
      <c r="Q17" s="301"/>
    </row>
    <row r="18" spans="1:17">
      <c r="A18" s="261" t="s">
        <v>2567</v>
      </c>
      <c r="B18" s="261" t="s">
        <v>2565</v>
      </c>
      <c r="C18" s="524">
        <v>-44990</v>
      </c>
      <c r="D18" s="524"/>
      <c r="E18" s="524"/>
      <c r="F18" s="524"/>
      <c r="G18" s="524"/>
      <c r="H18" s="524"/>
      <c r="I18" s="524"/>
      <c r="J18" s="524"/>
      <c r="K18" s="524"/>
      <c r="L18" s="524"/>
      <c r="M18" s="524"/>
      <c r="N18" s="524"/>
      <c r="O18" s="524">
        <f t="shared" si="0"/>
        <v>-44990</v>
      </c>
      <c r="P18" s="352">
        <f t="shared" si="1"/>
        <v>-44990</v>
      </c>
      <c r="Q18" s="301"/>
    </row>
    <row r="19" spans="1:17">
      <c r="A19" s="261" t="s">
        <v>2596</v>
      </c>
      <c r="B19" s="261" t="s">
        <v>2597</v>
      </c>
      <c r="C19" s="524">
        <v>-46507</v>
      </c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>
        <f t="shared" si="0"/>
        <v>-46507</v>
      </c>
      <c r="P19" s="352">
        <f t="shared" si="1"/>
        <v>-46507</v>
      </c>
      <c r="Q19" s="301"/>
    </row>
    <row r="20" spans="1:17">
      <c r="A20" s="261" t="s">
        <v>1463</v>
      </c>
      <c r="B20" s="261" t="s">
        <v>36</v>
      </c>
      <c r="C20" s="524">
        <v>-45117151</v>
      </c>
      <c r="D20" s="524"/>
      <c r="E20" s="524"/>
      <c r="F20" s="524"/>
      <c r="G20" s="524"/>
      <c r="H20" s="524"/>
      <c r="I20" s="524"/>
      <c r="J20" s="524"/>
      <c r="K20" s="524"/>
      <c r="L20" s="524"/>
      <c r="M20" s="524"/>
      <c r="N20" s="524"/>
      <c r="O20" s="524">
        <f t="shared" si="0"/>
        <v>-45117151</v>
      </c>
      <c r="P20" s="352">
        <f t="shared" ref="P20:P41" si="2">C21-D20</f>
        <v>-1730490</v>
      </c>
      <c r="Q20" s="301"/>
    </row>
    <row r="21" spans="1:17">
      <c r="A21" s="261" t="s">
        <v>1464</v>
      </c>
      <c r="B21" s="261" t="s">
        <v>37</v>
      </c>
      <c r="C21" s="760">
        <v>-1730490</v>
      </c>
      <c r="D21" s="524"/>
      <c r="E21" s="524"/>
      <c r="F21" s="524"/>
      <c r="G21" s="524"/>
      <c r="H21" s="524"/>
      <c r="I21" s="524"/>
      <c r="J21" s="524"/>
      <c r="K21" s="524"/>
      <c r="L21" s="524"/>
      <c r="M21" s="524"/>
      <c r="N21" s="524"/>
      <c r="O21" s="524">
        <f t="shared" si="0"/>
        <v>-1730490</v>
      </c>
      <c r="P21" s="352">
        <f t="shared" si="2"/>
        <v>-1655083</v>
      </c>
      <c r="Q21" s="301"/>
    </row>
    <row r="22" spans="1:17">
      <c r="A22" s="261" t="s">
        <v>1465</v>
      </c>
      <c r="B22" s="261" t="s">
        <v>38</v>
      </c>
      <c r="C22" s="524">
        <v>-1655083</v>
      </c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>
        <f t="shared" si="0"/>
        <v>-1655083</v>
      </c>
      <c r="P22" s="352">
        <f t="shared" si="2"/>
        <v>-10584152</v>
      </c>
      <c r="Q22" s="301"/>
    </row>
    <row r="23" spans="1:17">
      <c r="A23" s="261" t="s">
        <v>1466</v>
      </c>
      <c r="B23" s="261" t="s">
        <v>39</v>
      </c>
      <c r="C23" s="524">
        <v>-10584152</v>
      </c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>
        <f t="shared" si="0"/>
        <v>-10584152</v>
      </c>
      <c r="P23" s="352">
        <f t="shared" si="2"/>
        <v>-4000</v>
      </c>
      <c r="Q23" s="301"/>
    </row>
    <row r="24" spans="1:17">
      <c r="A24" s="261" t="s">
        <v>1467</v>
      </c>
      <c r="B24" s="261" t="s">
        <v>393</v>
      </c>
      <c r="C24" s="524">
        <v>-4000</v>
      </c>
      <c r="D24" s="524"/>
      <c r="E24" s="524"/>
      <c r="F24" s="524"/>
      <c r="G24" s="524"/>
      <c r="H24" s="524"/>
      <c r="I24" s="524"/>
      <c r="J24" s="524"/>
      <c r="K24" s="524"/>
      <c r="L24" s="524"/>
      <c r="M24" s="524"/>
      <c r="N24" s="524"/>
      <c r="O24" s="524">
        <f t="shared" si="0"/>
        <v>-4000</v>
      </c>
      <c r="P24" s="352">
        <f t="shared" si="2"/>
        <v>-600154</v>
      </c>
      <c r="Q24" s="301"/>
    </row>
    <row r="25" spans="1:17">
      <c r="A25" s="261" t="s">
        <v>1468</v>
      </c>
      <c r="B25" s="261" t="s">
        <v>42</v>
      </c>
      <c r="C25" s="524">
        <v>-600154</v>
      </c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>
        <f t="shared" si="0"/>
        <v>-600154</v>
      </c>
      <c r="P25" s="352">
        <f t="shared" si="2"/>
        <v>-1012481</v>
      </c>
      <c r="Q25" s="301"/>
    </row>
    <row r="26" spans="1:17">
      <c r="A26" s="261" t="s">
        <v>1469</v>
      </c>
      <c r="B26" s="261" t="s">
        <v>43</v>
      </c>
      <c r="C26" s="524">
        <v>-1012481</v>
      </c>
      <c r="D26" s="524"/>
      <c r="E26" s="524"/>
      <c r="F26" s="524"/>
      <c r="G26" s="524"/>
      <c r="H26" s="524"/>
      <c r="I26" s="524"/>
      <c r="J26" s="524"/>
      <c r="K26" s="524"/>
      <c r="L26" s="524"/>
      <c r="M26" s="524"/>
      <c r="N26" s="524"/>
      <c r="O26" s="524">
        <f t="shared" si="0"/>
        <v>-1012481</v>
      </c>
      <c r="P26" s="352">
        <f>C29-D26</f>
        <v>0</v>
      </c>
      <c r="Q26" s="301"/>
    </row>
    <row r="27" spans="1:17">
      <c r="A27" s="261" t="s">
        <v>2885</v>
      </c>
      <c r="B27" s="261" t="s">
        <v>2888</v>
      </c>
      <c r="C27" s="524">
        <v>-64495</v>
      </c>
      <c r="D27" s="524"/>
      <c r="E27" s="524"/>
      <c r="F27" s="524"/>
      <c r="G27" s="524"/>
      <c r="H27" s="524"/>
      <c r="I27" s="524"/>
      <c r="J27" s="524"/>
      <c r="K27" s="524"/>
      <c r="L27" s="524"/>
      <c r="M27" s="524"/>
      <c r="N27" s="524"/>
      <c r="O27" s="524">
        <f t="shared" si="0"/>
        <v>-64495</v>
      </c>
      <c r="P27" s="352"/>
      <c r="Q27" s="301"/>
    </row>
    <row r="28" spans="1:17">
      <c r="A28" s="261" t="s">
        <v>2886</v>
      </c>
      <c r="B28" s="261" t="s">
        <v>2889</v>
      </c>
      <c r="C28" s="524">
        <v>-591718</v>
      </c>
      <c r="D28" s="524"/>
      <c r="E28" s="524"/>
      <c r="F28" s="524"/>
      <c r="G28" s="524"/>
      <c r="H28" s="524"/>
      <c r="I28" s="524"/>
      <c r="J28" s="524"/>
      <c r="K28" s="524"/>
      <c r="L28" s="524"/>
      <c r="M28" s="524"/>
      <c r="N28" s="524"/>
      <c r="O28" s="524">
        <f t="shared" si="0"/>
        <v>-591718</v>
      </c>
      <c r="P28" s="352"/>
      <c r="Q28" s="301"/>
    </row>
    <row r="29" spans="1:17">
      <c r="A29" s="261" t="s">
        <v>1470</v>
      </c>
      <c r="B29" s="261" t="s">
        <v>454</v>
      </c>
      <c r="C29" s="524">
        <v>0</v>
      </c>
      <c r="D29" s="524"/>
      <c r="E29" s="524"/>
      <c r="F29" s="524"/>
      <c r="G29" s="524"/>
      <c r="H29" s="524"/>
      <c r="I29" s="524"/>
      <c r="J29" s="524"/>
      <c r="K29" s="524"/>
      <c r="L29" s="524"/>
      <c r="M29" s="524"/>
      <c r="N29" s="524"/>
      <c r="O29" s="524">
        <f t="shared" si="0"/>
        <v>0</v>
      </c>
      <c r="P29" s="352">
        <f t="shared" si="2"/>
        <v>-756324</v>
      </c>
      <c r="Q29" s="301"/>
    </row>
    <row r="30" spans="1:17">
      <c r="A30" s="261" t="s">
        <v>1932</v>
      </c>
      <c r="B30" s="261" t="s">
        <v>1933</v>
      </c>
      <c r="C30" s="524">
        <v>-756324</v>
      </c>
      <c r="D30" s="524"/>
      <c r="E30" s="524"/>
      <c r="F30" s="524"/>
      <c r="G30" s="524"/>
      <c r="H30" s="524"/>
      <c r="I30" s="524"/>
      <c r="J30" s="524"/>
      <c r="K30" s="524"/>
      <c r="L30" s="524"/>
      <c r="M30" s="524"/>
      <c r="N30" s="524"/>
      <c r="O30" s="524">
        <f t="shared" si="0"/>
        <v>-756324</v>
      </c>
      <c r="P30" s="352">
        <f t="shared" si="2"/>
        <v>-1447552</v>
      </c>
      <c r="Q30" s="301"/>
    </row>
    <row r="31" spans="1:17">
      <c r="A31" s="261" t="s">
        <v>1473</v>
      </c>
      <c r="B31" s="261" t="s">
        <v>311</v>
      </c>
      <c r="C31" s="633">
        <v>-1447552</v>
      </c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524">
        <f t="shared" si="0"/>
        <v>-1447552</v>
      </c>
      <c r="P31" s="352">
        <f t="shared" si="2"/>
        <v>-6445321</v>
      </c>
      <c r="Q31" s="301"/>
    </row>
    <row r="32" spans="1:17">
      <c r="A32" s="261" t="s">
        <v>1474</v>
      </c>
      <c r="B32" s="261" t="s">
        <v>45</v>
      </c>
      <c r="C32" s="633">
        <v>-6445321</v>
      </c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524">
        <f t="shared" si="0"/>
        <v>-6445321</v>
      </c>
      <c r="P32" s="352">
        <f t="shared" si="2"/>
        <v>-2326500</v>
      </c>
      <c r="Q32" s="301"/>
    </row>
    <row r="33" spans="1:18">
      <c r="A33" s="261" t="s">
        <v>1491</v>
      </c>
      <c r="B33" s="261" t="s">
        <v>40</v>
      </c>
      <c r="C33" s="633">
        <v>-2326500</v>
      </c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524">
        <f t="shared" si="0"/>
        <v>-2326500</v>
      </c>
      <c r="P33" s="352">
        <f t="shared" si="2"/>
        <v>-2326500</v>
      </c>
      <c r="Q33" s="301"/>
    </row>
    <row r="34" spans="1:18">
      <c r="A34" s="261" t="s">
        <v>1492</v>
      </c>
      <c r="B34" s="261" t="s">
        <v>41</v>
      </c>
      <c r="C34" s="633">
        <v>-2326500</v>
      </c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524">
        <f t="shared" si="0"/>
        <v>-2326500</v>
      </c>
      <c r="P34" s="352">
        <f t="shared" si="2"/>
        <v>1138389</v>
      </c>
      <c r="Q34" s="301"/>
    </row>
    <row r="35" spans="1:18" s="200" customFormat="1">
      <c r="A35" s="261" t="s">
        <v>1494</v>
      </c>
      <c r="B35" s="261" t="s">
        <v>44</v>
      </c>
      <c r="C35" s="633">
        <v>1138389</v>
      </c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524">
        <f t="shared" si="0"/>
        <v>1138389</v>
      </c>
      <c r="P35" s="352">
        <f t="shared" si="2"/>
        <v>-505000</v>
      </c>
      <c r="Q35" s="301"/>
    </row>
    <row r="36" spans="1:18">
      <c r="A36" s="261" t="s">
        <v>1497</v>
      </c>
      <c r="B36" s="261" t="s">
        <v>46</v>
      </c>
      <c r="C36" s="633">
        <v>-505000</v>
      </c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524">
        <f t="shared" si="0"/>
        <v>-505000</v>
      </c>
      <c r="P36" s="352">
        <f t="shared" si="2"/>
        <v>-3101478</v>
      </c>
      <c r="Q36" s="301"/>
    </row>
    <row r="37" spans="1:18">
      <c r="A37" s="261" t="s">
        <v>1498</v>
      </c>
      <c r="B37" s="261" t="s">
        <v>388</v>
      </c>
      <c r="C37" s="633">
        <v>-3101478</v>
      </c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524">
        <f t="shared" si="0"/>
        <v>-3101478</v>
      </c>
      <c r="P37" s="352">
        <f t="shared" si="2"/>
        <v>0</v>
      </c>
      <c r="Q37" s="301"/>
    </row>
    <row r="38" spans="1:18">
      <c r="A38" s="261" t="s">
        <v>1499</v>
      </c>
      <c r="B38" s="261" t="s">
        <v>328</v>
      </c>
      <c r="C38" s="633">
        <v>0</v>
      </c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524">
        <f t="shared" si="0"/>
        <v>0</v>
      </c>
      <c r="P38" s="352">
        <f t="shared" si="2"/>
        <v>-75994402</v>
      </c>
      <c r="Q38" s="301"/>
      <c r="R38" s="610" t="s">
        <v>2485</v>
      </c>
    </row>
    <row r="39" spans="1:18">
      <c r="A39" s="261" t="s">
        <v>1501</v>
      </c>
      <c r="B39" s="261" t="s">
        <v>310</v>
      </c>
      <c r="C39" s="633">
        <v>-75994402</v>
      </c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524">
        <f t="shared" si="0"/>
        <v>-75994402</v>
      </c>
      <c r="P39" s="352">
        <f t="shared" si="2"/>
        <v>-3126087</v>
      </c>
      <c r="Q39" s="301"/>
      <c r="R39" s="610"/>
    </row>
    <row r="40" spans="1:18">
      <c r="A40" s="261" t="s">
        <v>1502</v>
      </c>
      <c r="B40" s="261" t="s">
        <v>47</v>
      </c>
      <c r="C40" s="633">
        <v>-3126087</v>
      </c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524">
        <f t="shared" si="0"/>
        <v>-3126087</v>
      </c>
      <c r="P40" s="352">
        <f t="shared" si="2"/>
        <v>-631049</v>
      </c>
      <c r="Q40" s="301"/>
      <c r="R40" s="610"/>
    </row>
    <row r="41" spans="1:18">
      <c r="A41" s="261" t="s">
        <v>1923</v>
      </c>
      <c r="B41" s="261" t="s">
        <v>1924</v>
      </c>
      <c r="C41" s="633">
        <v>-631049</v>
      </c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524">
        <f t="shared" si="0"/>
        <v>-631049</v>
      </c>
      <c r="P41" s="352">
        <f t="shared" si="2"/>
        <v>0</v>
      </c>
      <c r="Q41" s="301"/>
      <c r="R41" s="610"/>
    </row>
    <row r="42" spans="1:18">
      <c r="A42" s="261" t="s">
        <v>2598</v>
      </c>
      <c r="B42" s="261" t="s">
        <v>2599</v>
      </c>
      <c r="C42" s="633">
        <v>0</v>
      </c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524">
        <f t="shared" si="0"/>
        <v>0</v>
      </c>
      <c r="P42" s="352"/>
      <c r="Q42" s="301"/>
      <c r="R42" s="610"/>
    </row>
    <row r="43" spans="1:18">
      <c r="A43" s="261" t="s">
        <v>1504</v>
      </c>
      <c r="B43" s="261" t="s">
        <v>303</v>
      </c>
      <c r="C43" s="633">
        <v>-177715</v>
      </c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524">
        <f t="shared" si="0"/>
        <v>-177715</v>
      </c>
      <c r="P43" s="352">
        <f t="shared" ref="P43:P51" si="3">C44-D43</f>
        <v>-131229</v>
      </c>
      <c r="Q43" s="301"/>
      <c r="R43" s="610"/>
    </row>
    <row r="44" spans="1:18">
      <c r="A44" s="261" t="s">
        <v>1925</v>
      </c>
      <c r="B44" s="261" t="s">
        <v>1487</v>
      </c>
      <c r="C44" s="633">
        <v>-131229</v>
      </c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524">
        <f t="shared" si="0"/>
        <v>-131229</v>
      </c>
      <c r="P44" s="352">
        <f t="shared" si="3"/>
        <v>-839257</v>
      </c>
      <c r="Q44" s="301"/>
    </row>
    <row r="45" spans="1:18">
      <c r="A45" s="261" t="s">
        <v>1506</v>
      </c>
      <c r="B45" s="261" t="s">
        <v>48</v>
      </c>
      <c r="C45" s="633">
        <v>-839257</v>
      </c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524">
        <f t="shared" si="0"/>
        <v>-839257</v>
      </c>
      <c r="P45" s="352">
        <f>C47-D45</f>
        <v>-420710</v>
      </c>
      <c r="Q45" s="301"/>
    </row>
    <row r="46" spans="1:18">
      <c r="A46" s="261" t="s">
        <v>3223</v>
      </c>
      <c r="B46" s="261" t="s">
        <v>3224</v>
      </c>
      <c r="C46" s="633">
        <v>-1065119</v>
      </c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524">
        <f t="shared" si="0"/>
        <v>-1065119</v>
      </c>
      <c r="P46" s="352"/>
      <c r="Q46" s="301"/>
    </row>
    <row r="47" spans="1:18">
      <c r="A47" s="261" t="s">
        <v>1507</v>
      </c>
      <c r="B47" s="261" t="s">
        <v>805</v>
      </c>
      <c r="C47" s="633">
        <v>-420710</v>
      </c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524">
        <f t="shared" si="0"/>
        <v>-420710</v>
      </c>
      <c r="P47" s="352">
        <f t="shared" si="3"/>
        <v>-741641</v>
      </c>
      <c r="Q47" s="301"/>
    </row>
    <row r="48" spans="1:18">
      <c r="A48" s="261" t="s">
        <v>1508</v>
      </c>
      <c r="B48" s="261" t="s">
        <v>806</v>
      </c>
      <c r="C48" s="633">
        <v>-741641</v>
      </c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524">
        <f t="shared" si="0"/>
        <v>-741641</v>
      </c>
      <c r="P48" s="352">
        <f t="shared" si="3"/>
        <v>1</v>
      </c>
      <c r="Q48" s="301"/>
    </row>
    <row r="49" spans="1:17">
      <c r="A49" s="261" t="s">
        <v>1926</v>
      </c>
      <c r="B49" s="261" t="s">
        <v>1927</v>
      </c>
      <c r="C49" s="633">
        <v>1</v>
      </c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524">
        <f t="shared" si="0"/>
        <v>1</v>
      </c>
      <c r="P49" s="352">
        <f t="shared" si="3"/>
        <v>-1105609</v>
      </c>
      <c r="Q49" s="301"/>
    </row>
    <row r="50" spans="1:17">
      <c r="A50" s="261" t="s">
        <v>1509</v>
      </c>
      <c r="B50" s="261" t="s">
        <v>49</v>
      </c>
      <c r="C50" s="633">
        <v>-1105609</v>
      </c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524">
        <f t="shared" si="0"/>
        <v>-1105609</v>
      </c>
      <c r="P50" s="352">
        <f t="shared" si="3"/>
        <v>-642168</v>
      </c>
      <c r="Q50" s="301"/>
    </row>
    <row r="51" spans="1:17">
      <c r="A51" s="261" t="s">
        <v>1921</v>
      </c>
      <c r="B51" s="261" t="s">
        <v>1922</v>
      </c>
      <c r="C51" s="633">
        <v>-642168</v>
      </c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524">
        <f t="shared" si="0"/>
        <v>-642168</v>
      </c>
      <c r="P51" s="352">
        <f t="shared" si="3"/>
        <v>0</v>
      </c>
      <c r="Q51" s="301"/>
    </row>
    <row r="52" spans="1:17">
      <c r="A52" s="261" t="s">
        <v>2600</v>
      </c>
      <c r="B52" s="261" t="s">
        <v>3009</v>
      </c>
      <c r="C52" s="633">
        <v>0</v>
      </c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524">
        <f t="shared" si="0"/>
        <v>0</v>
      </c>
      <c r="P52" s="352"/>
      <c r="Q52" s="301"/>
    </row>
    <row r="53" spans="1:17" s="407" customFormat="1">
      <c r="A53" s="552" t="s">
        <v>1511</v>
      </c>
      <c r="B53" s="552" t="s">
        <v>807</v>
      </c>
      <c r="C53" s="633">
        <v>0</v>
      </c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524">
        <f t="shared" si="0"/>
        <v>0</v>
      </c>
      <c r="P53" s="559">
        <f>C54-D53</f>
        <v>-371590</v>
      </c>
      <c r="Q53" s="301"/>
    </row>
    <row r="54" spans="1:17">
      <c r="A54" s="261" t="s">
        <v>1512</v>
      </c>
      <c r="B54" s="261" t="s">
        <v>51</v>
      </c>
      <c r="C54" s="633">
        <v>-371590</v>
      </c>
      <c r="D54" s="633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524">
        <f t="shared" si="0"/>
        <v>-371590</v>
      </c>
      <c r="P54" s="352">
        <f>C56-D54</f>
        <v>-502259</v>
      </c>
      <c r="Q54" s="301"/>
    </row>
    <row r="55" spans="1:17">
      <c r="A55" s="261" t="s">
        <v>1513</v>
      </c>
      <c r="B55" s="261" t="s">
        <v>808</v>
      </c>
      <c r="C55" s="633">
        <v>0</v>
      </c>
      <c r="D55" s="633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524">
        <f t="shared" si="0"/>
        <v>0</v>
      </c>
      <c r="P55" s="352"/>
      <c r="Q55" s="301"/>
    </row>
    <row r="56" spans="1:17">
      <c r="A56" s="261" t="s">
        <v>1514</v>
      </c>
      <c r="B56" s="261" t="s">
        <v>52</v>
      </c>
      <c r="C56" s="633">
        <v>-502259</v>
      </c>
      <c r="D56" s="633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524">
        <f t="shared" si="0"/>
        <v>-502259</v>
      </c>
      <c r="P56" s="352">
        <f>C58-D56</f>
        <v>-597458</v>
      </c>
      <c r="Q56" s="301"/>
    </row>
    <row r="57" spans="1:17">
      <c r="A57" s="261" t="s">
        <v>1516</v>
      </c>
      <c r="B57" s="261" t="s">
        <v>53</v>
      </c>
      <c r="C57" s="633">
        <v>-2853756</v>
      </c>
      <c r="D57" s="633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524">
        <f t="shared" si="0"/>
        <v>-2853756</v>
      </c>
      <c r="P57" s="352">
        <f>C58-D57</f>
        <v>-597458</v>
      </c>
      <c r="Q57" s="301"/>
    </row>
    <row r="58" spans="1:17">
      <c r="A58" s="261" t="s">
        <v>2813</v>
      </c>
      <c r="B58" s="261" t="s">
        <v>2814</v>
      </c>
      <c r="C58" s="633">
        <v>-597458</v>
      </c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524">
        <f t="shared" si="0"/>
        <v>-597458</v>
      </c>
      <c r="P58" s="352">
        <f>C59-D58</f>
        <v>-868786</v>
      </c>
      <c r="Q58" s="301"/>
    </row>
    <row r="59" spans="1:17">
      <c r="A59" s="261" t="s">
        <v>1518</v>
      </c>
      <c r="B59" s="261" t="s">
        <v>434</v>
      </c>
      <c r="C59" s="633">
        <v>-868786</v>
      </c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524">
        <f t="shared" si="0"/>
        <v>-868786</v>
      </c>
      <c r="P59" s="352"/>
      <c r="Q59" s="301"/>
    </row>
    <row r="60" spans="1:17">
      <c r="A60" s="261" t="s">
        <v>1928</v>
      </c>
      <c r="B60" s="261" t="s">
        <v>1305</v>
      </c>
      <c r="C60" s="633">
        <v>-2919321</v>
      </c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524">
        <f t="shared" si="0"/>
        <v>-2919321</v>
      </c>
      <c r="P60" s="352">
        <f t="shared" ref="P60:P70" si="4">C61-D60</f>
        <v>-268190</v>
      </c>
      <c r="Q60" s="301"/>
    </row>
    <row r="61" spans="1:17">
      <c r="A61" s="261" t="s">
        <v>1520</v>
      </c>
      <c r="B61" s="261" t="s">
        <v>329</v>
      </c>
      <c r="C61" s="633">
        <v>-268190</v>
      </c>
      <c r="D61" s="633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524">
        <f t="shared" si="0"/>
        <v>-268190</v>
      </c>
      <c r="P61" s="352">
        <f t="shared" si="4"/>
        <v>-588258</v>
      </c>
      <c r="Q61" s="301"/>
    </row>
    <row r="62" spans="1:17">
      <c r="A62" s="261" t="s">
        <v>1929</v>
      </c>
      <c r="B62" s="261" t="s">
        <v>1930</v>
      </c>
      <c r="C62" s="633">
        <v>-588258</v>
      </c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524">
        <f t="shared" si="0"/>
        <v>-588258</v>
      </c>
      <c r="P62" s="352">
        <f t="shared" si="4"/>
        <v>-2086868</v>
      </c>
      <c r="Q62" s="301"/>
    </row>
    <row r="63" spans="1:17">
      <c r="A63" s="261" t="s">
        <v>1521</v>
      </c>
      <c r="B63" s="261" t="s">
        <v>54</v>
      </c>
      <c r="C63" s="633">
        <v>-2086868</v>
      </c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524">
        <f t="shared" si="0"/>
        <v>-2086868</v>
      </c>
      <c r="P63" s="352">
        <f t="shared" si="4"/>
        <v>-1831072</v>
      </c>
      <c r="Q63" s="301"/>
    </row>
    <row r="64" spans="1:17" s="200" customFormat="1">
      <c r="A64" s="261" t="s">
        <v>1522</v>
      </c>
      <c r="B64" s="261" t="s">
        <v>1523</v>
      </c>
      <c r="C64" s="633">
        <v>-1831072</v>
      </c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524">
        <f t="shared" si="0"/>
        <v>-1831072</v>
      </c>
      <c r="P64" s="352">
        <f t="shared" si="4"/>
        <v>-8846337</v>
      </c>
      <c r="Q64" s="301"/>
    </row>
    <row r="65" spans="1:17">
      <c r="A65" s="261" t="s">
        <v>1524</v>
      </c>
      <c r="B65" s="261" t="s">
        <v>254</v>
      </c>
      <c r="C65" s="633">
        <v>-8846337</v>
      </c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524">
        <f t="shared" si="0"/>
        <v>-8846337</v>
      </c>
      <c r="P65" s="352">
        <f>C67-D65</f>
        <v>0</v>
      </c>
      <c r="Q65" s="301"/>
    </row>
    <row r="66" spans="1:17">
      <c r="A66" s="261" t="s">
        <v>1525</v>
      </c>
      <c r="B66" s="261" t="s">
        <v>3002</v>
      </c>
      <c r="C66" s="633">
        <v>-19305</v>
      </c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524">
        <f t="shared" si="0"/>
        <v>-19305</v>
      </c>
      <c r="P66" s="352"/>
      <c r="Q66" s="301"/>
    </row>
    <row r="67" spans="1:17">
      <c r="A67" s="261" t="s">
        <v>1526</v>
      </c>
      <c r="B67" s="261" t="s">
        <v>1527</v>
      </c>
      <c r="C67" s="633">
        <v>0</v>
      </c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524">
        <f t="shared" si="0"/>
        <v>0</v>
      </c>
      <c r="P67" s="352">
        <f t="shared" si="4"/>
        <v>5791</v>
      </c>
      <c r="Q67" s="301"/>
    </row>
    <row r="68" spans="1:17">
      <c r="A68" s="261" t="s">
        <v>1528</v>
      </c>
      <c r="B68" s="261" t="s">
        <v>396</v>
      </c>
      <c r="C68" s="633">
        <v>5791</v>
      </c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524">
        <f t="shared" si="0"/>
        <v>5791</v>
      </c>
      <c r="P68" s="352">
        <f t="shared" si="4"/>
        <v>0</v>
      </c>
      <c r="Q68" s="301"/>
    </row>
    <row r="69" spans="1:17">
      <c r="A69" s="261" t="s">
        <v>2563</v>
      </c>
      <c r="B69" s="261" t="s">
        <v>2564</v>
      </c>
      <c r="C69" s="633">
        <v>0</v>
      </c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524">
        <f t="shared" si="0"/>
        <v>0</v>
      </c>
      <c r="P69" s="352">
        <f t="shared" si="4"/>
        <v>24026172</v>
      </c>
      <c r="Q69" s="301"/>
    </row>
    <row r="70" spans="1:17">
      <c r="A70" s="261" t="s">
        <v>1537</v>
      </c>
      <c r="B70" s="261" t="s">
        <v>592</v>
      </c>
      <c r="C70" s="633">
        <v>24026172</v>
      </c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524">
        <f t="shared" si="0"/>
        <v>24026172</v>
      </c>
      <c r="P70" s="352">
        <f t="shared" si="4"/>
        <v>-623797</v>
      </c>
      <c r="Q70" s="301"/>
    </row>
    <row r="71" spans="1:17">
      <c r="A71" s="261" t="s">
        <v>1538</v>
      </c>
      <c r="B71" s="261" t="s">
        <v>56</v>
      </c>
      <c r="C71" s="633">
        <v>-623797</v>
      </c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524">
        <f t="shared" si="0"/>
        <v>-623797</v>
      </c>
      <c r="P71" s="352" t="e">
        <f>#REF!-D71</f>
        <v>#REF!</v>
      </c>
      <c r="Q71" s="301"/>
    </row>
    <row r="72" spans="1:17">
      <c r="A72" s="261" t="s">
        <v>1539</v>
      </c>
      <c r="B72" s="261" t="s">
        <v>57</v>
      </c>
      <c r="C72" s="524">
        <v>-34</v>
      </c>
      <c r="D72" s="524"/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>
        <f t="shared" si="0"/>
        <v>-34</v>
      </c>
      <c r="P72" s="352">
        <f t="shared" si="1"/>
        <v>-34</v>
      </c>
      <c r="Q72" s="301"/>
    </row>
    <row r="73" spans="1:17" ht="14.55" thickBot="1">
      <c r="A73" s="263" t="s">
        <v>324</v>
      </c>
      <c r="B73" s="264"/>
      <c r="C73" s="525">
        <f t="shared" ref="C73:J73" si="5">SUM(C11:C72)</f>
        <v>-52231614</v>
      </c>
      <c r="D73" s="525">
        <f t="shared" si="5"/>
        <v>0</v>
      </c>
      <c r="E73" s="525">
        <f t="shared" si="5"/>
        <v>0</v>
      </c>
      <c r="F73" s="525">
        <f t="shared" si="5"/>
        <v>0</v>
      </c>
      <c r="G73" s="525">
        <f t="shared" si="5"/>
        <v>0</v>
      </c>
      <c r="H73" s="525">
        <f t="shared" si="5"/>
        <v>0</v>
      </c>
      <c r="I73" s="525">
        <f t="shared" si="5"/>
        <v>0</v>
      </c>
      <c r="J73" s="525">
        <f t="shared" si="5"/>
        <v>0</v>
      </c>
      <c r="K73" s="525">
        <f>SUM(K11:K71)</f>
        <v>0</v>
      </c>
      <c r="L73" s="525">
        <f>SUM(L11:L71)</f>
        <v>0</v>
      </c>
      <c r="M73" s="525">
        <f>SUM(M11:M71)</f>
        <v>0</v>
      </c>
      <c r="N73" s="525">
        <f>SUM(N11:N71)</f>
        <v>0</v>
      </c>
      <c r="O73" s="525">
        <f>SUM(O11:O72)</f>
        <v>-52231614</v>
      </c>
    </row>
    <row r="74" spans="1:17" ht="14" thickTop="1">
      <c r="O74" s="311">
        <f>O73-'Balance 8 Columnas'!J118</f>
        <v>0</v>
      </c>
    </row>
    <row r="75" spans="1:17">
      <c r="D75" s="551"/>
      <c r="E75" s="551"/>
      <c r="O75" s="301"/>
    </row>
    <row r="77" spans="1:17">
      <c r="C77" s="551"/>
      <c r="D77" s="551"/>
      <c r="E77" s="551"/>
      <c r="F77" s="551"/>
      <c r="O77" s="551"/>
    </row>
    <row r="78" spans="1:17">
      <c r="O78" s="551"/>
    </row>
  </sheetData>
  <mergeCells count="19">
    <mergeCell ref="K8:K9"/>
    <mergeCell ref="N8:N9"/>
    <mergeCell ref="L8:L9"/>
    <mergeCell ref="A2:O2"/>
    <mergeCell ref="A3:O3"/>
    <mergeCell ref="A4:O4"/>
    <mergeCell ref="A5:O5"/>
    <mergeCell ref="A8:A10"/>
    <mergeCell ref="B8:B10"/>
    <mergeCell ref="C8:C9"/>
    <mergeCell ref="O8:O9"/>
    <mergeCell ref="D8:D9"/>
    <mergeCell ref="E8:E9"/>
    <mergeCell ref="I8:I9"/>
    <mergeCell ref="F8:F9"/>
    <mergeCell ref="G8:G9"/>
    <mergeCell ref="H8:H9"/>
    <mergeCell ref="M8:M9"/>
    <mergeCell ref="J8:J9"/>
  </mergeCells>
  <phoneticPr fontId="40" type="noConversion"/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Q1" location="'Sum. Visual'!A1" display="'Sum. Visual'!A1" xr:uid="{A18F2B5A-6258-4CBB-95D7-1A5114DB464D}"/>
  </hyperlinks>
  <pageMargins left="0.7" right="0.7" top="0.75" bottom="0.75" header="0.3" footer="0.3"/>
  <pageSetup scale="34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tabColor theme="4" tint="0.79998168889431442"/>
  </sheetPr>
  <dimension ref="A1:V99"/>
  <sheetViews>
    <sheetView showGridLines="0" topLeftCell="D1" zoomScale="70" zoomScaleNormal="70" workbookViewId="0">
      <pane ySplit="1" topLeftCell="A8" activePane="bottomLeft" state="frozen"/>
      <selection activeCell="J61" sqref="J61"/>
      <selection pane="bottomLeft" activeCell="I42" sqref="I42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4" width="13.3984375" style="198" customWidth="1"/>
    <col min="5" max="5" width="16.59765625" style="198" customWidth="1"/>
    <col min="6" max="6" width="12.69921875" style="198" customWidth="1"/>
    <col min="7" max="7" width="15.59765625" style="198" customWidth="1"/>
    <col min="8" max="8" width="14.59765625" style="198" customWidth="1"/>
    <col min="9" max="9" width="17.296875" style="200" customWidth="1"/>
    <col min="10" max="10" width="13.5" style="198" customWidth="1"/>
    <col min="11" max="11" width="17.296875" style="198" customWidth="1"/>
    <col min="12" max="12" width="15.69921875" style="198" customWidth="1"/>
    <col min="13" max="13" width="16" style="198" customWidth="1"/>
    <col min="14" max="14" width="15.19921875" style="198" customWidth="1"/>
    <col min="15" max="15" width="13.19921875" style="198" customWidth="1"/>
    <col min="16" max="16" width="13" style="198" customWidth="1"/>
    <col min="17" max="17" width="13.8984375" style="198" customWidth="1"/>
    <col min="18" max="18" width="20" style="198" customWidth="1"/>
    <col min="19" max="19" width="14.09765625" style="198" bestFit="1" customWidth="1"/>
    <col min="20" max="20" width="13.3984375" style="198" bestFit="1" customWidth="1"/>
    <col min="21" max="21" width="14.09765625" style="198" customWidth="1"/>
    <col min="22" max="22" width="14.59765625" style="198" bestFit="1" customWidth="1"/>
    <col min="23" max="23" width="14.09765625" style="198" bestFit="1" customWidth="1"/>
    <col min="24" max="16384" width="11.3984375" style="198"/>
  </cols>
  <sheetData>
    <row r="1" spans="1:22" s="457" customFormat="1">
      <c r="D1" s="457">
        <v>300</v>
      </c>
      <c r="E1" s="457">
        <v>130</v>
      </c>
      <c r="F1" s="457">
        <v>140</v>
      </c>
      <c r="G1" s="457">
        <v>150</v>
      </c>
      <c r="H1" s="457">
        <v>100</v>
      </c>
      <c r="I1" s="458">
        <v>2</v>
      </c>
      <c r="J1" s="457">
        <v>170</v>
      </c>
      <c r="K1" s="457">
        <v>180</v>
      </c>
      <c r="L1" s="457">
        <v>185</v>
      </c>
      <c r="M1" s="457">
        <v>500</v>
      </c>
      <c r="N1" s="457">
        <v>190</v>
      </c>
      <c r="O1" s="457">
        <v>195</v>
      </c>
      <c r="P1" s="457">
        <v>200</v>
      </c>
      <c r="Q1" s="457">
        <v>210</v>
      </c>
    </row>
    <row r="2" spans="1:22" ht="14">
      <c r="B2" s="787" t="s">
        <v>325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</row>
    <row r="3" spans="1:22" ht="14">
      <c r="B3" s="787" t="str">
        <f>+'Estado de Resultados'!B3</f>
        <v>Para el período comprendido entre el 01-01-2026 hasta el 31/01/2026</v>
      </c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787"/>
      <c r="P3" s="787"/>
      <c r="Q3" s="787"/>
      <c r="R3" s="787"/>
    </row>
    <row r="4" spans="1:22">
      <c r="C4" s="223"/>
      <c r="D4" s="223"/>
      <c r="E4" s="223"/>
      <c r="F4" s="223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  <c r="R4" s="223"/>
    </row>
    <row r="5" spans="1:22">
      <c r="A5" s="223"/>
      <c r="B5" s="223"/>
      <c r="C5" s="223"/>
      <c r="D5" s="319">
        <f>+D8/$R$8</f>
        <v>0</v>
      </c>
      <c r="E5" s="319">
        <f>+E8/$R$8</f>
        <v>0.13366971778934431</v>
      </c>
      <c r="F5" s="319">
        <f>+F8/$R$8</f>
        <v>0</v>
      </c>
      <c r="G5" s="319">
        <f>+G8/$R$8</f>
        <v>9.371527711530396E-2</v>
      </c>
      <c r="H5" s="319">
        <f>+H8/$R$8</f>
        <v>0.11146837925998702</v>
      </c>
      <c r="I5" s="347"/>
      <c r="J5" s="319">
        <f t="shared" ref="J5:Q5" si="0">+J8/$R$8</f>
        <v>0.19243443137739055</v>
      </c>
      <c r="K5" s="319">
        <f t="shared" si="0"/>
        <v>8.5159978636555667E-2</v>
      </c>
      <c r="L5" s="319">
        <f t="shared" si="0"/>
        <v>0</v>
      </c>
      <c r="M5" s="319">
        <f t="shared" si="0"/>
        <v>0</v>
      </c>
      <c r="N5" s="319">
        <f t="shared" si="0"/>
        <v>0.14553251590771504</v>
      </c>
      <c r="O5" s="319">
        <f t="shared" si="0"/>
        <v>6.8649801685218934E-2</v>
      </c>
      <c r="P5" s="319">
        <f t="shared" si="0"/>
        <v>6.8109588602142293E-2</v>
      </c>
      <c r="Q5" s="319">
        <f t="shared" si="0"/>
        <v>0.10126030962634217</v>
      </c>
      <c r="R5" s="223"/>
    </row>
    <row r="6" spans="1:22" ht="15.05" customHeight="1">
      <c r="A6" s="223"/>
      <c r="B6" s="788" t="s">
        <v>268</v>
      </c>
      <c r="C6" s="788" t="s">
        <v>267</v>
      </c>
      <c r="D6" s="788" t="s">
        <v>264</v>
      </c>
      <c r="E6" s="788" t="s">
        <v>240</v>
      </c>
      <c r="F6" s="788" t="s">
        <v>242</v>
      </c>
      <c r="G6" s="788" t="s">
        <v>266</v>
      </c>
      <c r="H6" s="788" t="s">
        <v>241</v>
      </c>
      <c r="I6" s="791" t="s">
        <v>265</v>
      </c>
      <c r="J6" s="788" t="s">
        <v>347</v>
      </c>
      <c r="K6" s="788" t="s">
        <v>349</v>
      </c>
      <c r="L6" s="788" t="s">
        <v>677</v>
      </c>
      <c r="M6" s="793" t="s">
        <v>1212</v>
      </c>
      <c r="N6" s="788" t="s">
        <v>799</v>
      </c>
      <c r="O6" s="788" t="s">
        <v>1905</v>
      </c>
      <c r="P6" s="788" t="s">
        <v>2261</v>
      </c>
      <c r="Q6" s="788" t="s">
        <v>2262</v>
      </c>
      <c r="R6" s="788" t="s">
        <v>206</v>
      </c>
    </row>
    <row r="7" spans="1:22" ht="15.05" customHeight="1">
      <c r="A7" s="223"/>
      <c r="B7" s="789"/>
      <c r="C7" s="789"/>
      <c r="D7" s="789"/>
      <c r="E7" s="789"/>
      <c r="F7" s="789"/>
      <c r="G7" s="789"/>
      <c r="H7" s="789"/>
      <c r="I7" s="792"/>
      <c r="J7" s="789"/>
      <c r="K7" s="789"/>
      <c r="L7" s="789"/>
      <c r="M7" s="794"/>
      <c r="N7" s="789"/>
      <c r="O7" s="789"/>
      <c r="P7" s="789"/>
      <c r="Q7" s="789"/>
      <c r="R7" s="789"/>
      <c r="S7" s="441"/>
      <c r="T7" s="442"/>
    </row>
    <row r="8" spans="1:22" ht="15.05" customHeight="1">
      <c r="B8" s="279" t="s">
        <v>1540</v>
      </c>
      <c r="C8" s="279" t="s">
        <v>34</v>
      </c>
      <c r="D8" s="280">
        <f>SUM(D9:D10)</f>
        <v>0</v>
      </c>
      <c r="E8" s="280">
        <f t="shared" ref="E8:K8" si="1">SUM(E9:E10)</f>
        <v>32964888.235294066</v>
      </c>
      <c r="F8" s="280">
        <f t="shared" si="1"/>
        <v>0</v>
      </c>
      <c r="G8" s="280">
        <f t="shared" si="1"/>
        <v>23111544.537815101</v>
      </c>
      <c r="H8" s="280">
        <f t="shared" si="1"/>
        <v>27489716.630252101</v>
      </c>
      <c r="I8" s="348">
        <f t="shared" si="1"/>
        <v>0</v>
      </c>
      <c r="J8" s="280">
        <f t="shared" si="1"/>
        <v>47457117.647058673</v>
      </c>
      <c r="K8" s="280">
        <f t="shared" si="1"/>
        <v>21001684.033613447</v>
      </c>
      <c r="L8" s="280">
        <f t="shared" ref="L8" si="2">SUM(L9:L10)</f>
        <v>0</v>
      </c>
      <c r="M8" s="280">
        <f t="shared" ref="M8:Q8" si="3">SUM(M9:M10)</f>
        <v>0</v>
      </c>
      <c r="N8" s="280">
        <f t="shared" si="3"/>
        <v>35890426.050420068</v>
      </c>
      <c r="O8" s="280">
        <f t="shared" si="3"/>
        <v>16930035.294117644</v>
      </c>
      <c r="P8" s="280">
        <f t="shared" si="3"/>
        <v>16796810.924369745</v>
      </c>
      <c r="Q8" s="280">
        <f t="shared" si="3"/>
        <v>24972258.823529422</v>
      </c>
      <c r="R8" s="281">
        <f>SUM(D8:Q8)</f>
        <v>246614482.17647028</v>
      </c>
      <c r="S8" s="621"/>
      <c r="T8" s="464"/>
      <c r="U8" s="407"/>
      <c r="V8" s="464"/>
    </row>
    <row r="9" spans="1:22" ht="15.05" customHeight="1">
      <c r="B9" s="241"/>
      <c r="C9" s="168" t="s">
        <v>337</v>
      </c>
      <c r="D9" s="277"/>
      <c r="E9" s="277">
        <v>438302.52100840327</v>
      </c>
      <c r="F9" s="277"/>
      <c r="G9" s="345">
        <v>622984.03361344524</v>
      </c>
      <c r="H9" s="277">
        <v>59075.630252100847</v>
      </c>
      <c r="I9" s="349"/>
      <c r="J9" s="277">
        <v>791978.15126050403</v>
      </c>
      <c r="K9" s="345">
        <v>394328.57142857148</v>
      </c>
      <c r="L9" s="345"/>
      <c r="M9" s="345"/>
      <c r="N9" s="345">
        <v>439117.64705882338</v>
      </c>
      <c r="O9" s="345">
        <v>208371.42857142846</v>
      </c>
      <c r="P9" s="345">
        <v>403824.36974789837</v>
      </c>
      <c r="Q9" s="345">
        <v>507118.48739495792</v>
      </c>
      <c r="R9" s="278">
        <f>SUM(E9:Q9)</f>
        <v>3865100.8403361333</v>
      </c>
      <c r="S9" s="407"/>
      <c r="T9" s="407"/>
      <c r="U9" s="407"/>
      <c r="V9" s="407"/>
    </row>
    <row r="10" spans="1:22" ht="15.05" customHeight="1">
      <c r="B10" s="241"/>
      <c r="C10" s="168" t="s">
        <v>307</v>
      </c>
      <c r="D10" s="277"/>
      <c r="E10" s="277">
        <v>32526585.714285664</v>
      </c>
      <c r="F10" s="277"/>
      <c r="G10" s="345">
        <v>22488560.504201654</v>
      </c>
      <c r="H10" s="277">
        <f>35615436-8184795</f>
        <v>27430641</v>
      </c>
      <c r="I10" s="349"/>
      <c r="J10" s="277">
        <v>46665139.495798171</v>
      </c>
      <c r="K10" s="345">
        <v>20607355.462184876</v>
      </c>
      <c r="L10" s="345"/>
      <c r="M10" s="345"/>
      <c r="N10" s="345">
        <v>35451308.403361246</v>
      </c>
      <c r="O10" s="345">
        <v>16721663.865546215</v>
      </c>
      <c r="P10" s="345">
        <v>16392986.554621845</v>
      </c>
      <c r="Q10" s="345">
        <v>24465140.336134464</v>
      </c>
      <c r="R10" s="278">
        <f>SUM(E10:Q10)</f>
        <v>242749381.33613414</v>
      </c>
      <c r="S10" s="407"/>
      <c r="T10" s="407"/>
      <c r="U10" s="407"/>
      <c r="V10" s="407"/>
    </row>
    <row r="11" spans="1:22" ht="15.05" customHeight="1">
      <c r="B11" s="279" t="s">
        <v>1455</v>
      </c>
      <c r="C11" s="279" t="s">
        <v>35</v>
      </c>
      <c r="D11" s="391"/>
      <c r="E11" s="391">
        <v>-17793331</v>
      </c>
      <c r="F11" s="391">
        <v>0</v>
      </c>
      <c r="G11" s="392">
        <v>-11944357</v>
      </c>
      <c r="H11" s="391">
        <v>-17445854</v>
      </c>
      <c r="I11" s="393">
        <v>0</v>
      </c>
      <c r="J11" s="391">
        <v>-25211212</v>
      </c>
      <c r="K11" s="392">
        <v>-11190542</v>
      </c>
      <c r="L11" s="392">
        <v>0</v>
      </c>
      <c r="M11" s="392"/>
      <c r="N11" s="392">
        <v>-19343670</v>
      </c>
      <c r="O11" s="392">
        <v>-9135162</v>
      </c>
      <c r="P11" s="392">
        <v>-9119820</v>
      </c>
      <c r="Q11" s="392">
        <v>-13655123</v>
      </c>
      <c r="R11" s="391">
        <f>SUM(D11:Q11)</f>
        <v>-134839071</v>
      </c>
      <c r="S11" s="621"/>
      <c r="T11" s="407"/>
      <c r="U11" s="407"/>
      <c r="V11" s="464"/>
    </row>
    <row r="12" spans="1:22" ht="15.05" customHeight="1" thickBot="1">
      <c r="B12" s="799" t="s">
        <v>244</v>
      </c>
      <c r="C12" s="799"/>
      <c r="D12" s="232">
        <f t="shared" ref="D12:R12" si="4">+D8+D11</f>
        <v>0</v>
      </c>
      <c r="E12" s="232">
        <f t="shared" si="4"/>
        <v>15171557.235294066</v>
      </c>
      <c r="F12" s="232">
        <f t="shared" si="4"/>
        <v>0</v>
      </c>
      <c r="G12" s="232">
        <f t="shared" si="4"/>
        <v>11167187.537815101</v>
      </c>
      <c r="H12" s="232">
        <f t="shared" si="4"/>
        <v>10043862.630252101</v>
      </c>
      <c r="I12" s="232">
        <f t="shared" ref="I12:P12" si="5">+I8+I11</f>
        <v>0</v>
      </c>
      <c r="J12" s="232">
        <f t="shared" si="5"/>
        <v>22245905.647058673</v>
      </c>
      <c r="K12" s="232">
        <f t="shared" si="5"/>
        <v>9811142.0336134471</v>
      </c>
      <c r="L12" s="232">
        <f t="shared" ref="L12" si="6">+L8+L11</f>
        <v>0</v>
      </c>
      <c r="M12" s="232">
        <f t="shared" si="5"/>
        <v>0</v>
      </c>
      <c r="N12" s="232">
        <f t="shared" si="5"/>
        <v>16546756.050420068</v>
      </c>
      <c r="O12" s="232">
        <f t="shared" si="5"/>
        <v>7794873.2941176444</v>
      </c>
      <c r="P12" s="232">
        <f t="shared" si="5"/>
        <v>7676990.924369745</v>
      </c>
      <c r="Q12" s="232">
        <f t="shared" ref="Q12" si="7">+Q8+Q11</f>
        <v>11317135.823529422</v>
      </c>
      <c r="R12" s="232">
        <f t="shared" si="4"/>
        <v>111775411.17647028</v>
      </c>
      <c r="S12" s="637" t="s">
        <v>482</v>
      </c>
    </row>
    <row r="13" spans="1:22" ht="15.05" customHeight="1" thickTop="1">
      <c r="B13" s="299"/>
      <c r="C13" s="299"/>
      <c r="D13" s="300"/>
      <c r="E13" s="300"/>
      <c r="F13" s="30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  <c r="R13" s="300"/>
    </row>
    <row r="14" spans="1:22" ht="15.05" customHeight="1">
      <c r="B14" s="790" t="s">
        <v>268</v>
      </c>
      <c r="C14" s="788" t="s">
        <v>267</v>
      </c>
      <c r="D14" s="788" t="s">
        <v>264</v>
      </c>
      <c r="E14" s="788" t="s">
        <v>240</v>
      </c>
      <c r="F14" s="788" t="s">
        <v>242</v>
      </c>
      <c r="G14" s="788" t="s">
        <v>266</v>
      </c>
      <c r="H14" s="788" t="s">
        <v>241</v>
      </c>
      <c r="I14" s="791" t="s">
        <v>265</v>
      </c>
      <c r="J14" s="788" t="s">
        <v>347</v>
      </c>
      <c r="K14" s="788" t="s">
        <v>349</v>
      </c>
      <c r="L14" s="788" t="s">
        <v>677</v>
      </c>
      <c r="M14" s="793" t="s">
        <v>1212</v>
      </c>
      <c r="N14" s="788" t="s">
        <v>799</v>
      </c>
      <c r="O14" s="788" t="s">
        <v>1905</v>
      </c>
      <c r="P14" s="788" t="s">
        <v>2261</v>
      </c>
      <c r="Q14" s="788" t="s">
        <v>2262</v>
      </c>
      <c r="R14" s="788" t="s">
        <v>206</v>
      </c>
    </row>
    <row r="15" spans="1:22" s="224" customFormat="1" ht="29.3" customHeight="1">
      <c r="B15" s="790"/>
      <c r="C15" s="789"/>
      <c r="D15" s="789"/>
      <c r="E15" s="789"/>
      <c r="F15" s="789"/>
      <c r="G15" s="789"/>
      <c r="H15" s="789"/>
      <c r="I15" s="792"/>
      <c r="J15" s="789"/>
      <c r="K15" s="789"/>
      <c r="L15" s="789"/>
      <c r="M15" s="794"/>
      <c r="N15" s="789"/>
      <c r="O15" s="789"/>
      <c r="P15" s="789"/>
      <c r="Q15" s="789"/>
      <c r="R15" s="789"/>
    </row>
    <row r="16" spans="1:22" ht="13.6" customHeight="1">
      <c r="B16" s="241" t="s">
        <v>2588</v>
      </c>
      <c r="C16" s="241" t="s">
        <v>2589</v>
      </c>
      <c r="D16" s="278">
        <v>0</v>
      </c>
      <c r="E16" s="278">
        <v>0</v>
      </c>
      <c r="F16" s="278">
        <v>0</v>
      </c>
      <c r="G16" s="278">
        <v>0</v>
      </c>
      <c r="H16" s="278">
        <v>3751074</v>
      </c>
      <c r="I16" s="526">
        <v>0</v>
      </c>
      <c r="J16" s="278">
        <v>0</v>
      </c>
      <c r="K16" s="278">
        <v>0</v>
      </c>
      <c r="L16" s="278">
        <v>0</v>
      </c>
      <c r="M16" s="278">
        <v>0</v>
      </c>
      <c r="N16" s="527">
        <v>0</v>
      </c>
      <c r="O16" s="527">
        <v>0</v>
      </c>
      <c r="P16" s="527">
        <v>0</v>
      </c>
      <c r="Q16" s="527">
        <v>0</v>
      </c>
      <c r="R16" s="278">
        <f t="shared" ref="R16:R75" si="8">SUM(D16:Q16)</f>
        <v>3751074</v>
      </c>
    </row>
    <row r="17" spans="2:21" ht="13.6" customHeight="1">
      <c r="B17" s="241" t="s">
        <v>1456</v>
      </c>
      <c r="C17" s="241" t="s">
        <v>358</v>
      </c>
      <c r="D17" s="278">
        <v>-2164695</v>
      </c>
      <c r="E17" s="278">
        <v>21780</v>
      </c>
      <c r="F17" s="278">
        <v>0</v>
      </c>
      <c r="G17" s="278">
        <v>21780</v>
      </c>
      <c r="H17" s="278">
        <v>150000</v>
      </c>
      <c r="I17" s="526">
        <v>0</v>
      </c>
      <c r="J17" s="278">
        <v>21780</v>
      </c>
      <c r="K17" s="278">
        <v>21780</v>
      </c>
      <c r="L17" s="278">
        <v>0</v>
      </c>
      <c r="M17" s="278">
        <v>0</v>
      </c>
      <c r="N17" s="527">
        <v>21780</v>
      </c>
      <c r="O17" s="527">
        <v>21780</v>
      </c>
      <c r="P17" s="527">
        <v>21780</v>
      </c>
      <c r="Q17" s="527">
        <v>21780</v>
      </c>
      <c r="R17" s="278">
        <f t="shared" si="8"/>
        <v>-1840455</v>
      </c>
    </row>
    <row r="18" spans="2:21">
      <c r="B18" s="241" t="s">
        <v>1458</v>
      </c>
      <c r="C18" s="241" t="s">
        <v>359</v>
      </c>
      <c r="D18" s="278">
        <v>0</v>
      </c>
      <c r="E18" s="278">
        <v>0</v>
      </c>
      <c r="F18" s="278">
        <v>0</v>
      </c>
      <c r="G18" s="278">
        <v>0</v>
      </c>
      <c r="H18" s="278">
        <v>-3004368</v>
      </c>
      <c r="I18" s="526">
        <v>0</v>
      </c>
      <c r="J18" s="278">
        <v>0</v>
      </c>
      <c r="K18" s="278">
        <v>0</v>
      </c>
      <c r="L18" s="278">
        <v>0</v>
      </c>
      <c r="M18" s="278">
        <v>304544</v>
      </c>
      <c r="N18" s="278">
        <v>0</v>
      </c>
      <c r="O18" s="278">
        <v>0</v>
      </c>
      <c r="P18" s="278">
        <v>0</v>
      </c>
      <c r="Q18" s="278">
        <v>0</v>
      </c>
      <c r="R18" s="278">
        <f t="shared" si="8"/>
        <v>-2699824</v>
      </c>
    </row>
    <row r="19" spans="2:21">
      <c r="B19" s="241" t="s">
        <v>1459</v>
      </c>
      <c r="C19" s="241" t="s">
        <v>360</v>
      </c>
      <c r="D19" s="278">
        <v>0</v>
      </c>
      <c r="E19" s="278">
        <v>0</v>
      </c>
      <c r="F19" s="278">
        <v>0</v>
      </c>
      <c r="G19" s="278">
        <v>0</v>
      </c>
      <c r="H19" s="278">
        <v>2066127</v>
      </c>
      <c r="I19" s="526">
        <v>0</v>
      </c>
      <c r="J19" s="278">
        <v>0</v>
      </c>
      <c r="K19" s="278">
        <v>0</v>
      </c>
      <c r="L19" s="278">
        <v>0</v>
      </c>
      <c r="M19" s="278">
        <v>-2866174</v>
      </c>
      <c r="N19" s="278">
        <v>0</v>
      </c>
      <c r="O19" s="278">
        <v>0</v>
      </c>
      <c r="P19" s="278">
        <v>0</v>
      </c>
      <c r="Q19" s="278">
        <v>0</v>
      </c>
      <c r="R19" s="278">
        <f t="shared" si="8"/>
        <v>-800047</v>
      </c>
    </row>
    <row r="20" spans="2:21">
      <c r="B20" s="241" t="s">
        <v>1460</v>
      </c>
      <c r="C20" s="241" t="s">
        <v>361</v>
      </c>
      <c r="D20" s="278">
        <v>0</v>
      </c>
      <c r="E20" s="278">
        <v>0</v>
      </c>
      <c r="F20" s="278">
        <v>0</v>
      </c>
      <c r="G20" s="278">
        <v>0</v>
      </c>
      <c r="H20" s="278">
        <v>-129245</v>
      </c>
      <c r="I20" s="526">
        <v>0</v>
      </c>
      <c r="J20" s="278">
        <v>0</v>
      </c>
      <c r="K20" s="278">
        <v>0</v>
      </c>
      <c r="L20" s="278">
        <v>0</v>
      </c>
      <c r="M20" s="278">
        <v>-1846777</v>
      </c>
      <c r="N20" s="278">
        <v>0</v>
      </c>
      <c r="O20" s="278">
        <v>0</v>
      </c>
      <c r="P20" s="278">
        <v>0</v>
      </c>
      <c r="Q20" s="278">
        <v>0</v>
      </c>
      <c r="R20" s="278">
        <f t="shared" si="8"/>
        <v>-1976022</v>
      </c>
    </row>
    <row r="21" spans="2:21">
      <c r="B21" s="241" t="s">
        <v>2567</v>
      </c>
      <c r="C21" s="241" t="s">
        <v>2565</v>
      </c>
      <c r="D21" s="278">
        <v>0</v>
      </c>
      <c r="E21" s="278">
        <v>0</v>
      </c>
      <c r="F21" s="278">
        <v>0</v>
      </c>
      <c r="G21" s="278">
        <v>0</v>
      </c>
      <c r="H21" s="278">
        <v>0</v>
      </c>
      <c r="I21" s="526">
        <v>0</v>
      </c>
      <c r="J21" s="278">
        <v>0</v>
      </c>
      <c r="K21" s="278">
        <v>0</v>
      </c>
      <c r="L21" s="278">
        <v>0</v>
      </c>
      <c r="M21" s="278">
        <v>0</v>
      </c>
      <c r="N21" s="278">
        <v>-44990</v>
      </c>
      <c r="O21" s="278">
        <v>0</v>
      </c>
      <c r="P21" s="278">
        <v>0</v>
      </c>
      <c r="Q21" s="278">
        <v>0</v>
      </c>
      <c r="R21" s="278">
        <f t="shared" si="8"/>
        <v>-44990</v>
      </c>
    </row>
    <row r="22" spans="2:21">
      <c r="B22" s="241" t="s">
        <v>2596</v>
      </c>
      <c r="C22" s="241" t="s">
        <v>2597</v>
      </c>
      <c r="D22" s="278">
        <v>0</v>
      </c>
      <c r="E22" s="278">
        <v>0</v>
      </c>
      <c r="F22" s="278">
        <v>0</v>
      </c>
      <c r="G22" s="278">
        <v>0</v>
      </c>
      <c r="H22" s="278">
        <v>0</v>
      </c>
      <c r="I22" s="526">
        <v>0</v>
      </c>
      <c r="J22" s="278">
        <v>-14372</v>
      </c>
      <c r="K22" s="278">
        <v>-27334</v>
      </c>
      <c r="L22" s="278">
        <v>0</v>
      </c>
      <c r="M22" s="278">
        <v>0</v>
      </c>
      <c r="N22" s="278">
        <v>-4801</v>
      </c>
      <c r="O22" s="278">
        <v>0</v>
      </c>
      <c r="P22" s="278">
        <v>0</v>
      </c>
      <c r="Q22" s="278">
        <v>0</v>
      </c>
      <c r="R22" s="278">
        <f t="shared" si="8"/>
        <v>-46507</v>
      </c>
    </row>
    <row r="23" spans="2:21">
      <c r="B23" s="241" t="s">
        <v>1463</v>
      </c>
      <c r="C23" s="241" t="s">
        <v>36</v>
      </c>
      <c r="D23" s="278">
        <v>0</v>
      </c>
      <c r="E23" s="278">
        <v>-5471370</v>
      </c>
      <c r="F23" s="278">
        <v>0</v>
      </c>
      <c r="G23" s="278">
        <v>-5105142</v>
      </c>
      <c r="H23" s="278">
        <v>-3360231</v>
      </c>
      <c r="I23" s="526">
        <v>-589781</v>
      </c>
      <c r="J23" s="278">
        <v>-6163578</v>
      </c>
      <c r="K23" s="278">
        <v>-4432782</v>
      </c>
      <c r="L23" s="278">
        <v>0</v>
      </c>
      <c r="M23" s="278">
        <v>-1429576</v>
      </c>
      <c r="N23" s="278">
        <v>-5819291</v>
      </c>
      <c r="O23" s="278">
        <v>-3991543</v>
      </c>
      <c r="P23" s="278">
        <v>-4129167</v>
      </c>
      <c r="Q23" s="278">
        <v>-4624690</v>
      </c>
      <c r="R23" s="278">
        <f t="shared" si="8"/>
        <v>-45117151</v>
      </c>
    </row>
    <row r="24" spans="2:21" s="200" customFormat="1">
      <c r="B24" s="552" t="s">
        <v>1464</v>
      </c>
      <c r="C24" s="552" t="s">
        <v>37</v>
      </c>
      <c r="D24" s="526">
        <v>0</v>
      </c>
      <c r="E24" s="526">
        <v>-273846</v>
      </c>
      <c r="F24" s="526">
        <v>0</v>
      </c>
      <c r="G24" s="526">
        <v>-183785</v>
      </c>
      <c r="H24" s="526">
        <v>-127312</v>
      </c>
      <c r="I24" s="526">
        <v>0</v>
      </c>
      <c r="J24" s="526">
        <v>-295071</v>
      </c>
      <c r="K24" s="526">
        <v>-167527</v>
      </c>
      <c r="L24" s="526">
        <v>0</v>
      </c>
      <c r="M24" s="526">
        <v>0</v>
      </c>
      <c r="N24" s="526">
        <v>-668574</v>
      </c>
      <c r="O24" s="526">
        <v>-17293</v>
      </c>
      <c r="P24" s="526">
        <v>805918</v>
      </c>
      <c r="Q24" s="526">
        <v>-803000</v>
      </c>
      <c r="R24" s="278">
        <f t="shared" si="8"/>
        <v>-1730490</v>
      </c>
      <c r="U24" s="198"/>
    </row>
    <row r="25" spans="2:21" s="200" customFormat="1">
      <c r="B25" s="552" t="s">
        <v>1465</v>
      </c>
      <c r="C25" s="552" t="s">
        <v>38</v>
      </c>
      <c r="D25" s="526">
        <v>0</v>
      </c>
      <c r="E25" s="526">
        <v>-190943</v>
      </c>
      <c r="F25" s="526">
        <v>0</v>
      </c>
      <c r="G25" s="526">
        <v>-203449</v>
      </c>
      <c r="H25" s="526">
        <v>-92175</v>
      </c>
      <c r="I25" s="526">
        <v>-44143</v>
      </c>
      <c r="J25" s="526">
        <v>-226386</v>
      </c>
      <c r="K25" s="526">
        <v>-163670</v>
      </c>
      <c r="L25" s="526">
        <v>0</v>
      </c>
      <c r="M25" s="526">
        <v>-34952</v>
      </c>
      <c r="N25" s="526">
        <v>-219642</v>
      </c>
      <c r="O25" s="526">
        <v>-149355</v>
      </c>
      <c r="P25" s="526">
        <v>-149071</v>
      </c>
      <c r="Q25" s="526">
        <v>-181297</v>
      </c>
      <c r="R25" s="278">
        <f t="shared" si="8"/>
        <v>-1655083</v>
      </c>
      <c r="U25" s="198"/>
    </row>
    <row r="26" spans="2:21" s="200" customFormat="1">
      <c r="B26" s="552" t="s">
        <v>1466</v>
      </c>
      <c r="C26" s="552" t="s">
        <v>39</v>
      </c>
      <c r="D26" s="526">
        <v>0</v>
      </c>
      <c r="E26" s="526">
        <v>-1260847</v>
      </c>
      <c r="F26" s="526">
        <v>0</v>
      </c>
      <c r="G26" s="526">
        <v>-1345486</v>
      </c>
      <c r="H26" s="526">
        <v>-460102</v>
      </c>
      <c r="I26" s="526">
        <v>-215308</v>
      </c>
      <c r="J26" s="526">
        <v>-1419780</v>
      </c>
      <c r="K26" s="526">
        <v>-1136975</v>
      </c>
      <c r="L26" s="526">
        <v>0</v>
      </c>
      <c r="M26" s="526">
        <v>-147415</v>
      </c>
      <c r="N26" s="526">
        <v>-1338001</v>
      </c>
      <c r="O26" s="526">
        <v>-1000642</v>
      </c>
      <c r="P26" s="526">
        <v>-1039174</v>
      </c>
      <c r="Q26" s="526">
        <v>-1220422</v>
      </c>
      <c r="R26" s="278">
        <f t="shared" si="8"/>
        <v>-10584152</v>
      </c>
      <c r="U26" s="198"/>
    </row>
    <row r="27" spans="2:21" s="200" customFormat="1">
      <c r="B27" s="552" t="s">
        <v>1467</v>
      </c>
      <c r="C27" s="552" t="s">
        <v>393</v>
      </c>
      <c r="D27" s="526">
        <v>0</v>
      </c>
      <c r="E27" s="526">
        <v>0</v>
      </c>
      <c r="F27" s="526">
        <v>0</v>
      </c>
      <c r="G27" s="526">
        <v>0</v>
      </c>
      <c r="H27" s="526">
        <v>0</v>
      </c>
      <c r="I27" s="526">
        <v>-4000</v>
      </c>
      <c r="J27" s="526">
        <v>0</v>
      </c>
      <c r="K27" s="526">
        <v>0</v>
      </c>
      <c r="L27" s="526">
        <v>0</v>
      </c>
      <c r="M27" s="526">
        <v>0</v>
      </c>
      <c r="N27" s="526">
        <v>0</v>
      </c>
      <c r="O27" s="526">
        <v>0</v>
      </c>
      <c r="P27" s="526">
        <v>0</v>
      </c>
      <c r="Q27" s="526">
        <v>0</v>
      </c>
      <c r="R27" s="278">
        <f t="shared" si="8"/>
        <v>-4000</v>
      </c>
      <c r="U27" s="198"/>
    </row>
    <row r="28" spans="2:21" s="200" customFormat="1">
      <c r="B28" s="552" t="s">
        <v>1468</v>
      </c>
      <c r="C28" s="552" t="s">
        <v>42</v>
      </c>
      <c r="D28" s="526">
        <v>0</v>
      </c>
      <c r="E28" s="526">
        <v>-71936</v>
      </c>
      <c r="F28" s="526">
        <v>0</v>
      </c>
      <c r="G28" s="526">
        <v>-73997</v>
      </c>
      <c r="H28" s="526">
        <v>-34371</v>
      </c>
      <c r="I28" s="526">
        <v>-11124</v>
      </c>
      <c r="J28" s="526">
        <v>-84795</v>
      </c>
      <c r="K28" s="526">
        <v>-58447</v>
      </c>
      <c r="L28" s="526">
        <v>0</v>
      </c>
      <c r="M28" s="526">
        <v>-12025</v>
      </c>
      <c r="N28" s="526">
        <v>-82866</v>
      </c>
      <c r="O28" s="526">
        <v>-51899</v>
      </c>
      <c r="P28" s="526">
        <v>-52421</v>
      </c>
      <c r="Q28" s="526">
        <v>-66273</v>
      </c>
      <c r="R28" s="278">
        <f t="shared" si="8"/>
        <v>-600154</v>
      </c>
      <c r="U28" s="198"/>
    </row>
    <row r="29" spans="2:21" s="200" customFormat="1">
      <c r="B29" s="552" t="s">
        <v>1469</v>
      </c>
      <c r="C29" s="552" t="s">
        <v>43</v>
      </c>
      <c r="D29" s="526">
        <v>0</v>
      </c>
      <c r="E29" s="526">
        <v>-119119</v>
      </c>
      <c r="F29" s="526">
        <v>0</v>
      </c>
      <c r="G29" s="526">
        <v>-124090</v>
      </c>
      <c r="H29" s="526">
        <v>-56916</v>
      </c>
      <c r="I29" s="526">
        <v>-28325</v>
      </c>
      <c r="J29" s="526">
        <v>-140414</v>
      </c>
      <c r="K29" s="526">
        <v>-100092</v>
      </c>
      <c r="L29" s="526">
        <v>0</v>
      </c>
      <c r="M29" s="526">
        <v>-19912</v>
      </c>
      <c r="N29" s="526">
        <v>-137221</v>
      </c>
      <c r="O29" s="526">
        <v>-89846</v>
      </c>
      <c r="P29" s="526">
        <v>-86806</v>
      </c>
      <c r="Q29" s="526">
        <v>-109740</v>
      </c>
      <c r="R29" s="278">
        <f t="shared" si="8"/>
        <v>-1012481</v>
      </c>
      <c r="U29" s="198"/>
    </row>
    <row r="30" spans="2:21" s="200" customFormat="1">
      <c r="B30" s="552" t="s">
        <v>2885</v>
      </c>
      <c r="C30" s="261" t="s">
        <v>2888</v>
      </c>
      <c r="D30" s="526">
        <v>0</v>
      </c>
      <c r="E30" s="526">
        <v>-7736</v>
      </c>
      <c r="F30" s="526">
        <v>0</v>
      </c>
      <c r="G30" s="526">
        <v>-7952</v>
      </c>
      <c r="H30" s="526">
        <v>-3696</v>
      </c>
      <c r="I30" s="526">
        <v>-1175</v>
      </c>
      <c r="J30" s="526">
        <v>-9119</v>
      </c>
      <c r="K30" s="526">
        <v>-6279</v>
      </c>
      <c r="L30" s="526">
        <v>0</v>
      </c>
      <c r="M30" s="526">
        <v>-1293</v>
      </c>
      <c r="N30" s="526">
        <v>-8910</v>
      </c>
      <c r="O30" s="526">
        <v>-5572</v>
      </c>
      <c r="P30" s="526">
        <v>-5637</v>
      </c>
      <c r="Q30" s="526">
        <v>-7126</v>
      </c>
      <c r="R30" s="278">
        <f t="shared" si="8"/>
        <v>-64495</v>
      </c>
      <c r="U30" s="198"/>
    </row>
    <row r="31" spans="2:21" s="200" customFormat="1">
      <c r="B31" s="552" t="s">
        <v>2886</v>
      </c>
      <c r="C31" s="261" t="s">
        <v>2889</v>
      </c>
      <c r="D31" s="526">
        <v>0</v>
      </c>
      <c r="E31" s="526">
        <v>-69616</v>
      </c>
      <c r="F31" s="526">
        <v>0</v>
      </c>
      <c r="G31" s="526">
        <v>-72523</v>
      </c>
      <c r="H31" s="526">
        <v>-33262</v>
      </c>
      <c r="I31" s="526">
        <v>-16554</v>
      </c>
      <c r="J31" s="526">
        <v>-82059</v>
      </c>
      <c r="K31" s="526">
        <v>-58497</v>
      </c>
      <c r="L31" s="526">
        <v>0</v>
      </c>
      <c r="M31" s="526">
        <v>-11637</v>
      </c>
      <c r="N31" s="526">
        <v>-80194</v>
      </c>
      <c r="O31" s="526">
        <v>-52509</v>
      </c>
      <c r="P31" s="526">
        <v>-50733</v>
      </c>
      <c r="Q31" s="526">
        <v>-64134</v>
      </c>
      <c r="R31" s="278">
        <f t="shared" si="8"/>
        <v>-591718</v>
      </c>
      <c r="U31" s="198"/>
    </row>
    <row r="32" spans="2:21" s="200" customFormat="1">
      <c r="B32" s="552" t="s">
        <v>1470</v>
      </c>
      <c r="C32" s="552" t="s">
        <v>454</v>
      </c>
      <c r="D32" s="526">
        <v>0</v>
      </c>
      <c r="E32" s="526">
        <v>0</v>
      </c>
      <c r="F32" s="526">
        <v>0</v>
      </c>
      <c r="G32" s="526">
        <v>0</v>
      </c>
      <c r="H32" s="526">
        <v>0</v>
      </c>
      <c r="I32" s="526">
        <v>0</v>
      </c>
      <c r="J32" s="526">
        <v>0</v>
      </c>
      <c r="K32" s="526">
        <v>0</v>
      </c>
      <c r="L32" s="526">
        <v>0</v>
      </c>
      <c r="M32" s="526">
        <v>0</v>
      </c>
      <c r="N32" s="526">
        <v>0</v>
      </c>
      <c r="O32" s="526">
        <v>0</v>
      </c>
      <c r="P32" s="526">
        <v>0</v>
      </c>
      <c r="Q32" s="526">
        <v>0</v>
      </c>
      <c r="R32" s="278">
        <f t="shared" si="8"/>
        <v>0</v>
      </c>
      <c r="U32" s="198"/>
    </row>
    <row r="33" spans="2:21" s="200" customFormat="1">
      <c r="B33" s="552" t="s">
        <v>1932</v>
      </c>
      <c r="C33" s="552" t="s">
        <v>1933</v>
      </c>
      <c r="D33" s="526">
        <v>0</v>
      </c>
      <c r="E33" s="526">
        <v>-54023</v>
      </c>
      <c r="F33" s="526">
        <v>0</v>
      </c>
      <c r="G33" s="526">
        <v>-246963</v>
      </c>
      <c r="H33" s="526">
        <v>0</v>
      </c>
      <c r="I33" s="526">
        <v>-7718</v>
      </c>
      <c r="J33" s="526">
        <v>-138917</v>
      </c>
      <c r="K33" s="526">
        <v>-77176</v>
      </c>
      <c r="L33" s="526">
        <v>0</v>
      </c>
      <c r="M33" s="526">
        <v>0</v>
      </c>
      <c r="N33" s="526">
        <v>0</v>
      </c>
      <c r="O33" s="526">
        <v>-84893</v>
      </c>
      <c r="P33" s="526">
        <v>-100328</v>
      </c>
      <c r="Q33" s="526">
        <v>-46306</v>
      </c>
      <c r="R33" s="278">
        <f t="shared" si="8"/>
        <v>-756324</v>
      </c>
      <c r="U33" s="198"/>
    </row>
    <row r="34" spans="2:21">
      <c r="B34" s="241" t="s">
        <v>1473</v>
      </c>
      <c r="C34" s="241" t="s">
        <v>311</v>
      </c>
      <c r="D34" s="278">
        <v>0</v>
      </c>
      <c r="E34" s="278">
        <v>-180943</v>
      </c>
      <c r="F34" s="278">
        <v>0</v>
      </c>
      <c r="G34" s="278">
        <v>-133838</v>
      </c>
      <c r="H34" s="278">
        <v>0</v>
      </c>
      <c r="I34" s="526">
        <v>-51590</v>
      </c>
      <c r="J34" s="278">
        <v>-299778</v>
      </c>
      <c r="K34" s="278">
        <v>-135476</v>
      </c>
      <c r="L34" s="278">
        <v>0</v>
      </c>
      <c r="M34" s="278">
        <v>0</v>
      </c>
      <c r="N34" s="278">
        <v>-289276</v>
      </c>
      <c r="O34" s="278">
        <v>-129339</v>
      </c>
      <c r="P34" s="278">
        <v>-90282</v>
      </c>
      <c r="Q34" s="278">
        <v>-137030</v>
      </c>
      <c r="R34" s="278">
        <f t="shared" si="8"/>
        <v>-1447552</v>
      </c>
    </row>
    <row r="35" spans="2:21">
      <c r="B35" s="241" t="s">
        <v>1474</v>
      </c>
      <c r="C35" s="241" t="s">
        <v>45</v>
      </c>
      <c r="D35" s="278">
        <v>0</v>
      </c>
      <c r="E35" s="278">
        <v>-878119</v>
      </c>
      <c r="F35" s="278">
        <v>0</v>
      </c>
      <c r="G35" s="278">
        <v>-573217</v>
      </c>
      <c r="H35" s="278">
        <v>0</v>
      </c>
      <c r="I35" s="526">
        <v>-262921</v>
      </c>
      <c r="J35" s="278">
        <v>-1348315</v>
      </c>
      <c r="K35" s="278">
        <v>-606114</v>
      </c>
      <c r="L35" s="278">
        <v>0</v>
      </c>
      <c r="M35" s="278">
        <v>0</v>
      </c>
      <c r="N35" s="278">
        <v>-1214957</v>
      </c>
      <c r="O35" s="278">
        <v>-549390</v>
      </c>
      <c r="P35" s="278">
        <v>-419677</v>
      </c>
      <c r="Q35" s="278">
        <v>-592611</v>
      </c>
      <c r="R35" s="278">
        <f t="shared" si="8"/>
        <v>-6445321</v>
      </c>
    </row>
    <row r="36" spans="2:21">
      <c r="B36" s="241" t="s">
        <v>1491</v>
      </c>
      <c r="C36" s="241" t="s">
        <v>40</v>
      </c>
      <c r="D36" s="278">
        <v>0</v>
      </c>
      <c r="E36" s="278">
        <v>-320101</v>
      </c>
      <c r="F36" s="278">
        <v>0</v>
      </c>
      <c r="G36" s="278">
        <v>-252135</v>
      </c>
      <c r="H36" s="278">
        <v>-107297</v>
      </c>
      <c r="I36" s="526">
        <v>-50000</v>
      </c>
      <c r="J36" s="278">
        <v>-337155</v>
      </c>
      <c r="K36" s="278">
        <v>-227921</v>
      </c>
      <c r="L36" s="278">
        <v>0</v>
      </c>
      <c r="M36" s="278">
        <v>-69560</v>
      </c>
      <c r="N36" s="278">
        <v>-322795</v>
      </c>
      <c r="O36" s="278">
        <v>-199224</v>
      </c>
      <c r="P36" s="278">
        <v>-202307</v>
      </c>
      <c r="Q36" s="278">
        <v>-238005</v>
      </c>
      <c r="R36" s="278">
        <f t="shared" si="8"/>
        <v>-2326500</v>
      </c>
    </row>
    <row r="37" spans="2:21">
      <c r="B37" s="241" t="s">
        <v>1492</v>
      </c>
      <c r="C37" s="241" t="s">
        <v>41</v>
      </c>
      <c r="D37" s="278">
        <v>0</v>
      </c>
      <c r="E37" s="278">
        <v>-320101</v>
      </c>
      <c r="F37" s="278">
        <v>0</v>
      </c>
      <c r="G37" s="278">
        <v>-252135</v>
      </c>
      <c r="H37" s="278">
        <v>-107297</v>
      </c>
      <c r="I37" s="526">
        <v>-50000</v>
      </c>
      <c r="J37" s="278">
        <v>-337155</v>
      </c>
      <c r="K37" s="278">
        <v>-227921</v>
      </c>
      <c r="L37" s="278">
        <v>0</v>
      </c>
      <c r="M37" s="278">
        <v>-69560</v>
      </c>
      <c r="N37" s="278">
        <v>-322795</v>
      </c>
      <c r="O37" s="278">
        <v>-199224</v>
      </c>
      <c r="P37" s="278">
        <v>-202307</v>
      </c>
      <c r="Q37" s="278">
        <v>-238005</v>
      </c>
      <c r="R37" s="278">
        <f t="shared" si="8"/>
        <v>-2326500</v>
      </c>
    </row>
    <row r="38" spans="2:21">
      <c r="B38" s="241" t="s">
        <v>1494</v>
      </c>
      <c r="C38" s="241" t="s">
        <v>44</v>
      </c>
      <c r="D38" s="278">
        <v>0</v>
      </c>
      <c r="E38" s="278">
        <v>-29875</v>
      </c>
      <c r="F38" s="278">
        <v>0</v>
      </c>
      <c r="G38" s="278">
        <v>96155</v>
      </c>
      <c r="H38" s="278">
        <v>0</v>
      </c>
      <c r="I38" s="526">
        <v>139930</v>
      </c>
      <c r="J38" s="278">
        <v>312025</v>
      </c>
      <c r="K38" s="278">
        <v>-29875</v>
      </c>
      <c r="L38" s="278">
        <v>0</v>
      </c>
      <c r="M38" s="278">
        <v>0</v>
      </c>
      <c r="N38" s="278">
        <v>-29875</v>
      </c>
      <c r="O38" s="278">
        <v>153295</v>
      </c>
      <c r="P38" s="278">
        <v>214574</v>
      </c>
      <c r="Q38" s="278">
        <v>312035</v>
      </c>
      <c r="R38" s="278">
        <f t="shared" si="8"/>
        <v>1138389</v>
      </c>
    </row>
    <row r="39" spans="2:21">
      <c r="B39" s="241" t="s">
        <v>1497</v>
      </c>
      <c r="C39" s="241" t="s">
        <v>46</v>
      </c>
      <c r="D39" s="278">
        <v>0</v>
      </c>
      <c r="E39" s="278">
        <v>-62500</v>
      </c>
      <c r="F39" s="278">
        <v>0</v>
      </c>
      <c r="G39" s="278">
        <v>-62500</v>
      </c>
      <c r="H39" s="278">
        <v>0</v>
      </c>
      <c r="I39" s="278">
        <v>-5000</v>
      </c>
      <c r="J39" s="278">
        <v>-62500</v>
      </c>
      <c r="K39" s="278">
        <v>-62500</v>
      </c>
      <c r="L39" s="278">
        <v>0</v>
      </c>
      <c r="M39" s="278">
        <v>0</v>
      </c>
      <c r="N39" s="278">
        <v>-62500</v>
      </c>
      <c r="O39" s="278">
        <v>-62500</v>
      </c>
      <c r="P39" s="278">
        <v>-62500</v>
      </c>
      <c r="Q39" s="278">
        <v>-62500</v>
      </c>
      <c r="R39" s="278">
        <f t="shared" si="8"/>
        <v>-505000</v>
      </c>
    </row>
    <row r="40" spans="2:21">
      <c r="B40" s="241" t="s">
        <v>1498</v>
      </c>
      <c r="C40" s="241" t="s">
        <v>388</v>
      </c>
      <c r="D40" s="278">
        <v>0</v>
      </c>
      <c r="E40" s="278">
        <v>0</v>
      </c>
      <c r="F40" s="278">
        <v>0</v>
      </c>
      <c r="G40" s="278">
        <v>0</v>
      </c>
      <c r="H40" s="278">
        <v>0</v>
      </c>
      <c r="I40" s="526">
        <v>-3101478</v>
      </c>
      <c r="J40" s="278">
        <v>0</v>
      </c>
      <c r="K40" s="278">
        <v>0</v>
      </c>
      <c r="L40" s="278">
        <v>0</v>
      </c>
      <c r="M40" s="278">
        <v>0</v>
      </c>
      <c r="N40" s="278">
        <v>0</v>
      </c>
      <c r="O40" s="278">
        <v>0</v>
      </c>
      <c r="P40" s="278">
        <v>0</v>
      </c>
      <c r="Q40" s="278">
        <v>0</v>
      </c>
      <c r="R40" s="278">
        <f t="shared" si="8"/>
        <v>-3101478</v>
      </c>
    </row>
    <row r="41" spans="2:21">
      <c r="B41" s="241" t="s">
        <v>1499</v>
      </c>
      <c r="C41" s="241" t="s">
        <v>328</v>
      </c>
      <c r="D41" s="278">
        <v>0</v>
      </c>
      <c r="E41" s="278">
        <v>0</v>
      </c>
      <c r="F41" s="278">
        <v>0</v>
      </c>
      <c r="G41" s="278">
        <v>0</v>
      </c>
      <c r="H41" s="278">
        <v>0</v>
      </c>
      <c r="I41" s="526">
        <v>0</v>
      </c>
      <c r="J41" s="278">
        <v>0</v>
      </c>
      <c r="K41" s="278">
        <v>0</v>
      </c>
      <c r="L41" s="278">
        <v>0</v>
      </c>
      <c r="M41" s="278">
        <v>0</v>
      </c>
      <c r="N41" s="278">
        <v>0</v>
      </c>
      <c r="O41" s="278">
        <v>0</v>
      </c>
      <c r="P41" s="278">
        <v>0</v>
      </c>
      <c r="Q41" s="278">
        <v>0</v>
      </c>
      <c r="R41" s="278">
        <f t="shared" si="8"/>
        <v>0</v>
      </c>
    </row>
    <row r="42" spans="2:21" s="200" customFormat="1">
      <c r="B42" s="552" t="s">
        <v>1501</v>
      </c>
      <c r="C42" s="552" t="s">
        <v>310</v>
      </c>
      <c r="D42" s="526">
        <v>0</v>
      </c>
      <c r="E42" s="526">
        <v>-8066624</v>
      </c>
      <c r="F42" s="526">
        <v>0</v>
      </c>
      <c r="G42" s="526">
        <v>-8153293</v>
      </c>
      <c r="H42" s="526">
        <v>0</v>
      </c>
      <c r="I42" s="526">
        <v>-3630987</v>
      </c>
      <c r="J42" s="278">
        <v>-18996289</v>
      </c>
      <c r="K42" s="526">
        <v>-10520512</v>
      </c>
      <c r="L42" s="526">
        <v>0</v>
      </c>
      <c r="M42" s="526">
        <v>0</v>
      </c>
      <c r="N42" s="526">
        <v>-7349940</v>
      </c>
      <c r="O42" s="526">
        <v>-3774269</v>
      </c>
      <c r="P42" s="526">
        <v>-7172077</v>
      </c>
      <c r="Q42" s="526">
        <v>-8330411</v>
      </c>
      <c r="R42" s="278">
        <f t="shared" si="8"/>
        <v>-75994402</v>
      </c>
      <c r="U42" s="198"/>
    </row>
    <row r="43" spans="2:21">
      <c r="B43" s="241" t="s">
        <v>1502</v>
      </c>
      <c r="C43" s="241" t="s">
        <v>47</v>
      </c>
      <c r="D43" s="278">
        <v>-3126087</v>
      </c>
      <c r="E43" s="278">
        <v>0</v>
      </c>
      <c r="F43" s="278">
        <v>0</v>
      </c>
      <c r="G43" s="278">
        <v>0</v>
      </c>
      <c r="H43" s="278">
        <v>0</v>
      </c>
      <c r="I43" s="526">
        <v>0</v>
      </c>
      <c r="J43" s="278">
        <v>0</v>
      </c>
      <c r="K43" s="278">
        <v>0</v>
      </c>
      <c r="L43" s="278">
        <v>0</v>
      </c>
      <c r="M43" s="278">
        <v>0</v>
      </c>
      <c r="N43" s="278">
        <v>0</v>
      </c>
      <c r="O43" s="278">
        <v>0</v>
      </c>
      <c r="P43" s="278">
        <v>0</v>
      </c>
      <c r="Q43" s="278">
        <v>0</v>
      </c>
      <c r="R43" s="278">
        <f t="shared" si="8"/>
        <v>-3126087</v>
      </c>
    </row>
    <row r="44" spans="2:21">
      <c r="B44" s="241" t="s">
        <v>1923</v>
      </c>
      <c r="C44" s="241" t="s">
        <v>1924</v>
      </c>
      <c r="D44" s="278">
        <v>-272096</v>
      </c>
      <c r="E44" s="278">
        <v>-46886</v>
      </c>
      <c r="F44" s="278">
        <v>0</v>
      </c>
      <c r="G44" s="278">
        <v>-88896</v>
      </c>
      <c r="H44" s="278">
        <v>0</v>
      </c>
      <c r="I44" s="526">
        <v>-37428</v>
      </c>
      <c r="J44" s="278">
        <v>-74708</v>
      </c>
      <c r="K44" s="278">
        <v>-8578</v>
      </c>
      <c r="L44" s="278">
        <v>0</v>
      </c>
      <c r="M44" s="278">
        <v>0</v>
      </c>
      <c r="N44" s="278">
        <v>-19728</v>
      </c>
      <c r="O44" s="278">
        <v>-62573</v>
      </c>
      <c r="P44" s="278">
        <v>-13578</v>
      </c>
      <c r="Q44" s="278">
        <v>-6578</v>
      </c>
      <c r="R44" s="278">
        <f t="shared" si="8"/>
        <v>-631049</v>
      </c>
    </row>
    <row r="45" spans="2:21">
      <c r="B45" s="241" t="s">
        <v>2598</v>
      </c>
      <c r="C45" s="241" t="s">
        <v>2599</v>
      </c>
      <c r="D45" s="278">
        <v>0</v>
      </c>
      <c r="E45" s="278">
        <v>0</v>
      </c>
      <c r="F45" s="278">
        <v>0</v>
      </c>
      <c r="G45" s="278">
        <v>0</v>
      </c>
      <c r="H45" s="278">
        <v>0</v>
      </c>
      <c r="I45" s="526">
        <v>0</v>
      </c>
      <c r="J45" s="278">
        <v>0</v>
      </c>
      <c r="K45" s="278">
        <v>0</v>
      </c>
      <c r="L45" s="278"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f t="shared" si="8"/>
        <v>0</v>
      </c>
    </row>
    <row r="46" spans="2:21">
      <c r="B46" s="241" t="s">
        <v>1504</v>
      </c>
      <c r="C46" s="241" t="s">
        <v>303</v>
      </c>
      <c r="D46" s="278">
        <v>-61064</v>
      </c>
      <c r="E46" s="278">
        <v>-61066</v>
      </c>
      <c r="F46" s="278">
        <v>0</v>
      </c>
      <c r="G46" s="278">
        <v>-61066</v>
      </c>
      <c r="H46" s="278">
        <v>-61064</v>
      </c>
      <c r="I46" s="526">
        <v>493996</v>
      </c>
      <c r="J46" s="278">
        <v>-61065</v>
      </c>
      <c r="K46" s="278">
        <v>-61065</v>
      </c>
      <c r="L46" s="278">
        <v>0</v>
      </c>
      <c r="M46" s="278">
        <v>-61064</v>
      </c>
      <c r="N46" s="278">
        <v>-61065</v>
      </c>
      <c r="O46" s="278">
        <v>-61064</v>
      </c>
      <c r="P46" s="278">
        <v>-61064</v>
      </c>
      <c r="Q46" s="278">
        <v>-61064</v>
      </c>
      <c r="R46" s="278">
        <f t="shared" si="8"/>
        <v>-177715</v>
      </c>
    </row>
    <row r="47" spans="2:21">
      <c r="B47" s="241" t="s">
        <v>1925</v>
      </c>
      <c r="C47" s="241" t="s">
        <v>1487</v>
      </c>
      <c r="D47" s="278">
        <v>0</v>
      </c>
      <c r="E47" s="278">
        <v>-14581</v>
      </c>
      <c r="F47" s="278">
        <v>0</v>
      </c>
      <c r="G47" s="278">
        <v>-14581</v>
      </c>
      <c r="H47" s="278">
        <v>0</v>
      </c>
      <c r="I47" s="526">
        <v>-14581</v>
      </c>
      <c r="J47" s="278">
        <v>-14581</v>
      </c>
      <c r="K47" s="278">
        <v>-14581</v>
      </c>
      <c r="L47" s="278">
        <v>0</v>
      </c>
      <c r="M47" s="278">
        <v>0</v>
      </c>
      <c r="N47" s="278">
        <v>-14581</v>
      </c>
      <c r="O47" s="278">
        <v>-14581</v>
      </c>
      <c r="P47" s="278">
        <v>-14581</v>
      </c>
      <c r="Q47" s="278">
        <v>-14581</v>
      </c>
      <c r="R47" s="278">
        <f t="shared" si="8"/>
        <v>-131229</v>
      </c>
    </row>
    <row r="48" spans="2:21" s="200" customFormat="1">
      <c r="B48" s="552" t="s">
        <v>1506</v>
      </c>
      <c r="C48" s="552" t="s">
        <v>48</v>
      </c>
      <c r="D48" s="526">
        <v>0</v>
      </c>
      <c r="E48" s="526">
        <v>-9564</v>
      </c>
      <c r="F48" s="526">
        <v>-11619</v>
      </c>
      <c r="G48" s="526">
        <v>-44873</v>
      </c>
      <c r="H48" s="526">
        <v>0</v>
      </c>
      <c r="I48" s="526">
        <v>-75024</v>
      </c>
      <c r="J48" s="526">
        <v>-55219</v>
      </c>
      <c r="K48" s="526">
        <v>-11619</v>
      </c>
      <c r="L48" s="526">
        <v>0</v>
      </c>
      <c r="M48" s="526">
        <v>0</v>
      </c>
      <c r="N48" s="526">
        <v>-536239</v>
      </c>
      <c r="O48" s="526">
        <v>-4258</v>
      </c>
      <c r="P48" s="526">
        <v>-37862</v>
      </c>
      <c r="Q48" s="526">
        <v>-52980</v>
      </c>
      <c r="R48" s="278">
        <f t="shared" si="8"/>
        <v>-839257</v>
      </c>
    </row>
    <row r="49" spans="2:18" s="200" customFormat="1">
      <c r="B49" s="552" t="s">
        <v>3223</v>
      </c>
      <c r="C49" s="552" t="s">
        <v>3224</v>
      </c>
      <c r="D49" s="526">
        <v>0</v>
      </c>
      <c r="E49" s="526">
        <v>0</v>
      </c>
      <c r="F49" s="526">
        <v>0</v>
      </c>
      <c r="G49" s="526">
        <v>0</v>
      </c>
      <c r="H49" s="526">
        <v>0</v>
      </c>
      <c r="I49" s="526">
        <v>-1065119</v>
      </c>
      <c r="J49" s="526">
        <v>0</v>
      </c>
      <c r="K49" s="526">
        <v>0</v>
      </c>
      <c r="L49" s="526">
        <v>0</v>
      </c>
      <c r="M49" s="526">
        <v>0</v>
      </c>
      <c r="N49" s="526">
        <v>0</v>
      </c>
      <c r="O49" s="526">
        <v>0</v>
      </c>
      <c r="P49" s="526">
        <v>0</v>
      </c>
      <c r="Q49" s="526">
        <v>0</v>
      </c>
      <c r="R49" s="278">
        <f t="shared" si="8"/>
        <v>-1065119</v>
      </c>
    </row>
    <row r="50" spans="2:18">
      <c r="B50" s="241" t="s">
        <v>1507</v>
      </c>
      <c r="C50" s="241" t="s">
        <v>805</v>
      </c>
      <c r="D50" s="278">
        <v>0</v>
      </c>
      <c r="E50" s="278">
        <v>0</v>
      </c>
      <c r="F50" s="278">
        <v>0</v>
      </c>
      <c r="G50" s="278">
        <v>0</v>
      </c>
      <c r="H50" s="278">
        <v>0</v>
      </c>
      <c r="I50" s="526">
        <v>-420710</v>
      </c>
      <c r="J50" s="278">
        <v>0</v>
      </c>
      <c r="K50" s="278">
        <v>0</v>
      </c>
      <c r="L50" s="278"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f t="shared" si="8"/>
        <v>-420710</v>
      </c>
    </row>
    <row r="51" spans="2:18">
      <c r="B51" s="241" t="s">
        <v>1508</v>
      </c>
      <c r="C51" s="241" t="s">
        <v>806</v>
      </c>
      <c r="D51" s="278">
        <v>-226385</v>
      </c>
      <c r="E51" s="278">
        <v>-47536</v>
      </c>
      <c r="F51" s="278">
        <v>0</v>
      </c>
      <c r="G51" s="278">
        <v>-46439</v>
      </c>
      <c r="H51" s="278">
        <v>0</v>
      </c>
      <c r="I51" s="526">
        <v>-156454</v>
      </c>
      <c r="J51" s="278">
        <v>-44696</v>
      </c>
      <c r="K51" s="278">
        <v>-40307</v>
      </c>
      <c r="L51" s="278">
        <v>0</v>
      </c>
      <c r="M51" s="278">
        <v>0</v>
      </c>
      <c r="N51" s="278">
        <v>-44599</v>
      </c>
      <c r="O51" s="278">
        <v>-41685</v>
      </c>
      <c r="P51" s="278">
        <v>-46770</v>
      </c>
      <c r="Q51" s="278">
        <v>-46770</v>
      </c>
      <c r="R51" s="278">
        <f t="shared" si="8"/>
        <v>-741641</v>
      </c>
    </row>
    <row r="52" spans="2:18">
      <c r="B52" s="241" t="s">
        <v>1926</v>
      </c>
      <c r="C52" s="241" t="s">
        <v>1927</v>
      </c>
      <c r="D52" s="278">
        <v>0</v>
      </c>
      <c r="E52" s="278">
        <v>0</v>
      </c>
      <c r="F52" s="278">
        <v>0</v>
      </c>
      <c r="G52" s="278">
        <v>0</v>
      </c>
      <c r="H52" s="278">
        <v>0</v>
      </c>
      <c r="I52" s="526">
        <v>0</v>
      </c>
      <c r="J52" s="278">
        <v>0</v>
      </c>
      <c r="K52" s="278">
        <v>0</v>
      </c>
      <c r="L52" s="278">
        <v>0</v>
      </c>
      <c r="M52" s="278">
        <v>0</v>
      </c>
      <c r="N52" s="278">
        <v>1</v>
      </c>
      <c r="O52" s="278">
        <v>0</v>
      </c>
      <c r="P52" s="278">
        <v>0</v>
      </c>
      <c r="Q52" s="278">
        <v>0</v>
      </c>
      <c r="R52" s="278">
        <f t="shared" si="8"/>
        <v>1</v>
      </c>
    </row>
    <row r="53" spans="2:18">
      <c r="B53" s="241" t="s">
        <v>1509</v>
      </c>
      <c r="C53" s="241" t="s">
        <v>49</v>
      </c>
      <c r="D53" s="278">
        <v>-319960</v>
      </c>
      <c r="E53" s="278">
        <v>-89676</v>
      </c>
      <c r="F53" s="278">
        <v>0</v>
      </c>
      <c r="G53" s="278">
        <v>-97699</v>
      </c>
      <c r="H53" s="278">
        <v>0</v>
      </c>
      <c r="I53" s="526">
        <v>0</v>
      </c>
      <c r="J53" s="278">
        <v>-47198</v>
      </c>
      <c r="K53" s="278">
        <v>-17699</v>
      </c>
      <c r="L53" s="278">
        <v>0</v>
      </c>
      <c r="M53" s="278">
        <v>0</v>
      </c>
      <c r="N53" s="278">
        <v>-374446</v>
      </c>
      <c r="O53" s="278">
        <v>-40936</v>
      </c>
      <c r="P53" s="278">
        <v>-23599</v>
      </c>
      <c r="Q53" s="278">
        <v>-94396</v>
      </c>
      <c r="R53" s="278">
        <f t="shared" si="8"/>
        <v>-1105609</v>
      </c>
    </row>
    <row r="54" spans="2:18">
      <c r="B54" s="241" t="s">
        <v>1921</v>
      </c>
      <c r="C54" s="241" t="s">
        <v>1922</v>
      </c>
      <c r="D54" s="278">
        <v>0</v>
      </c>
      <c r="E54" s="278">
        <v>-71352</v>
      </c>
      <c r="F54" s="278">
        <v>0</v>
      </c>
      <c r="G54" s="278">
        <v>-71352</v>
      </c>
      <c r="H54" s="278">
        <v>-71351</v>
      </c>
      <c r="I54" s="526">
        <v>0</v>
      </c>
      <c r="J54" s="278">
        <v>-71352</v>
      </c>
      <c r="K54" s="278">
        <v>-71353</v>
      </c>
      <c r="L54" s="278">
        <v>0</v>
      </c>
      <c r="M54" s="278">
        <v>0</v>
      </c>
      <c r="N54" s="278">
        <v>-71352</v>
      </c>
      <c r="O54" s="278">
        <v>-71352</v>
      </c>
      <c r="P54" s="278">
        <v>-71352</v>
      </c>
      <c r="Q54" s="278">
        <v>-71352</v>
      </c>
      <c r="R54" s="278">
        <f t="shared" si="8"/>
        <v>-642168</v>
      </c>
    </row>
    <row r="55" spans="2:18">
      <c r="B55" s="241" t="s">
        <v>2600</v>
      </c>
      <c r="C55" s="241" t="s">
        <v>3239</v>
      </c>
      <c r="D55" s="278">
        <v>0</v>
      </c>
      <c r="E55" s="278">
        <v>0</v>
      </c>
      <c r="F55" s="278">
        <v>0</v>
      </c>
      <c r="G55" s="278">
        <v>0</v>
      </c>
      <c r="H55" s="278">
        <v>0</v>
      </c>
      <c r="I55" s="526">
        <v>0</v>
      </c>
      <c r="J55" s="278">
        <v>0</v>
      </c>
      <c r="K55" s="278">
        <v>0</v>
      </c>
      <c r="L55" s="278"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f t="shared" si="8"/>
        <v>0</v>
      </c>
    </row>
    <row r="56" spans="2:18">
      <c r="B56" s="241" t="s">
        <v>1511</v>
      </c>
      <c r="C56" s="241" t="s">
        <v>807</v>
      </c>
      <c r="D56" s="278">
        <v>0</v>
      </c>
      <c r="E56" s="278">
        <v>0</v>
      </c>
      <c r="F56" s="278">
        <v>0</v>
      </c>
      <c r="G56" s="278">
        <v>0</v>
      </c>
      <c r="H56" s="278">
        <v>0</v>
      </c>
      <c r="I56" s="526">
        <v>0</v>
      </c>
      <c r="J56" s="278">
        <v>0</v>
      </c>
      <c r="K56" s="278">
        <v>0</v>
      </c>
      <c r="L56" s="278"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f t="shared" si="8"/>
        <v>0</v>
      </c>
    </row>
    <row r="57" spans="2:18">
      <c r="B57" s="241" t="s">
        <v>1512</v>
      </c>
      <c r="C57" s="241" t="s">
        <v>51</v>
      </c>
      <c r="D57" s="278">
        <v>0</v>
      </c>
      <c r="E57" s="278">
        <v>-46452</v>
      </c>
      <c r="F57" s="278">
        <v>0</v>
      </c>
      <c r="G57" s="278">
        <v>-46451</v>
      </c>
      <c r="H57" s="278">
        <v>0</v>
      </c>
      <c r="I57" s="526">
        <v>0</v>
      </c>
      <c r="J57" s="278">
        <v>-46450</v>
      </c>
      <c r="K57" s="278">
        <v>-46450</v>
      </c>
      <c r="L57" s="278">
        <v>0</v>
      </c>
      <c r="M57" s="278">
        <v>0</v>
      </c>
      <c r="N57" s="278">
        <v>-46449</v>
      </c>
      <c r="O57" s="278">
        <v>-46447</v>
      </c>
      <c r="P57" s="278">
        <v>-46447</v>
      </c>
      <c r="Q57" s="278">
        <v>-46444</v>
      </c>
      <c r="R57" s="278">
        <f t="shared" si="8"/>
        <v>-371590</v>
      </c>
    </row>
    <row r="58" spans="2:18">
      <c r="B58" s="241" t="s">
        <v>1513</v>
      </c>
      <c r="C58" s="241" t="s">
        <v>808</v>
      </c>
      <c r="D58" s="278">
        <v>0</v>
      </c>
      <c r="E58" s="278">
        <v>0</v>
      </c>
      <c r="F58" s="278">
        <v>0</v>
      </c>
      <c r="G58" s="278">
        <v>0</v>
      </c>
      <c r="H58" s="278">
        <v>0</v>
      </c>
      <c r="I58" s="526">
        <v>0</v>
      </c>
      <c r="J58" s="278">
        <v>0</v>
      </c>
      <c r="K58" s="278">
        <v>0</v>
      </c>
      <c r="L58" s="278">
        <v>0</v>
      </c>
      <c r="M58" s="278">
        <v>0</v>
      </c>
      <c r="N58" s="278">
        <v>0</v>
      </c>
      <c r="O58" s="278">
        <v>0</v>
      </c>
      <c r="P58" s="278">
        <v>0</v>
      </c>
      <c r="Q58" s="278">
        <v>0</v>
      </c>
      <c r="R58" s="278">
        <f t="shared" si="8"/>
        <v>0</v>
      </c>
    </row>
    <row r="59" spans="2:18">
      <c r="B59" s="241" t="s">
        <v>1514</v>
      </c>
      <c r="C59" s="241" t="s">
        <v>52</v>
      </c>
      <c r="D59" s="278">
        <v>0</v>
      </c>
      <c r="E59" s="278">
        <v>0</v>
      </c>
      <c r="F59" s="278">
        <v>0</v>
      </c>
      <c r="G59" s="278">
        <v>0</v>
      </c>
      <c r="H59" s="278">
        <v>0</v>
      </c>
      <c r="I59" s="526">
        <v>-502259</v>
      </c>
      <c r="J59" s="278">
        <v>0</v>
      </c>
      <c r="K59" s="278">
        <v>0</v>
      </c>
      <c r="L59" s="278"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f t="shared" si="8"/>
        <v>-502259</v>
      </c>
    </row>
    <row r="60" spans="2:18">
      <c r="B60" s="241" t="s">
        <v>1516</v>
      </c>
      <c r="C60" s="241" t="s">
        <v>53</v>
      </c>
      <c r="D60" s="278">
        <v>0</v>
      </c>
      <c r="E60" s="278">
        <v>-407680</v>
      </c>
      <c r="F60" s="278">
        <v>0</v>
      </c>
      <c r="G60" s="278">
        <v>-407680</v>
      </c>
      <c r="H60" s="278">
        <v>-407680</v>
      </c>
      <c r="I60" s="526">
        <v>0</v>
      </c>
      <c r="J60" s="278">
        <v>-407679</v>
      </c>
      <c r="K60" s="278">
        <v>-407679</v>
      </c>
      <c r="L60" s="278">
        <v>0</v>
      </c>
      <c r="M60" s="278">
        <v>0</v>
      </c>
      <c r="N60" s="278">
        <v>-407679</v>
      </c>
      <c r="O60" s="278">
        <v>-407679</v>
      </c>
      <c r="P60" s="278">
        <v>0</v>
      </c>
      <c r="Q60" s="278">
        <v>0</v>
      </c>
      <c r="R60" s="278">
        <f t="shared" si="8"/>
        <v>-2853756</v>
      </c>
    </row>
    <row r="61" spans="2:18">
      <c r="B61" s="241" t="s">
        <v>2813</v>
      </c>
      <c r="C61" s="241" t="s">
        <v>2814</v>
      </c>
      <c r="D61" s="278">
        <v>0</v>
      </c>
      <c r="E61" s="278">
        <v>0</v>
      </c>
      <c r="F61" s="278">
        <v>0</v>
      </c>
      <c r="G61" s="278">
        <v>0</v>
      </c>
      <c r="H61" s="278">
        <v>0</v>
      </c>
      <c r="I61" s="526">
        <v>0</v>
      </c>
      <c r="J61" s="278">
        <v>0</v>
      </c>
      <c r="K61" s="278">
        <v>0</v>
      </c>
      <c r="L61" s="278">
        <v>0</v>
      </c>
      <c r="M61" s="278">
        <v>0</v>
      </c>
      <c r="N61" s="278">
        <v>0</v>
      </c>
      <c r="O61" s="278">
        <v>0</v>
      </c>
      <c r="P61" s="278">
        <v>-235050</v>
      </c>
      <c r="Q61" s="278">
        <v>-362408</v>
      </c>
      <c r="R61" s="278">
        <f t="shared" si="8"/>
        <v>-597458</v>
      </c>
    </row>
    <row r="62" spans="2:18">
      <c r="B62" s="241" t="s">
        <v>1518</v>
      </c>
      <c r="C62" s="241" t="s">
        <v>434</v>
      </c>
      <c r="D62" s="278">
        <v>0</v>
      </c>
      <c r="E62" s="278">
        <v>0</v>
      </c>
      <c r="F62" s="278">
        <v>0</v>
      </c>
      <c r="G62" s="278">
        <v>0</v>
      </c>
      <c r="H62" s="278">
        <v>0</v>
      </c>
      <c r="I62" s="526">
        <v>-868786</v>
      </c>
      <c r="J62" s="278">
        <v>0</v>
      </c>
      <c r="K62" s="278">
        <v>0</v>
      </c>
      <c r="L62" s="278"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f t="shared" si="8"/>
        <v>-868786</v>
      </c>
    </row>
    <row r="63" spans="2:18">
      <c r="B63" s="241" t="s">
        <v>1928</v>
      </c>
      <c r="C63" s="241" t="s">
        <v>1305</v>
      </c>
      <c r="D63" s="278">
        <v>-127008</v>
      </c>
      <c r="E63" s="278">
        <v>-127008</v>
      </c>
      <c r="F63" s="278">
        <v>0</v>
      </c>
      <c r="G63" s="278">
        <v>-127008</v>
      </c>
      <c r="H63" s="278">
        <v>-1193343</v>
      </c>
      <c r="I63" s="526">
        <v>-455898</v>
      </c>
      <c r="J63" s="278">
        <v>-127008</v>
      </c>
      <c r="K63" s="278">
        <v>-127008</v>
      </c>
      <c r="L63" s="278">
        <v>0</v>
      </c>
      <c r="M63" s="278">
        <v>-127008</v>
      </c>
      <c r="N63" s="278">
        <v>-127008</v>
      </c>
      <c r="O63" s="278">
        <v>-127008</v>
      </c>
      <c r="P63" s="278">
        <v>-127008</v>
      </c>
      <c r="Q63" s="278">
        <v>-127008</v>
      </c>
      <c r="R63" s="278">
        <f t="shared" si="8"/>
        <v>-2919321</v>
      </c>
    </row>
    <row r="64" spans="2:18">
      <c r="B64" s="241" t="s">
        <v>1520</v>
      </c>
      <c r="C64" s="241" t="s">
        <v>329</v>
      </c>
      <c r="D64" s="278">
        <v>0</v>
      </c>
      <c r="E64" s="278">
        <v>0</v>
      </c>
      <c r="F64" s="278">
        <v>0</v>
      </c>
      <c r="G64" s="278">
        <v>0</v>
      </c>
      <c r="H64" s="278">
        <v>0</v>
      </c>
      <c r="I64" s="526">
        <v>-268190</v>
      </c>
      <c r="J64" s="278">
        <v>0</v>
      </c>
      <c r="K64" s="278">
        <v>0</v>
      </c>
      <c r="L64" s="278"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f t="shared" si="8"/>
        <v>-268190</v>
      </c>
    </row>
    <row r="65" spans="2:19">
      <c r="B65" s="241" t="s">
        <v>1929</v>
      </c>
      <c r="C65" s="241" t="s">
        <v>1930</v>
      </c>
      <c r="D65" s="278">
        <v>0</v>
      </c>
      <c r="E65" s="278">
        <v>-73533</v>
      </c>
      <c r="F65" s="278">
        <v>0</v>
      </c>
      <c r="G65" s="278">
        <v>-73533</v>
      </c>
      <c r="H65" s="278">
        <v>0</v>
      </c>
      <c r="I65" s="526">
        <v>0</v>
      </c>
      <c r="J65" s="278">
        <v>-73532</v>
      </c>
      <c r="K65" s="278">
        <v>-73532</v>
      </c>
      <c r="L65" s="278">
        <v>0</v>
      </c>
      <c r="M65" s="278">
        <v>0</v>
      </c>
      <c r="N65" s="278">
        <v>-73532</v>
      </c>
      <c r="O65" s="278">
        <v>-73532</v>
      </c>
      <c r="P65" s="278">
        <v>-73532</v>
      </c>
      <c r="Q65" s="278">
        <v>-73532</v>
      </c>
      <c r="R65" s="278">
        <f t="shared" si="8"/>
        <v>-588258</v>
      </c>
    </row>
    <row r="66" spans="2:19">
      <c r="B66" s="241" t="s">
        <v>1521</v>
      </c>
      <c r="C66" s="241" t="s">
        <v>54</v>
      </c>
      <c r="D66" s="278">
        <v>0</v>
      </c>
      <c r="E66" s="278">
        <v>0</v>
      </c>
      <c r="F66" s="278">
        <v>0</v>
      </c>
      <c r="G66" s="278">
        <v>0</v>
      </c>
      <c r="H66" s="278">
        <v>-2086868</v>
      </c>
      <c r="I66" s="278">
        <v>0</v>
      </c>
      <c r="J66" s="278">
        <v>0</v>
      </c>
      <c r="K66" s="278">
        <v>0</v>
      </c>
      <c r="L66" s="278"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f t="shared" si="8"/>
        <v>-2086868</v>
      </c>
    </row>
    <row r="67" spans="2:19">
      <c r="B67" s="241" t="s">
        <v>1522</v>
      </c>
      <c r="C67" s="241" t="s">
        <v>1523</v>
      </c>
      <c r="D67" s="278">
        <v>0</v>
      </c>
      <c r="E67" s="278">
        <v>-198798</v>
      </c>
      <c r="F67" s="278">
        <v>0</v>
      </c>
      <c r="G67" s="278">
        <v>-198798</v>
      </c>
      <c r="H67" s="278">
        <v>0</v>
      </c>
      <c r="I67" s="526">
        <v>-240703</v>
      </c>
      <c r="J67" s="278">
        <v>-198798</v>
      </c>
      <c r="K67" s="278">
        <v>-198798</v>
      </c>
      <c r="L67" s="278">
        <v>0</v>
      </c>
      <c r="M67" s="278">
        <v>0</v>
      </c>
      <c r="N67" s="278">
        <v>-198795</v>
      </c>
      <c r="O67" s="278">
        <v>-198794</v>
      </c>
      <c r="P67" s="278">
        <v>-198794</v>
      </c>
      <c r="Q67" s="278">
        <v>-198794</v>
      </c>
      <c r="R67" s="278">
        <f t="shared" si="8"/>
        <v>-1831072</v>
      </c>
    </row>
    <row r="68" spans="2:19">
      <c r="B68" s="241" t="s">
        <v>1524</v>
      </c>
      <c r="C68" s="241" t="s">
        <v>254</v>
      </c>
      <c r="D68" s="278">
        <v>-2536839</v>
      </c>
      <c r="E68" s="278">
        <v>-7755</v>
      </c>
      <c r="F68" s="278">
        <v>0</v>
      </c>
      <c r="G68" s="278">
        <v>-21504</v>
      </c>
      <c r="H68" s="278">
        <v>0</v>
      </c>
      <c r="I68" s="526">
        <v>-487541</v>
      </c>
      <c r="J68" s="278">
        <v>-1254276</v>
      </c>
      <c r="K68" s="278">
        <v>-360194</v>
      </c>
      <c r="L68" s="278">
        <v>0</v>
      </c>
      <c r="M68" s="278">
        <v>0</v>
      </c>
      <c r="N68" s="278">
        <v>-1240499</v>
      </c>
      <c r="O68" s="278">
        <v>-1149838</v>
      </c>
      <c r="P68" s="278">
        <v>-1025687</v>
      </c>
      <c r="Q68" s="278">
        <v>-762204</v>
      </c>
      <c r="R68" s="278">
        <f t="shared" si="8"/>
        <v>-8846337</v>
      </c>
    </row>
    <row r="69" spans="2:19">
      <c r="B69" s="241" t="s">
        <v>1525</v>
      </c>
      <c r="C69" s="241" t="s">
        <v>3002</v>
      </c>
      <c r="D69" s="278">
        <v>0</v>
      </c>
      <c r="E69" s="278">
        <v>0</v>
      </c>
      <c r="F69" s="278">
        <v>0</v>
      </c>
      <c r="G69" s="278">
        <v>0</v>
      </c>
      <c r="H69" s="278">
        <v>0</v>
      </c>
      <c r="I69" s="526">
        <v>0</v>
      </c>
      <c r="J69" s="278">
        <v>-8446</v>
      </c>
      <c r="K69" s="278">
        <v>0</v>
      </c>
      <c r="L69" s="278">
        <v>0</v>
      </c>
      <c r="M69" s="278">
        <v>0</v>
      </c>
      <c r="N69" s="278">
        <v>0</v>
      </c>
      <c r="O69" s="278">
        <v>0</v>
      </c>
      <c r="P69" s="278">
        <v>-4101</v>
      </c>
      <c r="Q69" s="278">
        <v>-6758</v>
      </c>
      <c r="R69" s="278">
        <f t="shared" si="8"/>
        <v>-19305</v>
      </c>
    </row>
    <row r="70" spans="2:19">
      <c r="B70" s="241" t="s">
        <v>1526</v>
      </c>
      <c r="C70" s="639" t="s">
        <v>1527</v>
      </c>
      <c r="D70" s="640">
        <v>0</v>
      </c>
      <c r="E70" s="278">
        <v>0</v>
      </c>
      <c r="F70" s="278">
        <v>0</v>
      </c>
      <c r="G70" s="278">
        <v>0</v>
      </c>
      <c r="H70" s="278">
        <v>0</v>
      </c>
      <c r="I70" s="526">
        <v>0</v>
      </c>
      <c r="J70" s="278">
        <v>0</v>
      </c>
      <c r="K70" s="278">
        <v>0</v>
      </c>
      <c r="L70" s="278">
        <v>0</v>
      </c>
      <c r="M70" s="278">
        <v>0</v>
      </c>
      <c r="N70" s="278">
        <v>0</v>
      </c>
      <c r="O70" s="278">
        <v>0</v>
      </c>
      <c r="P70" s="278"/>
      <c r="Q70" s="278"/>
      <c r="R70" s="278">
        <f t="shared" si="8"/>
        <v>0</v>
      </c>
    </row>
    <row r="71" spans="2:19">
      <c r="B71" s="241" t="s">
        <v>1528</v>
      </c>
      <c r="C71" s="241" t="s">
        <v>396</v>
      </c>
      <c r="D71" s="278">
        <v>0</v>
      </c>
      <c r="E71" s="278">
        <v>0</v>
      </c>
      <c r="F71" s="278">
        <v>0</v>
      </c>
      <c r="G71" s="278">
        <v>0</v>
      </c>
      <c r="H71" s="278">
        <v>0</v>
      </c>
      <c r="I71" s="526">
        <v>5791</v>
      </c>
      <c r="J71" s="278">
        <v>0</v>
      </c>
      <c r="K71" s="278">
        <v>0</v>
      </c>
      <c r="L71" s="278">
        <v>0</v>
      </c>
      <c r="M71" s="278">
        <v>0</v>
      </c>
      <c r="N71" s="278">
        <v>0</v>
      </c>
      <c r="O71" s="278">
        <v>0</v>
      </c>
      <c r="P71" s="278">
        <v>0</v>
      </c>
      <c r="Q71" s="278">
        <v>0</v>
      </c>
      <c r="R71" s="278">
        <f t="shared" si="8"/>
        <v>5791</v>
      </c>
    </row>
    <row r="72" spans="2:19">
      <c r="B72" s="241" t="s">
        <v>2563</v>
      </c>
      <c r="C72" s="639" t="s">
        <v>2566</v>
      </c>
      <c r="D72" s="640">
        <v>0</v>
      </c>
      <c r="E72" s="278">
        <v>0</v>
      </c>
      <c r="F72" s="278">
        <v>0</v>
      </c>
      <c r="G72" s="278">
        <v>0</v>
      </c>
      <c r="H72" s="278">
        <v>0</v>
      </c>
      <c r="I72" s="526">
        <v>0</v>
      </c>
      <c r="J72" s="278">
        <v>0</v>
      </c>
      <c r="K72" s="278">
        <v>0</v>
      </c>
      <c r="L72" s="278">
        <v>0</v>
      </c>
      <c r="M72" s="278">
        <v>0</v>
      </c>
      <c r="N72" s="278">
        <v>0</v>
      </c>
      <c r="O72" s="278">
        <v>0</v>
      </c>
      <c r="P72" s="278"/>
      <c r="Q72" s="278"/>
      <c r="R72" s="278">
        <f t="shared" si="8"/>
        <v>0</v>
      </c>
    </row>
    <row r="73" spans="2:19">
      <c r="B73" s="241" t="s">
        <v>1537</v>
      </c>
      <c r="C73" s="639" t="s">
        <v>592</v>
      </c>
      <c r="D73" s="641"/>
      <c r="E73" s="278"/>
      <c r="F73" s="278"/>
      <c r="G73" s="278"/>
      <c r="H73" s="278">
        <v>0</v>
      </c>
      <c r="I73" s="526">
        <v>24026172</v>
      </c>
      <c r="J73" s="278"/>
      <c r="K73" s="278"/>
      <c r="L73" s="278"/>
      <c r="M73" s="278">
        <v>0</v>
      </c>
      <c r="N73" s="278"/>
      <c r="O73" s="278"/>
      <c r="P73" s="278"/>
      <c r="Q73" s="278"/>
      <c r="R73" s="278">
        <f t="shared" si="8"/>
        <v>24026172</v>
      </c>
    </row>
    <row r="74" spans="2:19">
      <c r="B74" s="241" t="s">
        <v>1538</v>
      </c>
      <c r="C74" s="241" t="s">
        <v>56</v>
      </c>
      <c r="D74" s="278">
        <v>0</v>
      </c>
      <c r="E74" s="278">
        <v>0</v>
      </c>
      <c r="F74" s="278">
        <v>0</v>
      </c>
      <c r="G74" s="278">
        <v>0</v>
      </c>
      <c r="H74" s="278">
        <v>0</v>
      </c>
      <c r="I74" s="526">
        <v>-623797</v>
      </c>
      <c r="J74" s="278">
        <v>0</v>
      </c>
      <c r="K74" s="278">
        <v>0</v>
      </c>
      <c r="L74" s="278">
        <v>0</v>
      </c>
      <c r="M74" s="278">
        <v>0</v>
      </c>
      <c r="N74" s="278">
        <v>0</v>
      </c>
      <c r="O74" s="278">
        <v>0</v>
      </c>
      <c r="P74" s="278">
        <v>0</v>
      </c>
      <c r="Q74" s="278">
        <v>0</v>
      </c>
      <c r="R74" s="278">
        <f t="shared" si="8"/>
        <v>-623797</v>
      </c>
    </row>
    <row r="75" spans="2:19">
      <c r="B75" s="241" t="s">
        <v>1539</v>
      </c>
      <c r="C75" s="241" t="s">
        <v>57</v>
      </c>
      <c r="D75" s="278">
        <v>0</v>
      </c>
      <c r="E75" s="278">
        <v>0</v>
      </c>
      <c r="F75" s="278">
        <v>0</v>
      </c>
      <c r="G75" s="278">
        <v>0</v>
      </c>
      <c r="H75" s="278">
        <v>0</v>
      </c>
      <c r="I75" s="526">
        <v>-34</v>
      </c>
      <c r="J75" s="278">
        <v>0</v>
      </c>
      <c r="K75" s="278">
        <v>0</v>
      </c>
      <c r="L75" s="278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v>0</v>
      </c>
      <c r="R75" s="278">
        <f t="shared" si="8"/>
        <v>-34</v>
      </c>
    </row>
    <row r="76" spans="2:19" ht="14" thickBot="1">
      <c r="B76" s="797" t="s">
        <v>269</v>
      </c>
      <c r="C76" s="798"/>
      <c r="D76" s="528">
        <f t="shared" ref="D76:Q76" si="9">SUM(D16:D75)</f>
        <v>-8834134</v>
      </c>
      <c r="E76" s="528">
        <f t="shared" si="9"/>
        <v>-18557806</v>
      </c>
      <c r="F76" s="528">
        <f t="shared" si="9"/>
        <v>-11619</v>
      </c>
      <c r="G76" s="528">
        <f t="shared" si="9"/>
        <v>-17972450</v>
      </c>
      <c r="H76" s="528">
        <f t="shared" si="9"/>
        <v>-5369377</v>
      </c>
      <c r="I76" s="528">
        <f t="shared" si="9"/>
        <v>11379261</v>
      </c>
      <c r="J76" s="528">
        <f t="shared" si="9"/>
        <v>-32106886</v>
      </c>
      <c r="K76" s="528">
        <f t="shared" si="9"/>
        <v>-19456181</v>
      </c>
      <c r="L76" s="528">
        <f t="shared" si="9"/>
        <v>0</v>
      </c>
      <c r="M76" s="528">
        <f t="shared" si="9"/>
        <v>-6392409</v>
      </c>
      <c r="N76" s="528">
        <f t="shared" si="9"/>
        <v>-21190819</v>
      </c>
      <c r="O76" s="528">
        <f t="shared" si="9"/>
        <v>-12482170</v>
      </c>
      <c r="P76" s="528">
        <f t="shared" si="9"/>
        <v>-14699640</v>
      </c>
      <c r="Q76" s="528">
        <f t="shared" si="9"/>
        <v>-18312604</v>
      </c>
      <c r="R76" s="232">
        <f t="shared" ref="R76" si="10">SUM(D76:Q76)</f>
        <v>-164006834</v>
      </c>
      <c r="S76" s="447"/>
    </row>
    <row r="77" spans="2:19" ht="14" thickTop="1"/>
    <row r="78" spans="2:19" ht="14.55" thickBot="1">
      <c r="B78" s="795" t="s">
        <v>269</v>
      </c>
      <c r="C78" s="796"/>
      <c r="D78" s="233">
        <f t="shared" ref="D78:R78" si="11">D12+D76</f>
        <v>-8834134</v>
      </c>
      <c r="E78" s="233">
        <f t="shared" si="11"/>
        <v>-3386248.7647059336</v>
      </c>
      <c r="F78" s="233">
        <f t="shared" si="11"/>
        <v>-11619</v>
      </c>
      <c r="G78" s="233">
        <f t="shared" si="11"/>
        <v>-6805262.4621848986</v>
      </c>
      <c r="H78" s="233">
        <f t="shared" si="11"/>
        <v>4674485.6302521005</v>
      </c>
      <c r="I78" s="233">
        <f t="shared" si="11"/>
        <v>11379261</v>
      </c>
      <c r="J78" s="233">
        <f t="shared" si="11"/>
        <v>-9860980.3529413268</v>
      </c>
      <c r="K78" s="233">
        <f t="shared" si="11"/>
        <v>-9645038.9663865529</v>
      </c>
      <c r="L78" s="233">
        <f t="shared" si="11"/>
        <v>0</v>
      </c>
      <c r="M78" s="233">
        <f t="shared" si="11"/>
        <v>-6392409</v>
      </c>
      <c r="N78" s="233">
        <f t="shared" si="11"/>
        <v>-4644062.9495799318</v>
      </c>
      <c r="O78" s="233">
        <f t="shared" si="11"/>
        <v>-4687296.7058823556</v>
      </c>
      <c r="P78" s="233">
        <f t="shared" si="11"/>
        <v>-7022649.075630255</v>
      </c>
      <c r="Q78" s="233">
        <f t="shared" si="11"/>
        <v>-6995468.1764705777</v>
      </c>
      <c r="R78" s="233">
        <f t="shared" si="11"/>
        <v>-52231422.82352972</v>
      </c>
    </row>
    <row r="79" spans="2:19" ht="14" thickTop="1">
      <c r="R79" s="239"/>
    </row>
    <row r="80" spans="2:19">
      <c r="R80" s="569">
        <f>+R78-'Balance 8 Columnas'!J118</f>
        <v>191.1764702796936</v>
      </c>
    </row>
    <row r="81" spans="1:18">
      <c r="I81" s="351"/>
      <c r="R81" s="290"/>
    </row>
    <row r="82" spans="1:18" ht="13.6" hidden="1" customHeight="1"/>
    <row r="83" spans="1:18" ht="13.6" hidden="1" customHeight="1">
      <c r="B83" s="198" t="s">
        <v>397</v>
      </c>
      <c r="C83" s="290">
        <v>36260981</v>
      </c>
      <c r="D83" s="313">
        <v>0</v>
      </c>
      <c r="E83" s="313">
        <v>3466729.0338913398</v>
      </c>
      <c r="F83" s="313">
        <v>3249093.485195647</v>
      </c>
      <c r="G83" s="313">
        <v>3569959.2233207226</v>
      </c>
      <c r="H83" s="313">
        <v>6640432.4291613372</v>
      </c>
      <c r="I83" s="352">
        <v>0</v>
      </c>
      <c r="J83" s="313">
        <v>4695061.0349756423</v>
      </c>
      <c r="K83" s="313">
        <v>1699384.3394408294</v>
      </c>
      <c r="L83" s="313">
        <v>1699384.3394408294</v>
      </c>
      <c r="M83" s="313">
        <v>9529728.3689550608</v>
      </c>
      <c r="N83" s="313"/>
      <c r="O83" s="313"/>
      <c r="P83" s="313"/>
      <c r="Q83" s="313"/>
      <c r="R83" s="313">
        <f>+$C$83*R5</f>
        <v>0</v>
      </c>
    </row>
    <row r="84" spans="1:18" ht="13.6" hidden="1" customHeight="1">
      <c r="A84" s="198" t="s">
        <v>245</v>
      </c>
      <c r="B84" s="198" t="s">
        <v>36</v>
      </c>
      <c r="C84" s="198">
        <v>33549150</v>
      </c>
      <c r="E84" s="313">
        <v>3207464.5847936557</v>
      </c>
      <c r="F84" s="313">
        <v>3006105.2319255108</v>
      </c>
      <c r="G84" s="313">
        <v>3302974.5520969336</v>
      </c>
      <c r="H84" s="313">
        <v>6143817.8859749567</v>
      </c>
      <c r="I84" s="352">
        <v>0</v>
      </c>
      <c r="J84" s="313">
        <v>4343933.9636606378</v>
      </c>
      <c r="K84" s="313">
        <v>1572293.3726352109</v>
      </c>
      <c r="L84" s="313">
        <v>1572293.3726352109</v>
      </c>
      <c r="M84" s="313">
        <v>8817033.5631385334</v>
      </c>
      <c r="N84" s="313"/>
      <c r="O84" s="313"/>
      <c r="P84" s="313"/>
      <c r="Q84" s="313"/>
    </row>
    <row r="85" spans="1:18" ht="13.6" hidden="1" customHeight="1">
      <c r="A85" s="198" t="s">
        <v>246</v>
      </c>
      <c r="B85" s="198" t="s">
        <v>37</v>
      </c>
      <c r="C85" s="198">
        <v>-1359336</v>
      </c>
      <c r="E85" s="313">
        <v>-129959.24125753019</v>
      </c>
      <c r="F85" s="313">
        <v>-121800.61377247103</v>
      </c>
      <c r="G85" s="313">
        <v>-133829.09002908383</v>
      </c>
      <c r="H85" s="313">
        <v>-248933.66388864262</v>
      </c>
      <c r="I85" s="352">
        <v>0</v>
      </c>
      <c r="J85" s="313">
        <v>-176006.42098016184</v>
      </c>
      <c r="K85" s="313">
        <v>-63705.786405451618</v>
      </c>
      <c r="L85" s="313">
        <v>-63705.786405451618</v>
      </c>
      <c r="M85" s="313">
        <v>-357246.34262216726</v>
      </c>
      <c r="N85" s="313"/>
      <c r="O85" s="313"/>
      <c r="P85" s="313"/>
      <c r="Q85" s="313"/>
    </row>
    <row r="86" spans="1:18" hidden="1">
      <c r="A86" s="198" t="s">
        <v>247</v>
      </c>
      <c r="B86" s="198" t="s">
        <v>38</v>
      </c>
      <c r="C86" s="198">
        <v>414120</v>
      </c>
      <c r="E86" s="313">
        <v>39591.919135201599</v>
      </c>
      <c r="F86" s="313">
        <v>37106.403549568102</v>
      </c>
      <c r="G86" s="313">
        <v>40770.8636884804</v>
      </c>
      <c r="H86" s="313">
        <v>75837.327113800173</v>
      </c>
      <c r="I86" s="352">
        <v>0</v>
      </c>
      <c r="J86" s="313">
        <v>53620.134430563616</v>
      </c>
      <c r="K86" s="313">
        <v>19407.887576158966</v>
      </c>
      <c r="L86" s="313">
        <v>19407.887576158966</v>
      </c>
      <c r="M86" s="313">
        <v>108834.64824494599</v>
      </c>
      <c r="N86" s="313"/>
      <c r="O86" s="313"/>
      <c r="P86" s="313"/>
      <c r="Q86" s="313"/>
    </row>
    <row r="87" spans="1:18" hidden="1">
      <c r="A87" s="198" t="s">
        <v>248</v>
      </c>
      <c r="B87" s="198" t="s">
        <v>39</v>
      </c>
      <c r="C87" s="198">
        <v>1436130</v>
      </c>
      <c r="E87" s="313">
        <v>137301.12727624137</v>
      </c>
      <c r="F87" s="313">
        <v>128681.58825857537</v>
      </c>
      <c r="G87" s="313">
        <v>141389.59835056833</v>
      </c>
      <c r="H87" s="313">
        <v>262996.86223302869</v>
      </c>
      <c r="I87" s="352">
        <v>0</v>
      </c>
      <c r="J87" s="313">
        <v>185949.68525974435</v>
      </c>
      <c r="K87" s="313">
        <v>67304.765731549254</v>
      </c>
      <c r="L87" s="313">
        <v>67304.765731549254</v>
      </c>
      <c r="M87" s="313">
        <v>377428.53130497027</v>
      </c>
      <c r="N87" s="313"/>
      <c r="O87" s="313"/>
      <c r="P87" s="313"/>
      <c r="Q87" s="313"/>
    </row>
    <row r="88" spans="1:18" hidden="1">
      <c r="A88" s="198" t="s">
        <v>392</v>
      </c>
      <c r="B88" s="198" t="s">
        <v>393</v>
      </c>
      <c r="C88" s="198">
        <v>634303</v>
      </c>
      <c r="E88" s="313">
        <v>60642.50237422916</v>
      </c>
      <c r="F88" s="313">
        <v>56835.465784559288</v>
      </c>
      <c r="G88" s="313">
        <v>62448.278639510732</v>
      </c>
      <c r="H88" s="313">
        <v>116159.19081489615</v>
      </c>
      <c r="I88" s="352">
        <v>0</v>
      </c>
      <c r="J88" s="313">
        <v>82129.363782743632</v>
      </c>
      <c r="K88" s="313">
        <v>29726.845632233071</v>
      </c>
      <c r="L88" s="313">
        <v>29726.845632233071</v>
      </c>
      <c r="M88" s="313">
        <v>166700.82074208918</v>
      </c>
      <c r="N88" s="313"/>
      <c r="O88" s="313"/>
      <c r="P88" s="313"/>
      <c r="Q88" s="313"/>
    </row>
    <row r="89" spans="1:18" hidden="1">
      <c r="A89" s="198" t="s">
        <v>249</v>
      </c>
      <c r="B89" s="198" t="s">
        <v>40</v>
      </c>
      <c r="C89" s="198">
        <v>608000</v>
      </c>
      <c r="E89" s="313">
        <v>58127.805549605364</v>
      </c>
      <c r="F89" s="313">
        <v>54478.637491880145</v>
      </c>
      <c r="G89" s="313">
        <v>59858.700672742401</v>
      </c>
      <c r="H89" s="313">
        <v>111342.35218098741</v>
      </c>
      <c r="I89" s="352">
        <v>0</v>
      </c>
      <c r="J89" s="313">
        <v>78723.659165900419</v>
      </c>
      <c r="K89" s="313">
        <v>28494.145770077877</v>
      </c>
      <c r="L89" s="313">
        <v>28494.145770077877</v>
      </c>
      <c r="M89" s="313">
        <v>159788.14385426245</v>
      </c>
      <c r="N89" s="313"/>
      <c r="O89" s="313"/>
      <c r="P89" s="313"/>
      <c r="Q89" s="313"/>
    </row>
    <row r="90" spans="1:18" hidden="1">
      <c r="A90" s="198" t="s">
        <v>250</v>
      </c>
      <c r="B90" s="198" t="s">
        <v>41</v>
      </c>
      <c r="C90" s="198">
        <v>608000</v>
      </c>
      <c r="E90" s="313">
        <v>58127.805549605364</v>
      </c>
      <c r="F90" s="313">
        <v>54478.637491880145</v>
      </c>
      <c r="G90" s="313">
        <v>59858.700672742401</v>
      </c>
      <c r="H90" s="313">
        <v>111342.35218098741</v>
      </c>
      <c r="I90" s="352">
        <v>0</v>
      </c>
      <c r="J90" s="313">
        <v>78723.659165900419</v>
      </c>
      <c r="K90" s="313">
        <v>28494.145770077877</v>
      </c>
      <c r="L90" s="313">
        <v>28494.145770077877</v>
      </c>
      <c r="M90" s="313">
        <v>159788.14385426245</v>
      </c>
      <c r="N90" s="313"/>
      <c r="O90" s="313"/>
      <c r="P90" s="313"/>
      <c r="Q90" s="313"/>
    </row>
    <row r="91" spans="1:18" hidden="1">
      <c r="A91" s="198" t="s">
        <v>251</v>
      </c>
      <c r="B91" s="198" t="s">
        <v>42</v>
      </c>
      <c r="C91" s="198">
        <v>122247</v>
      </c>
      <c r="E91" s="313">
        <v>11687.417508260867</v>
      </c>
      <c r="F91" s="313">
        <v>10953.700653733342</v>
      </c>
      <c r="G91" s="313">
        <v>12035.438455823587</v>
      </c>
      <c r="H91" s="313">
        <v>22386.954814258501</v>
      </c>
      <c r="I91" s="352">
        <v>0</v>
      </c>
      <c r="J91" s="313">
        <v>15828.505200746427</v>
      </c>
      <c r="K91" s="313">
        <v>5729.1510492676152</v>
      </c>
      <c r="L91" s="313">
        <v>5729.1510492676152</v>
      </c>
      <c r="M91" s="313">
        <v>32127.666483144771</v>
      </c>
      <c r="N91" s="313"/>
      <c r="O91" s="313"/>
      <c r="P91" s="313"/>
      <c r="Q91" s="313"/>
    </row>
    <row r="92" spans="1:18" hidden="1">
      <c r="A92" s="198" t="s">
        <v>252</v>
      </c>
      <c r="B92" s="198" t="s">
        <v>43</v>
      </c>
      <c r="C92" s="198">
        <v>243178</v>
      </c>
      <c r="E92" s="313">
        <v>23249.018911088704</v>
      </c>
      <c r="F92" s="313">
        <v>21789.483730263863</v>
      </c>
      <c r="G92" s="313">
        <v>23941.314329269986</v>
      </c>
      <c r="H92" s="313">
        <v>44532.912037283153</v>
      </c>
      <c r="I92" s="352">
        <v>0</v>
      </c>
      <c r="J92" s="313">
        <v>31486.615112903502</v>
      </c>
      <c r="K92" s="313">
        <v>11396.62726986184</v>
      </c>
      <c r="L92" s="313">
        <v>11396.62726986184</v>
      </c>
      <c r="M92" s="313">
        <v>63909.475733868145</v>
      </c>
      <c r="N92" s="313"/>
      <c r="O92" s="313"/>
      <c r="P92" s="313"/>
      <c r="Q92" s="313"/>
    </row>
    <row r="93" spans="1:18" hidden="1">
      <c r="A93" s="198" t="s">
        <v>253</v>
      </c>
      <c r="B93" s="198" t="s">
        <v>44</v>
      </c>
      <c r="C93" s="198">
        <v>0</v>
      </c>
      <c r="E93" s="313">
        <v>0</v>
      </c>
      <c r="F93" s="313">
        <v>0</v>
      </c>
      <c r="G93" s="313">
        <v>0</v>
      </c>
      <c r="H93" s="313">
        <v>0</v>
      </c>
      <c r="I93" s="352">
        <v>0</v>
      </c>
      <c r="J93" s="313">
        <v>0</v>
      </c>
      <c r="K93" s="313">
        <v>0</v>
      </c>
      <c r="L93" s="313">
        <v>0</v>
      </c>
      <c r="M93" s="313">
        <v>0</v>
      </c>
      <c r="N93" s="313"/>
      <c r="O93" s="313"/>
      <c r="P93" s="313"/>
      <c r="Q93" s="313"/>
    </row>
    <row r="94" spans="1:18" hidden="1">
      <c r="A94" s="198" t="s">
        <v>343</v>
      </c>
      <c r="B94" s="198" t="s">
        <v>344</v>
      </c>
      <c r="C94" s="198">
        <v>0</v>
      </c>
      <c r="E94" s="313">
        <v>0</v>
      </c>
      <c r="F94" s="313">
        <v>0</v>
      </c>
      <c r="G94" s="313">
        <v>0</v>
      </c>
      <c r="H94" s="313">
        <v>0</v>
      </c>
      <c r="I94" s="352">
        <v>0</v>
      </c>
      <c r="J94" s="313">
        <v>0</v>
      </c>
      <c r="K94" s="313">
        <v>0</v>
      </c>
      <c r="L94" s="313">
        <v>0</v>
      </c>
      <c r="M94" s="313">
        <v>0</v>
      </c>
      <c r="N94" s="313"/>
      <c r="O94" s="313"/>
      <c r="P94" s="313"/>
      <c r="Q94" s="313"/>
    </row>
    <row r="95" spans="1:18" hidden="1">
      <c r="A95" s="198" t="s">
        <v>339</v>
      </c>
      <c r="B95" s="198" t="s">
        <v>340</v>
      </c>
      <c r="C95" s="198">
        <v>5189</v>
      </c>
      <c r="E95" s="313">
        <v>496.0940509817471</v>
      </c>
      <c r="F95" s="313">
        <v>464.95008214698362</v>
      </c>
      <c r="G95" s="313">
        <v>510.86644373496762</v>
      </c>
      <c r="H95" s="313">
        <v>950.25569978148633</v>
      </c>
      <c r="I95" s="352">
        <v>0</v>
      </c>
      <c r="J95" s="313">
        <v>671.8701766642389</v>
      </c>
      <c r="K95" s="313">
        <v>243.18441184364161</v>
      </c>
      <c r="L95" s="313">
        <v>243.18441184364161</v>
      </c>
      <c r="M95" s="313">
        <v>1363.7182211509339</v>
      </c>
      <c r="N95" s="313"/>
      <c r="O95" s="313"/>
      <c r="P95" s="313"/>
      <c r="Q95" s="313"/>
    </row>
    <row r="96" spans="1:18" hidden="1"/>
    <row r="97" hidden="1"/>
    <row r="98" hidden="1"/>
    <row r="99" hidden="1"/>
  </sheetData>
  <mergeCells count="39">
    <mergeCell ref="B78:C78"/>
    <mergeCell ref="G6:G7"/>
    <mergeCell ref="B76:C76"/>
    <mergeCell ref="B12:C12"/>
    <mergeCell ref="J14:J15"/>
    <mergeCell ref="D14:D15"/>
    <mergeCell ref="I14:I15"/>
    <mergeCell ref="H14:H15"/>
    <mergeCell ref="E14:E15"/>
    <mergeCell ref="F6:F7"/>
    <mergeCell ref="E6:E7"/>
    <mergeCell ref="F14:F15"/>
    <mergeCell ref="G14:G15"/>
    <mergeCell ref="Q14:Q15"/>
    <mergeCell ref="K14:K15"/>
    <mergeCell ref="K6:K7"/>
    <mergeCell ref="N6:N7"/>
    <mergeCell ref="N14:N15"/>
    <mergeCell ref="P14:P15"/>
    <mergeCell ref="O6:O7"/>
    <mergeCell ref="O14:O15"/>
    <mergeCell ref="L6:L7"/>
    <mergeCell ref="L14:L15"/>
    <mergeCell ref="B2:R2"/>
    <mergeCell ref="B3:R3"/>
    <mergeCell ref="J6:J7"/>
    <mergeCell ref="B14:B15"/>
    <mergeCell ref="C14:C15"/>
    <mergeCell ref="R14:R15"/>
    <mergeCell ref="B6:B7"/>
    <mergeCell ref="C6:C7"/>
    <mergeCell ref="D6:D7"/>
    <mergeCell ref="I6:I7"/>
    <mergeCell ref="H6:H7"/>
    <mergeCell ref="M6:M7"/>
    <mergeCell ref="M14:M15"/>
    <mergeCell ref="R6:R7"/>
    <mergeCell ref="P6:P7"/>
    <mergeCell ref="Q6:Q7"/>
  </mergeCells>
  <phoneticPr fontId="40" type="noConversion"/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C27D-14B0-464A-A3B5-67887214C079}">
  <sheetPr codeName="Hoja29">
    <tabColor rgb="FFFFFFCC"/>
  </sheetPr>
  <dimension ref="A1:T108"/>
  <sheetViews>
    <sheetView showGridLines="0" tabSelected="1" zoomScale="70" zoomScaleNormal="70" workbookViewId="0">
      <pane ySplit="1" topLeftCell="A51" activePane="bottomLeft" state="frozen"/>
      <selection activeCell="J61" sqref="J61"/>
      <selection pane="bottomLeft" activeCell="D78" sqref="D78:Q84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5" width="14.69921875" style="198" customWidth="1"/>
    <col min="6" max="6" width="13" style="200" customWidth="1"/>
    <col min="7" max="7" width="14.19921875" style="198" customWidth="1"/>
    <col min="8" max="8" width="13" style="198" customWidth="1"/>
    <col min="9" max="9" width="15.296875" style="200" customWidth="1"/>
    <col min="10" max="10" width="17.796875" style="198" customWidth="1"/>
    <col min="11" max="11" width="14.8984375" style="198" customWidth="1"/>
    <col min="12" max="12" width="14.8984375" style="200" customWidth="1"/>
    <col min="13" max="13" width="15.796875" style="198" customWidth="1"/>
    <col min="14" max="14" width="15.69921875" style="198" customWidth="1"/>
    <col min="15" max="15" width="12.59765625" style="198" customWidth="1"/>
    <col min="16" max="16" width="15.19921875" style="198" bestFit="1" customWidth="1"/>
    <col min="17" max="17" width="12.59765625" style="198" customWidth="1"/>
    <col min="18" max="18" width="20" style="198" customWidth="1"/>
    <col min="19" max="19" width="14.09765625" style="198" bestFit="1" customWidth="1"/>
    <col min="20" max="20" width="14.59765625" style="198" bestFit="1" customWidth="1"/>
    <col min="21" max="21" width="14.09765625" style="198" bestFit="1" customWidth="1"/>
    <col min="22" max="16384" width="11.3984375" style="198"/>
  </cols>
  <sheetData>
    <row r="1" spans="1:20" s="457" customFormat="1">
      <c r="D1" s="457">
        <v>300</v>
      </c>
      <c r="E1" s="457">
        <v>130</v>
      </c>
      <c r="F1" s="458">
        <v>140</v>
      </c>
      <c r="G1" s="457">
        <v>150</v>
      </c>
      <c r="H1" s="457">
        <v>100</v>
      </c>
      <c r="I1" s="458">
        <v>2</v>
      </c>
      <c r="J1" s="457">
        <v>170</v>
      </c>
      <c r="K1" s="457">
        <v>180</v>
      </c>
      <c r="L1" s="458">
        <v>185</v>
      </c>
      <c r="M1" s="457">
        <v>500</v>
      </c>
      <c r="N1" s="457">
        <v>190</v>
      </c>
      <c r="O1" s="457">
        <v>195</v>
      </c>
      <c r="P1" s="457">
        <v>200</v>
      </c>
      <c r="Q1" s="457">
        <v>210</v>
      </c>
    </row>
    <row r="2" spans="1:20" ht="14">
      <c r="B2" s="787" t="s">
        <v>325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</row>
    <row r="3" spans="1:20" ht="14">
      <c r="B3" s="787" t="str">
        <f>+'Estado de Resultados'!B3</f>
        <v>Para el período comprendido entre el 01-01-2026 hasta el 31/01/2026</v>
      </c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787"/>
      <c r="P3" s="787"/>
      <c r="Q3" s="787"/>
      <c r="R3" s="787"/>
    </row>
    <row r="4" spans="1:20">
      <c r="C4" s="223"/>
      <c r="D4" s="223"/>
      <c r="E4" s="223"/>
      <c r="F4" s="346"/>
      <c r="G4" s="223"/>
      <c r="H4" s="223"/>
      <c r="I4" s="346"/>
      <c r="J4" s="223"/>
      <c r="K4" s="223"/>
      <c r="L4" s="346"/>
      <c r="M4" s="223"/>
      <c r="N4" s="223"/>
      <c r="O4" s="223"/>
      <c r="P4" s="223"/>
      <c r="Q4" s="223"/>
      <c r="R4" s="223"/>
    </row>
    <row r="5" spans="1:20">
      <c r="A5" s="223"/>
      <c r="B5" s="223"/>
      <c r="C5" s="664" t="s">
        <v>3006</v>
      </c>
      <c r="D5" s="319">
        <f>+D8/$R$8</f>
        <v>0</v>
      </c>
      <c r="E5" s="319">
        <f>+E8/$R$8</f>
        <v>0.13267171088271454</v>
      </c>
      <c r="F5" s="761">
        <f>+F8/$R$8</f>
        <v>0</v>
      </c>
      <c r="G5" s="319">
        <f>+G8/$R$8</f>
        <v>9.2921498613850864E-2</v>
      </c>
      <c r="H5" s="319">
        <f>+H8/$R$8</f>
        <v>0.11890003772867527</v>
      </c>
      <c r="I5" s="319"/>
      <c r="J5" s="319">
        <f t="shared" ref="J5:Q5" si="0">+J8/$R$8</f>
        <v>0.18393544527351272</v>
      </c>
      <c r="K5" s="319">
        <f t="shared" si="0"/>
        <v>8.8426071345192744E-2</v>
      </c>
      <c r="L5" s="761">
        <f t="shared" si="0"/>
        <v>0</v>
      </c>
      <c r="M5" s="319">
        <f t="shared" si="0"/>
        <v>0</v>
      </c>
      <c r="N5" s="319">
        <f t="shared" si="0"/>
        <v>0.14955483746134399</v>
      </c>
      <c r="O5" s="319">
        <f t="shared" si="0"/>
        <v>7.0423486050522316E-2</v>
      </c>
      <c r="P5" s="319">
        <f t="shared" si="0"/>
        <v>6.7144824899542183E-2</v>
      </c>
      <c r="Q5" s="319">
        <f t="shared" si="0"/>
        <v>9.6022087744645393E-2</v>
      </c>
      <c r="R5" s="223"/>
    </row>
    <row r="6" spans="1:20">
      <c r="A6" s="223"/>
      <c r="B6" s="788" t="s">
        <v>268</v>
      </c>
      <c r="C6" s="788" t="s">
        <v>267</v>
      </c>
      <c r="D6" s="788" t="s">
        <v>264</v>
      </c>
      <c r="E6" s="788" t="s">
        <v>240</v>
      </c>
      <c r="F6" s="800" t="s">
        <v>242</v>
      </c>
      <c r="G6" s="788" t="s">
        <v>266</v>
      </c>
      <c r="H6" s="788" t="s">
        <v>241</v>
      </c>
      <c r="I6" s="791" t="s">
        <v>265</v>
      </c>
      <c r="J6" s="788" t="s">
        <v>347</v>
      </c>
      <c r="K6" s="788" t="s">
        <v>349</v>
      </c>
      <c r="L6" s="800" t="s">
        <v>677</v>
      </c>
      <c r="M6" s="793" t="s">
        <v>1212</v>
      </c>
      <c r="N6" s="788" t="s">
        <v>799</v>
      </c>
      <c r="O6" s="788" t="s">
        <v>1905</v>
      </c>
      <c r="P6" s="788" t="s">
        <v>2261</v>
      </c>
      <c r="Q6" s="788" t="s">
        <v>2262</v>
      </c>
      <c r="R6" s="788" t="s">
        <v>206</v>
      </c>
    </row>
    <row r="7" spans="1:20">
      <c r="A7" s="223"/>
      <c r="B7" s="789"/>
      <c r="C7" s="789"/>
      <c r="D7" s="789"/>
      <c r="E7" s="789"/>
      <c r="F7" s="801"/>
      <c r="G7" s="789"/>
      <c r="H7" s="789"/>
      <c r="I7" s="792"/>
      <c r="J7" s="789"/>
      <c r="K7" s="789"/>
      <c r="L7" s="801"/>
      <c r="M7" s="794"/>
      <c r="N7" s="789"/>
      <c r="O7" s="789"/>
      <c r="P7" s="789"/>
      <c r="Q7" s="789"/>
      <c r="R7" s="789"/>
      <c r="S7" s="441"/>
    </row>
    <row r="8" spans="1:20" ht="15.05" customHeight="1">
      <c r="B8" s="279" t="s">
        <v>1540</v>
      </c>
      <c r="C8" s="279" t="s">
        <v>34</v>
      </c>
      <c r="D8" s="280">
        <f>SUM(D9:D10)</f>
        <v>0</v>
      </c>
      <c r="E8" s="280">
        <f t="shared" ref="E8:Q8" si="1">SUM(E9:E10)</f>
        <v>29741078.991596609</v>
      </c>
      <c r="F8" s="348">
        <f t="shared" si="1"/>
        <v>0</v>
      </c>
      <c r="G8" s="280">
        <f t="shared" si="1"/>
        <v>20830255.462184846</v>
      </c>
      <c r="H8" s="280">
        <f t="shared" si="1"/>
        <v>26653876.630252101</v>
      </c>
      <c r="I8" s="348">
        <f t="shared" si="1"/>
        <v>0</v>
      </c>
      <c r="J8" s="280">
        <f t="shared" si="1"/>
        <v>41232894.117646948</v>
      </c>
      <c r="K8" s="280">
        <f t="shared" si="1"/>
        <v>19822513.445378173</v>
      </c>
      <c r="L8" s="348"/>
      <c r="M8" s="280">
        <f t="shared" si="1"/>
        <v>0</v>
      </c>
      <c r="N8" s="280">
        <f t="shared" si="1"/>
        <v>33525777.310924329</v>
      </c>
      <c r="O8" s="280">
        <f t="shared" si="1"/>
        <v>15786865.546218485</v>
      </c>
      <c r="P8" s="280">
        <f t="shared" si="1"/>
        <v>15051886.554621838</v>
      </c>
      <c r="Q8" s="280">
        <f t="shared" si="1"/>
        <v>21525315.966386579</v>
      </c>
      <c r="R8" s="281">
        <f>SUM(D8:Q8)</f>
        <v>224170464.0252099</v>
      </c>
      <c r="S8" s="621"/>
      <c r="T8" s="464"/>
    </row>
    <row r="9" spans="1:20" ht="15.05" customHeight="1">
      <c r="B9" s="241"/>
      <c r="C9" s="168" t="s">
        <v>337</v>
      </c>
      <c r="D9" s="277"/>
      <c r="E9" s="277">
        <v>438302.52100840327</v>
      </c>
      <c r="F9" s="349"/>
      <c r="G9" s="345">
        <v>622984.03361344524</v>
      </c>
      <c r="H9" s="277">
        <v>59075.630252100847</v>
      </c>
      <c r="I9" s="349"/>
      <c r="J9" s="277">
        <v>791978.15126050403</v>
      </c>
      <c r="K9" s="345">
        <v>394328.57142857148</v>
      </c>
      <c r="L9" s="765"/>
      <c r="M9" s="345"/>
      <c r="N9" s="345">
        <v>439117.64705882338</v>
      </c>
      <c r="O9" s="345">
        <v>208371.42857142846</v>
      </c>
      <c r="P9" s="345">
        <v>403824.36974789837</v>
      </c>
      <c r="Q9" s="345">
        <v>507118.48739495792</v>
      </c>
      <c r="R9" s="278">
        <f>SUM(E9:Q9)</f>
        <v>3865100.8403361333</v>
      </c>
      <c r="S9" s="407"/>
      <c r="T9" s="407"/>
    </row>
    <row r="10" spans="1:20" ht="15.05" customHeight="1">
      <c r="B10" s="241"/>
      <c r="C10" s="168" t="s">
        <v>307</v>
      </c>
      <c r="D10" s="277"/>
      <c r="E10" s="277">
        <v>29302776.470588207</v>
      </c>
      <c r="F10" s="349"/>
      <c r="G10" s="345">
        <v>20207271.428571403</v>
      </c>
      <c r="H10" s="277">
        <v>26594801</v>
      </c>
      <c r="I10" s="349"/>
      <c r="J10" s="277">
        <v>40440915.966386445</v>
      </c>
      <c r="K10" s="345">
        <v>19428184.873949602</v>
      </c>
      <c r="L10" s="765"/>
      <c r="M10" s="345"/>
      <c r="N10" s="345">
        <v>33086659.663865507</v>
      </c>
      <c r="O10" s="345">
        <v>15578494.117647056</v>
      </c>
      <c r="P10" s="345">
        <v>14648062.18487394</v>
      </c>
      <c r="Q10" s="345">
        <v>21018197.47899162</v>
      </c>
      <c r="R10" s="278">
        <f>SUM(E10:Q10)</f>
        <v>220305363.18487376</v>
      </c>
      <c r="S10" s="407"/>
      <c r="T10" s="407"/>
    </row>
    <row r="11" spans="1:20" ht="15.05" customHeight="1">
      <c r="B11" s="279" t="s">
        <v>1455</v>
      </c>
      <c r="C11" s="279" t="s">
        <v>35</v>
      </c>
      <c r="D11" s="391"/>
      <c r="E11" s="391">
        <v>-16286827</v>
      </c>
      <c r="F11" s="762">
        <v>0</v>
      </c>
      <c r="G11" s="392">
        <v>-10948521</v>
      </c>
      <c r="H11" s="391">
        <v>-17063296</v>
      </c>
      <c r="I11" s="393"/>
      <c r="J11" s="391">
        <v>-22321825</v>
      </c>
      <c r="K11" s="392">
        <v>-10656695</v>
      </c>
      <c r="L11" s="766"/>
      <c r="M11" s="392"/>
      <c r="N11" s="392">
        <v>-18278478</v>
      </c>
      <c r="O11" s="392">
        <v>-8650021</v>
      </c>
      <c r="P11" s="392">
        <v>-8315284</v>
      </c>
      <c r="Q11" s="392">
        <v>-12089897</v>
      </c>
      <c r="R11" s="391">
        <f>SUM(D11:Q11)</f>
        <v>-124610844</v>
      </c>
      <c r="S11" s="621"/>
      <c r="T11" s="464"/>
    </row>
    <row r="12" spans="1:20" ht="15.05" customHeight="1" thickBot="1">
      <c r="B12" s="799" t="s">
        <v>244</v>
      </c>
      <c r="C12" s="799"/>
      <c r="D12" s="232">
        <f t="shared" ref="D12:R12" si="2">+D8+D11</f>
        <v>0</v>
      </c>
      <c r="E12" s="232">
        <f t="shared" si="2"/>
        <v>13454251.991596609</v>
      </c>
      <c r="F12" s="763">
        <f t="shared" si="2"/>
        <v>0</v>
      </c>
      <c r="G12" s="232">
        <f t="shared" si="2"/>
        <v>9881734.4621848464</v>
      </c>
      <c r="H12" s="232">
        <f t="shared" si="2"/>
        <v>9590580.6302521005</v>
      </c>
      <c r="I12" s="232">
        <f t="shared" si="2"/>
        <v>0</v>
      </c>
      <c r="J12" s="232">
        <f t="shared" si="2"/>
        <v>18911069.117646948</v>
      </c>
      <c r="K12" s="232">
        <f t="shared" si="2"/>
        <v>9165818.4453781731</v>
      </c>
      <c r="L12" s="763"/>
      <c r="M12" s="232">
        <f t="shared" si="2"/>
        <v>0</v>
      </c>
      <c r="N12" s="232">
        <f t="shared" si="2"/>
        <v>15247299.310924329</v>
      </c>
      <c r="O12" s="232">
        <f t="shared" si="2"/>
        <v>7136844.5462184846</v>
      </c>
      <c r="P12" s="232">
        <f t="shared" si="2"/>
        <v>6736602.554621838</v>
      </c>
      <c r="Q12" s="232">
        <f t="shared" si="2"/>
        <v>9435418.966386579</v>
      </c>
      <c r="R12" s="232">
        <f t="shared" si="2"/>
        <v>99559620.025209904</v>
      </c>
      <c r="S12" s="637" t="s">
        <v>482</v>
      </c>
    </row>
    <row r="13" spans="1:20" ht="15.05" customHeight="1" thickTop="1">
      <c r="B13" s="299"/>
      <c r="C13" s="299"/>
      <c r="D13" s="300"/>
      <c r="E13" s="300"/>
      <c r="F13" s="350"/>
      <c r="G13" s="300"/>
      <c r="H13" s="300"/>
      <c r="I13" s="350"/>
      <c r="J13" s="300"/>
      <c r="K13" s="300"/>
      <c r="L13" s="350"/>
      <c r="M13" s="300"/>
      <c r="N13" s="300"/>
      <c r="O13" s="300"/>
      <c r="P13" s="300"/>
      <c r="Q13" s="300"/>
      <c r="R13" s="300"/>
    </row>
    <row r="14" spans="1:20">
      <c r="A14" s="223"/>
      <c r="B14" s="223"/>
      <c r="C14" s="662" t="s">
        <v>3005</v>
      </c>
      <c r="D14" s="319">
        <f>+D17/$R$17</f>
        <v>0</v>
      </c>
      <c r="E14" s="319">
        <f>+E17/$R$17</f>
        <v>0.14363779131210574</v>
      </c>
      <c r="F14" s="761">
        <f>+F17/$R$17</f>
        <v>0</v>
      </c>
      <c r="G14" s="319">
        <f>+G17/$R$17</f>
        <v>0.10164352149823226</v>
      </c>
      <c r="H14" s="319">
        <f>+H17/$R$17</f>
        <v>3.7241117788415636E-2</v>
      </c>
      <c r="I14" s="347"/>
      <c r="J14" s="319">
        <f t="shared" ref="J14:Q14" si="3">+J17/$R$17</f>
        <v>0.27732215302297247</v>
      </c>
      <c r="K14" s="319">
        <f t="shared" si="3"/>
        <v>5.2538300523034279E-2</v>
      </c>
      <c r="L14" s="761">
        <f t="shared" si="3"/>
        <v>0</v>
      </c>
      <c r="M14" s="319">
        <f t="shared" si="3"/>
        <v>0</v>
      </c>
      <c r="N14" s="319">
        <f t="shared" si="3"/>
        <v>0.10535763641541444</v>
      </c>
      <c r="O14" s="319">
        <f t="shared" si="3"/>
        <v>5.0934272244570998E-2</v>
      </c>
      <c r="P14" s="319">
        <f t="shared" si="3"/>
        <v>7.7745630566464108E-2</v>
      </c>
      <c r="Q14" s="319">
        <f t="shared" si="3"/>
        <v>0.15357957662879021</v>
      </c>
      <c r="R14" s="223"/>
    </row>
    <row r="15" spans="1:20">
      <c r="A15" s="223"/>
      <c r="B15" s="788" t="s">
        <v>268</v>
      </c>
      <c r="C15" s="788" t="s">
        <v>267</v>
      </c>
      <c r="D15" s="788" t="s">
        <v>264</v>
      </c>
      <c r="E15" s="788" t="s">
        <v>240</v>
      </c>
      <c r="F15" s="800" t="s">
        <v>242</v>
      </c>
      <c r="G15" s="788" t="s">
        <v>266</v>
      </c>
      <c r="H15" s="788" t="s">
        <v>241</v>
      </c>
      <c r="I15" s="791" t="s">
        <v>265</v>
      </c>
      <c r="J15" s="788" t="s">
        <v>347</v>
      </c>
      <c r="K15" s="788" t="s">
        <v>349</v>
      </c>
      <c r="L15" s="800" t="s">
        <v>677</v>
      </c>
      <c r="M15" s="793" t="s">
        <v>1212</v>
      </c>
      <c r="N15" s="788" t="s">
        <v>799</v>
      </c>
      <c r="O15" s="788" t="s">
        <v>1905</v>
      </c>
      <c r="P15" s="788" t="s">
        <v>2261</v>
      </c>
      <c r="Q15" s="788" t="s">
        <v>2262</v>
      </c>
      <c r="R15" s="788" t="s">
        <v>206</v>
      </c>
    </row>
    <row r="16" spans="1:20" ht="15.05" customHeight="1">
      <c r="A16" s="223"/>
      <c r="B16" s="789"/>
      <c r="C16" s="789"/>
      <c r="D16" s="789"/>
      <c r="E16" s="789"/>
      <c r="F16" s="801"/>
      <c r="G16" s="789"/>
      <c r="H16" s="789"/>
      <c r="I16" s="792"/>
      <c r="J16" s="789"/>
      <c r="K16" s="789"/>
      <c r="L16" s="801"/>
      <c r="M16" s="794"/>
      <c r="N16" s="789"/>
      <c r="O16" s="789"/>
      <c r="P16" s="789"/>
      <c r="Q16" s="789"/>
      <c r="R16" s="789"/>
      <c r="S16" s="441"/>
    </row>
    <row r="17" spans="2:20" ht="15.05" customHeight="1">
      <c r="B17" s="279" t="s">
        <v>1540</v>
      </c>
      <c r="C17" s="279" t="s">
        <v>34</v>
      </c>
      <c r="D17" s="280">
        <f>SUM(D18:D19)</f>
        <v>0</v>
      </c>
      <c r="E17" s="280">
        <f t="shared" ref="E17:Q17" si="4">SUM(E18:E19)</f>
        <v>3223809.2436974817</v>
      </c>
      <c r="F17" s="348">
        <f t="shared" si="4"/>
        <v>0</v>
      </c>
      <c r="G17" s="280">
        <f t="shared" si="4"/>
        <v>2281289.0756302527</v>
      </c>
      <c r="H17" s="280">
        <f t="shared" si="4"/>
        <v>835840.336134454</v>
      </c>
      <c r="I17" s="348">
        <f t="shared" si="4"/>
        <v>0</v>
      </c>
      <c r="J17" s="280">
        <f t="shared" si="4"/>
        <v>6224223.5294117695</v>
      </c>
      <c r="K17" s="280">
        <f t="shared" si="4"/>
        <v>1179170.588235294</v>
      </c>
      <c r="L17" s="348"/>
      <c r="M17" s="280">
        <f t="shared" si="4"/>
        <v>0</v>
      </c>
      <c r="N17" s="280">
        <f t="shared" si="4"/>
        <v>2364648.7394957989</v>
      </c>
      <c r="O17" s="280">
        <f t="shared" si="4"/>
        <v>1143169.7478991598</v>
      </c>
      <c r="P17" s="280">
        <f t="shared" si="4"/>
        <v>1744924.3697478995</v>
      </c>
      <c r="Q17" s="280">
        <f t="shared" si="4"/>
        <v>3446942.8571428591</v>
      </c>
      <c r="R17" s="281">
        <f>SUM(D17:Q17)</f>
        <v>22444018.487394966</v>
      </c>
      <c r="S17" s="621"/>
      <c r="T17" s="464"/>
    </row>
    <row r="18" spans="2:20" ht="15.05" customHeight="1">
      <c r="B18" s="241"/>
      <c r="C18" s="168" t="s">
        <v>337</v>
      </c>
      <c r="D18" s="277"/>
      <c r="E18" s="277"/>
      <c r="F18" s="349"/>
      <c r="G18" s="345"/>
      <c r="H18" s="277"/>
      <c r="I18" s="349"/>
      <c r="J18" s="277"/>
      <c r="K18" s="345"/>
      <c r="L18" s="765"/>
      <c r="M18" s="345"/>
      <c r="N18" s="345"/>
      <c r="O18" s="345"/>
      <c r="P18" s="345"/>
      <c r="Q18" s="345"/>
      <c r="R18" s="278">
        <f>SUM(E18:Q18)</f>
        <v>0</v>
      </c>
      <c r="S18" s="407"/>
      <c r="T18" s="407"/>
    </row>
    <row r="19" spans="2:20" ht="15.05" customHeight="1">
      <c r="B19" s="241"/>
      <c r="C19" s="168" t="s">
        <v>307</v>
      </c>
      <c r="D19" s="277"/>
      <c r="E19" s="277">
        <v>3223809.2436974817</v>
      </c>
      <c r="F19" s="349">
        <v>0</v>
      </c>
      <c r="G19" s="345">
        <v>2281289.0756302527</v>
      </c>
      <c r="H19" s="277">
        <v>835840.336134454</v>
      </c>
      <c r="I19" s="349"/>
      <c r="J19" s="277">
        <v>6224223.5294117695</v>
      </c>
      <c r="K19" s="345">
        <v>1179170.588235294</v>
      </c>
      <c r="L19" s="765"/>
      <c r="M19" s="345"/>
      <c r="N19" s="345">
        <v>2364648.7394957989</v>
      </c>
      <c r="O19" s="345">
        <v>1143169.7478991598</v>
      </c>
      <c r="P19" s="345">
        <v>1744924.3697478995</v>
      </c>
      <c r="Q19" s="345">
        <v>3446942.8571428591</v>
      </c>
      <c r="R19" s="278">
        <f>SUM(E19:Q19)</f>
        <v>22444018.487394966</v>
      </c>
      <c r="S19" s="407"/>
      <c r="T19" s="407"/>
    </row>
    <row r="20" spans="2:20" ht="15.05" customHeight="1">
      <c r="B20" s="279" t="s">
        <v>1455</v>
      </c>
      <c r="C20" s="279" t="s">
        <v>35</v>
      </c>
      <c r="D20" s="391"/>
      <c r="E20" s="391">
        <v>-1506504</v>
      </c>
      <c r="F20" s="762">
        <v>0</v>
      </c>
      <c r="G20" s="392">
        <v>-995836</v>
      </c>
      <c r="H20" s="391">
        <v>-382558</v>
      </c>
      <c r="I20" s="393"/>
      <c r="J20" s="391">
        <v>-2889387</v>
      </c>
      <c r="K20" s="392">
        <v>-533847</v>
      </c>
      <c r="L20" s="766"/>
      <c r="M20" s="392"/>
      <c r="N20" s="392">
        <v>-1065192</v>
      </c>
      <c r="O20" s="392">
        <v>-485141</v>
      </c>
      <c r="P20" s="392">
        <v>-804536</v>
      </c>
      <c r="Q20" s="392">
        <v>-1565226</v>
      </c>
      <c r="R20" s="391">
        <f>SUM(D20:Q20)</f>
        <v>-10228227</v>
      </c>
      <c r="S20" s="621"/>
      <c r="T20" s="464"/>
    </row>
    <row r="21" spans="2:20" ht="15.05" customHeight="1" thickBot="1">
      <c r="B21" s="799" t="s">
        <v>244</v>
      </c>
      <c r="C21" s="799"/>
      <c r="D21" s="232">
        <f t="shared" ref="D21:R21" si="5">+D17+D20</f>
        <v>0</v>
      </c>
      <c r="E21" s="232">
        <f t="shared" si="5"/>
        <v>1717305.2436974817</v>
      </c>
      <c r="F21" s="763">
        <f t="shared" si="5"/>
        <v>0</v>
      </c>
      <c r="G21" s="232">
        <f t="shared" si="5"/>
        <v>1285453.0756302527</v>
      </c>
      <c r="H21" s="232">
        <f t="shared" si="5"/>
        <v>453282.336134454</v>
      </c>
      <c r="I21" s="232">
        <f t="shared" si="5"/>
        <v>0</v>
      </c>
      <c r="J21" s="232">
        <f t="shared" si="5"/>
        <v>3334836.5294117695</v>
      </c>
      <c r="K21" s="232">
        <f t="shared" si="5"/>
        <v>645323.58823529398</v>
      </c>
      <c r="L21" s="763"/>
      <c r="M21" s="232">
        <f t="shared" si="5"/>
        <v>0</v>
      </c>
      <c r="N21" s="232">
        <f t="shared" si="5"/>
        <v>1299456.7394957989</v>
      </c>
      <c r="O21" s="232">
        <f t="shared" si="5"/>
        <v>658028.74789915979</v>
      </c>
      <c r="P21" s="232">
        <f t="shared" si="5"/>
        <v>940388.36974789947</v>
      </c>
      <c r="Q21" s="232">
        <f t="shared" si="5"/>
        <v>1881716.8571428591</v>
      </c>
      <c r="R21" s="232">
        <f t="shared" si="5"/>
        <v>12215791.487394966</v>
      </c>
      <c r="S21" s="637" t="s">
        <v>482</v>
      </c>
    </row>
    <row r="22" spans="2:20" ht="15.05" customHeight="1" thickTop="1">
      <c r="B22" s="299"/>
      <c r="C22" s="299"/>
      <c r="D22" s="300"/>
      <c r="E22" s="300"/>
      <c r="F22" s="350"/>
      <c r="G22" s="300"/>
      <c r="H22" s="300"/>
      <c r="I22" s="350"/>
      <c r="J22" s="300"/>
      <c r="K22" s="300"/>
      <c r="L22" s="350"/>
      <c r="M22" s="300"/>
      <c r="N22" s="300"/>
      <c r="O22" s="300"/>
      <c r="P22" s="300"/>
      <c r="Q22" s="300"/>
      <c r="R22" s="300"/>
    </row>
    <row r="23" spans="2:20" ht="15.05" customHeight="1">
      <c r="B23" s="790" t="s">
        <v>268</v>
      </c>
      <c r="C23" s="788" t="s">
        <v>267</v>
      </c>
      <c r="D23" s="788" t="s">
        <v>264</v>
      </c>
      <c r="E23" s="788" t="s">
        <v>240</v>
      </c>
      <c r="F23" s="800" t="s">
        <v>242</v>
      </c>
      <c r="G23" s="788" t="s">
        <v>266</v>
      </c>
      <c r="H23" s="788" t="s">
        <v>241</v>
      </c>
      <c r="I23" s="791" t="s">
        <v>265</v>
      </c>
      <c r="J23" s="788" t="s">
        <v>347</v>
      </c>
      <c r="K23" s="788" t="s">
        <v>349</v>
      </c>
      <c r="L23" s="800" t="s">
        <v>677</v>
      </c>
      <c r="M23" s="793" t="s">
        <v>1212</v>
      </c>
      <c r="N23" s="788" t="s">
        <v>799</v>
      </c>
      <c r="O23" s="788" t="s">
        <v>1905</v>
      </c>
      <c r="P23" s="788" t="s">
        <v>2261</v>
      </c>
      <c r="Q23" s="788" t="s">
        <v>2262</v>
      </c>
      <c r="R23" s="788" t="s">
        <v>206</v>
      </c>
    </row>
    <row r="24" spans="2:20" s="224" customFormat="1" ht="29.3" customHeight="1">
      <c r="B24" s="790"/>
      <c r="C24" s="789"/>
      <c r="D24" s="789"/>
      <c r="E24" s="789"/>
      <c r="F24" s="801"/>
      <c r="G24" s="789"/>
      <c r="H24" s="789"/>
      <c r="I24" s="792"/>
      <c r="J24" s="789"/>
      <c r="K24" s="789"/>
      <c r="L24" s="801"/>
      <c r="M24" s="794"/>
      <c r="N24" s="789"/>
      <c r="O24" s="789"/>
      <c r="P24" s="789"/>
      <c r="Q24" s="789"/>
      <c r="R24" s="789"/>
    </row>
    <row r="25" spans="2:20" ht="13.6" customHeight="1">
      <c r="B25" s="241" t="s">
        <v>2588</v>
      </c>
      <c r="C25" s="241" t="s">
        <v>2589</v>
      </c>
      <c r="D25" s="278">
        <v>0</v>
      </c>
      <c r="E25" s="278">
        <v>0</v>
      </c>
      <c r="F25" s="526">
        <v>0</v>
      </c>
      <c r="G25" s="278">
        <v>0</v>
      </c>
      <c r="H25" s="278">
        <v>3751074</v>
      </c>
      <c r="I25" s="526">
        <v>0</v>
      </c>
      <c r="J25" s="278">
        <v>0</v>
      </c>
      <c r="K25" s="278">
        <v>0</v>
      </c>
      <c r="L25" s="526">
        <v>0</v>
      </c>
      <c r="M25" s="278">
        <v>0</v>
      </c>
      <c r="N25" s="527">
        <v>0</v>
      </c>
      <c r="O25" s="527">
        <v>0</v>
      </c>
      <c r="P25" s="527">
        <v>0</v>
      </c>
      <c r="Q25" s="527">
        <v>0</v>
      </c>
      <c r="R25" s="278">
        <f>SUM(D25:Q25)</f>
        <v>3751074</v>
      </c>
    </row>
    <row r="26" spans="2:20" ht="13.6" customHeight="1">
      <c r="B26" s="241" t="s">
        <v>1456</v>
      </c>
      <c r="C26" s="241" t="s">
        <v>358</v>
      </c>
      <c r="D26" s="278">
        <v>-2164695</v>
      </c>
      <c r="E26" s="278">
        <v>21780</v>
      </c>
      <c r="F26" s="526">
        <v>0</v>
      </c>
      <c r="G26" s="278">
        <v>21780</v>
      </c>
      <c r="H26" s="278">
        <v>150000</v>
      </c>
      <c r="I26" s="526">
        <v>0</v>
      </c>
      <c r="J26" s="278">
        <v>21780</v>
      </c>
      <c r="K26" s="278">
        <v>21780</v>
      </c>
      <c r="L26" s="526">
        <v>0</v>
      </c>
      <c r="M26" s="278">
        <v>0</v>
      </c>
      <c r="N26" s="527">
        <v>21780</v>
      </c>
      <c r="O26" s="527">
        <v>21780</v>
      </c>
      <c r="P26" s="527">
        <v>21780</v>
      </c>
      <c r="Q26" s="527">
        <v>21780</v>
      </c>
      <c r="R26" s="278">
        <f t="shared" ref="R26:R84" si="6">SUM(D26:Q26)</f>
        <v>-1840455</v>
      </c>
    </row>
    <row r="27" spans="2:20">
      <c r="B27" s="241" t="s">
        <v>1458</v>
      </c>
      <c r="C27" s="241" t="s">
        <v>359</v>
      </c>
      <c r="D27" s="278">
        <v>0</v>
      </c>
      <c r="E27" s="278">
        <v>0</v>
      </c>
      <c r="F27" s="526">
        <v>0</v>
      </c>
      <c r="G27" s="278">
        <v>0</v>
      </c>
      <c r="H27" s="278">
        <v>-3004368</v>
      </c>
      <c r="I27" s="526">
        <v>0</v>
      </c>
      <c r="J27" s="278">
        <v>0</v>
      </c>
      <c r="K27" s="278">
        <v>0</v>
      </c>
      <c r="L27" s="526">
        <v>0</v>
      </c>
      <c r="M27" s="278">
        <v>304544</v>
      </c>
      <c r="N27" s="278">
        <v>0</v>
      </c>
      <c r="O27" s="278">
        <v>0</v>
      </c>
      <c r="P27" s="278">
        <v>0</v>
      </c>
      <c r="Q27" s="278">
        <v>0</v>
      </c>
      <c r="R27" s="278">
        <f t="shared" si="6"/>
        <v>-2699824</v>
      </c>
    </row>
    <row r="28" spans="2:20">
      <c r="B28" s="241" t="s">
        <v>1459</v>
      </c>
      <c r="C28" s="241" t="s">
        <v>360</v>
      </c>
      <c r="D28" s="278">
        <v>0</v>
      </c>
      <c r="E28" s="278">
        <v>0</v>
      </c>
      <c r="F28" s="526">
        <v>0</v>
      </c>
      <c r="G28" s="278">
        <v>0</v>
      </c>
      <c r="H28" s="278">
        <v>2066127</v>
      </c>
      <c r="I28" s="526">
        <v>0</v>
      </c>
      <c r="J28" s="278">
        <v>0</v>
      </c>
      <c r="K28" s="278">
        <v>0</v>
      </c>
      <c r="L28" s="526">
        <v>0</v>
      </c>
      <c r="M28" s="278">
        <v>-2866174</v>
      </c>
      <c r="N28" s="278">
        <v>0</v>
      </c>
      <c r="O28" s="278">
        <v>0</v>
      </c>
      <c r="P28" s="278">
        <v>0</v>
      </c>
      <c r="Q28" s="278">
        <v>0</v>
      </c>
      <c r="R28" s="278">
        <f t="shared" si="6"/>
        <v>-800047</v>
      </c>
    </row>
    <row r="29" spans="2:20">
      <c r="B29" s="241" t="s">
        <v>1460</v>
      </c>
      <c r="C29" s="241" t="s">
        <v>361</v>
      </c>
      <c r="D29" s="278">
        <v>0</v>
      </c>
      <c r="E29" s="278">
        <v>0</v>
      </c>
      <c r="F29" s="526">
        <v>0</v>
      </c>
      <c r="G29" s="278">
        <v>0</v>
      </c>
      <c r="H29" s="278">
        <v>-129245</v>
      </c>
      <c r="I29" s="526">
        <v>0</v>
      </c>
      <c r="J29" s="278">
        <v>0</v>
      </c>
      <c r="K29" s="278">
        <v>0</v>
      </c>
      <c r="L29" s="526">
        <v>0</v>
      </c>
      <c r="M29" s="278">
        <v>-1846777</v>
      </c>
      <c r="N29" s="278">
        <v>0</v>
      </c>
      <c r="O29" s="278">
        <v>0</v>
      </c>
      <c r="P29" s="278">
        <v>0</v>
      </c>
      <c r="Q29" s="278">
        <v>0</v>
      </c>
      <c r="R29" s="278">
        <f t="shared" si="6"/>
        <v>-1976022</v>
      </c>
    </row>
    <row r="30" spans="2:20">
      <c r="B30" s="241" t="s">
        <v>2567</v>
      </c>
      <c r="C30" s="241" t="s">
        <v>2565</v>
      </c>
      <c r="D30" s="278">
        <v>0</v>
      </c>
      <c r="E30" s="278">
        <v>0</v>
      </c>
      <c r="F30" s="526">
        <v>0</v>
      </c>
      <c r="G30" s="278">
        <v>0</v>
      </c>
      <c r="H30" s="278">
        <v>0</v>
      </c>
      <c r="I30" s="526">
        <v>0</v>
      </c>
      <c r="J30" s="278">
        <v>0</v>
      </c>
      <c r="K30" s="278">
        <v>0</v>
      </c>
      <c r="L30" s="526">
        <v>0</v>
      </c>
      <c r="M30" s="278">
        <v>0</v>
      </c>
      <c r="N30" s="278">
        <v>-44990</v>
      </c>
      <c r="O30" s="278">
        <v>0</v>
      </c>
      <c r="P30" s="278">
        <v>0</v>
      </c>
      <c r="Q30" s="278">
        <v>0</v>
      </c>
      <c r="R30" s="278">
        <f t="shared" si="6"/>
        <v>-44990</v>
      </c>
    </row>
    <row r="31" spans="2:20">
      <c r="B31" s="241" t="s">
        <v>2596</v>
      </c>
      <c r="C31" s="241" t="s">
        <v>2597</v>
      </c>
      <c r="D31" s="278">
        <v>0</v>
      </c>
      <c r="E31" s="278">
        <v>0</v>
      </c>
      <c r="F31" s="526">
        <v>0</v>
      </c>
      <c r="G31" s="278">
        <v>0</v>
      </c>
      <c r="H31" s="278">
        <v>0</v>
      </c>
      <c r="I31" s="526">
        <v>0</v>
      </c>
      <c r="J31" s="278">
        <v>-14372</v>
      </c>
      <c r="K31" s="278">
        <v>-27334</v>
      </c>
      <c r="L31" s="526">
        <v>0</v>
      </c>
      <c r="M31" s="278">
        <v>0</v>
      </c>
      <c r="N31" s="278">
        <v>-4801</v>
      </c>
      <c r="O31" s="278">
        <v>0</v>
      </c>
      <c r="P31" s="278">
        <v>0</v>
      </c>
      <c r="Q31" s="278">
        <v>0</v>
      </c>
      <c r="R31" s="278">
        <f t="shared" si="6"/>
        <v>-46507</v>
      </c>
    </row>
    <row r="32" spans="2:20">
      <c r="B32" s="241" t="s">
        <v>1463</v>
      </c>
      <c r="C32" s="241" t="s">
        <v>36</v>
      </c>
      <c r="D32" s="278">
        <v>0</v>
      </c>
      <c r="E32" s="278">
        <v>-5471370</v>
      </c>
      <c r="F32" s="526">
        <v>0</v>
      </c>
      <c r="G32" s="278">
        <v>-5105142</v>
      </c>
      <c r="H32" s="278">
        <v>-3360231</v>
      </c>
      <c r="I32" s="526">
        <v>-589781</v>
      </c>
      <c r="J32" s="278">
        <v>-6163578</v>
      </c>
      <c r="K32" s="278">
        <v>-4432782</v>
      </c>
      <c r="L32" s="526">
        <v>0</v>
      </c>
      <c r="M32" s="278">
        <v>-1429576</v>
      </c>
      <c r="N32" s="278">
        <v>-5819291</v>
      </c>
      <c r="O32" s="278">
        <v>-3991543</v>
      </c>
      <c r="P32" s="278">
        <v>-4129167</v>
      </c>
      <c r="Q32" s="278">
        <v>-4624690</v>
      </c>
      <c r="R32" s="278">
        <f t="shared" si="6"/>
        <v>-45117151</v>
      </c>
    </row>
    <row r="33" spans="2:18" s="200" customFormat="1">
      <c r="B33" s="552" t="s">
        <v>1464</v>
      </c>
      <c r="C33" s="552" t="s">
        <v>37</v>
      </c>
      <c r="D33" s="526">
        <v>0</v>
      </c>
      <c r="E33" s="526">
        <v>-273846</v>
      </c>
      <c r="F33" s="526">
        <v>0</v>
      </c>
      <c r="G33" s="526">
        <v>-183785</v>
      </c>
      <c r="H33" s="526">
        <v>-127312</v>
      </c>
      <c r="I33" s="526">
        <v>0</v>
      </c>
      <c r="J33" s="526">
        <v>-295071</v>
      </c>
      <c r="K33" s="526">
        <v>-167527</v>
      </c>
      <c r="L33" s="526">
        <v>0</v>
      </c>
      <c r="M33" s="526">
        <v>0</v>
      </c>
      <c r="N33" s="526">
        <v>-668574</v>
      </c>
      <c r="O33" s="526">
        <v>-17293</v>
      </c>
      <c r="P33" s="526">
        <v>805918</v>
      </c>
      <c r="Q33" s="526">
        <v>-803000</v>
      </c>
      <c r="R33" s="278">
        <f t="shared" si="6"/>
        <v>-1730490</v>
      </c>
    </row>
    <row r="34" spans="2:18" s="200" customFormat="1">
      <c r="B34" s="552" t="s">
        <v>1465</v>
      </c>
      <c r="C34" s="552" t="s">
        <v>38</v>
      </c>
      <c r="D34" s="526">
        <v>0</v>
      </c>
      <c r="E34" s="526">
        <v>-190943</v>
      </c>
      <c r="F34" s="526">
        <v>0</v>
      </c>
      <c r="G34" s="526">
        <v>-203449</v>
      </c>
      <c r="H34" s="526">
        <v>-92175</v>
      </c>
      <c r="I34" s="526">
        <v>-44143</v>
      </c>
      <c r="J34" s="526">
        <v>-226386</v>
      </c>
      <c r="K34" s="526">
        <v>-163670</v>
      </c>
      <c r="L34" s="526">
        <v>0</v>
      </c>
      <c r="M34" s="526">
        <v>-34952</v>
      </c>
      <c r="N34" s="526">
        <v>-219642</v>
      </c>
      <c r="O34" s="526">
        <v>-149355</v>
      </c>
      <c r="P34" s="526">
        <v>-149071</v>
      </c>
      <c r="Q34" s="526">
        <v>-181297</v>
      </c>
      <c r="R34" s="278">
        <f t="shared" si="6"/>
        <v>-1655083</v>
      </c>
    </row>
    <row r="35" spans="2:18" s="200" customFormat="1">
      <c r="B35" s="552" t="s">
        <v>1466</v>
      </c>
      <c r="C35" s="552" t="s">
        <v>39</v>
      </c>
      <c r="D35" s="526">
        <v>0</v>
      </c>
      <c r="E35" s="526">
        <v>-1260847</v>
      </c>
      <c r="F35" s="526">
        <v>0</v>
      </c>
      <c r="G35" s="526">
        <v>-1345486</v>
      </c>
      <c r="H35" s="526">
        <v>-460102</v>
      </c>
      <c r="I35" s="526">
        <v>-215308</v>
      </c>
      <c r="J35" s="526">
        <v>-1419780</v>
      </c>
      <c r="K35" s="526">
        <v>-1136975</v>
      </c>
      <c r="L35" s="526">
        <v>0</v>
      </c>
      <c r="M35" s="526">
        <v>-147415</v>
      </c>
      <c r="N35" s="526">
        <v>-1338001</v>
      </c>
      <c r="O35" s="526">
        <v>-1000642</v>
      </c>
      <c r="P35" s="526">
        <v>-1039174</v>
      </c>
      <c r="Q35" s="526">
        <v>-1220422</v>
      </c>
      <c r="R35" s="278">
        <f t="shared" si="6"/>
        <v>-10584152</v>
      </c>
    </row>
    <row r="36" spans="2:18" s="200" customFormat="1">
      <c r="B36" s="552" t="s">
        <v>1467</v>
      </c>
      <c r="C36" s="552" t="s">
        <v>393</v>
      </c>
      <c r="D36" s="526">
        <v>0</v>
      </c>
      <c r="E36" s="526">
        <v>0</v>
      </c>
      <c r="F36" s="526">
        <v>0</v>
      </c>
      <c r="G36" s="526">
        <v>0</v>
      </c>
      <c r="H36" s="526">
        <v>0</v>
      </c>
      <c r="I36" s="526">
        <v>-4000</v>
      </c>
      <c r="J36" s="526">
        <v>0</v>
      </c>
      <c r="K36" s="526">
        <v>0</v>
      </c>
      <c r="L36" s="526">
        <v>0</v>
      </c>
      <c r="M36" s="526">
        <v>0</v>
      </c>
      <c r="N36" s="526">
        <v>0</v>
      </c>
      <c r="O36" s="526">
        <v>0</v>
      </c>
      <c r="P36" s="526">
        <v>0</v>
      </c>
      <c r="Q36" s="526">
        <v>0</v>
      </c>
      <c r="R36" s="278">
        <f t="shared" si="6"/>
        <v>-4000</v>
      </c>
    </row>
    <row r="37" spans="2:18" s="200" customFormat="1">
      <c r="B37" s="552" t="s">
        <v>1468</v>
      </c>
      <c r="C37" s="552" t="s">
        <v>42</v>
      </c>
      <c r="D37" s="526">
        <v>0</v>
      </c>
      <c r="E37" s="526">
        <v>-71936</v>
      </c>
      <c r="F37" s="526">
        <v>0</v>
      </c>
      <c r="G37" s="526">
        <v>-73997</v>
      </c>
      <c r="H37" s="526">
        <v>-34371</v>
      </c>
      <c r="I37" s="526">
        <v>-11124</v>
      </c>
      <c r="J37" s="526">
        <v>-84795</v>
      </c>
      <c r="K37" s="526">
        <v>-58447</v>
      </c>
      <c r="L37" s="526">
        <v>0</v>
      </c>
      <c r="M37" s="526">
        <v>-12025</v>
      </c>
      <c r="N37" s="526">
        <v>-82866</v>
      </c>
      <c r="O37" s="526">
        <v>-51899</v>
      </c>
      <c r="P37" s="526">
        <v>-52421</v>
      </c>
      <c r="Q37" s="526">
        <v>-66273</v>
      </c>
      <c r="R37" s="278">
        <f t="shared" si="6"/>
        <v>-600154</v>
      </c>
    </row>
    <row r="38" spans="2:18" s="200" customFormat="1">
      <c r="B38" s="552" t="s">
        <v>1469</v>
      </c>
      <c r="C38" s="552" t="s">
        <v>43</v>
      </c>
      <c r="D38" s="526">
        <v>0</v>
      </c>
      <c r="E38" s="526">
        <v>-119119</v>
      </c>
      <c r="F38" s="526">
        <v>0</v>
      </c>
      <c r="G38" s="526">
        <v>-124090</v>
      </c>
      <c r="H38" s="526">
        <v>-56916</v>
      </c>
      <c r="I38" s="526">
        <v>-28325</v>
      </c>
      <c r="J38" s="526">
        <v>-140414</v>
      </c>
      <c r="K38" s="526">
        <v>-100092</v>
      </c>
      <c r="L38" s="526">
        <v>0</v>
      </c>
      <c r="M38" s="526">
        <v>-19912</v>
      </c>
      <c r="N38" s="526">
        <v>-137221</v>
      </c>
      <c r="O38" s="526">
        <v>-89846</v>
      </c>
      <c r="P38" s="526">
        <v>-86806</v>
      </c>
      <c r="Q38" s="526">
        <v>-109740</v>
      </c>
      <c r="R38" s="278">
        <f t="shared" si="6"/>
        <v>-1012481</v>
      </c>
    </row>
    <row r="39" spans="2:18" s="200" customFormat="1">
      <c r="B39" s="552" t="s">
        <v>2885</v>
      </c>
      <c r="C39" s="261" t="s">
        <v>2888</v>
      </c>
      <c r="D39" s="526">
        <v>0</v>
      </c>
      <c r="E39" s="526">
        <v>-7736</v>
      </c>
      <c r="F39" s="526">
        <v>0</v>
      </c>
      <c r="G39" s="526">
        <v>-7952</v>
      </c>
      <c r="H39" s="526">
        <v>-3696</v>
      </c>
      <c r="I39" s="526">
        <v>-1175</v>
      </c>
      <c r="J39" s="526">
        <v>-9119</v>
      </c>
      <c r="K39" s="526">
        <v>-6279</v>
      </c>
      <c r="L39" s="526">
        <v>0</v>
      </c>
      <c r="M39" s="526">
        <v>-1293</v>
      </c>
      <c r="N39" s="526">
        <v>-8910</v>
      </c>
      <c r="O39" s="526">
        <v>-5572</v>
      </c>
      <c r="P39" s="526">
        <v>-5637</v>
      </c>
      <c r="Q39" s="526">
        <v>-7126</v>
      </c>
      <c r="R39" s="278">
        <f t="shared" si="6"/>
        <v>-64495</v>
      </c>
    </row>
    <row r="40" spans="2:18" s="200" customFormat="1">
      <c r="B40" s="552" t="s">
        <v>2886</v>
      </c>
      <c r="C40" s="261" t="s">
        <v>2889</v>
      </c>
      <c r="D40" s="526">
        <v>0</v>
      </c>
      <c r="E40" s="526">
        <v>-69616</v>
      </c>
      <c r="F40" s="526">
        <v>0</v>
      </c>
      <c r="G40" s="526">
        <v>-72523</v>
      </c>
      <c r="H40" s="526">
        <v>-33262</v>
      </c>
      <c r="I40" s="526">
        <v>-16554</v>
      </c>
      <c r="J40" s="526">
        <v>-82059</v>
      </c>
      <c r="K40" s="526">
        <v>-58497</v>
      </c>
      <c r="L40" s="526">
        <v>0</v>
      </c>
      <c r="M40" s="526">
        <v>-11637</v>
      </c>
      <c r="N40" s="526">
        <v>-80194</v>
      </c>
      <c r="O40" s="526">
        <v>-52509</v>
      </c>
      <c r="P40" s="526">
        <v>-50733</v>
      </c>
      <c r="Q40" s="526">
        <v>-64134</v>
      </c>
      <c r="R40" s="278">
        <f t="shared" si="6"/>
        <v>-591718</v>
      </c>
    </row>
    <row r="41" spans="2:18" s="200" customFormat="1">
      <c r="B41" s="552" t="s">
        <v>1470</v>
      </c>
      <c r="C41" s="552" t="s">
        <v>454</v>
      </c>
      <c r="D41" s="526">
        <v>0</v>
      </c>
      <c r="E41" s="526">
        <v>0</v>
      </c>
      <c r="F41" s="526">
        <v>0</v>
      </c>
      <c r="G41" s="526">
        <v>0</v>
      </c>
      <c r="H41" s="526">
        <v>0</v>
      </c>
      <c r="I41" s="526">
        <v>0</v>
      </c>
      <c r="J41" s="526">
        <v>0</v>
      </c>
      <c r="K41" s="526">
        <v>0</v>
      </c>
      <c r="L41" s="526">
        <v>0</v>
      </c>
      <c r="M41" s="526">
        <v>0</v>
      </c>
      <c r="N41" s="526">
        <v>0</v>
      </c>
      <c r="O41" s="526">
        <v>0</v>
      </c>
      <c r="P41" s="526">
        <v>0</v>
      </c>
      <c r="Q41" s="526">
        <v>0</v>
      </c>
      <c r="R41" s="278">
        <f t="shared" si="6"/>
        <v>0</v>
      </c>
    </row>
    <row r="42" spans="2:18" s="200" customFormat="1">
      <c r="B42" s="552" t="s">
        <v>1932</v>
      </c>
      <c r="C42" s="552" t="s">
        <v>1933</v>
      </c>
      <c r="D42" s="526">
        <v>0</v>
      </c>
      <c r="E42" s="526">
        <v>-54023</v>
      </c>
      <c r="F42" s="526">
        <v>0</v>
      </c>
      <c r="G42" s="526">
        <v>-246963</v>
      </c>
      <c r="H42" s="526">
        <v>0</v>
      </c>
      <c r="I42" s="526">
        <v>-7718</v>
      </c>
      <c r="J42" s="526">
        <v>-138917</v>
      </c>
      <c r="K42" s="526">
        <v>-77176</v>
      </c>
      <c r="L42" s="526">
        <v>0</v>
      </c>
      <c r="M42" s="526">
        <v>0</v>
      </c>
      <c r="N42" s="526">
        <v>0</v>
      </c>
      <c r="O42" s="526">
        <v>-84893</v>
      </c>
      <c r="P42" s="526">
        <v>-100328</v>
      </c>
      <c r="Q42" s="526">
        <v>-46306</v>
      </c>
      <c r="R42" s="278">
        <f t="shared" si="6"/>
        <v>-756324</v>
      </c>
    </row>
    <row r="43" spans="2:18">
      <c r="B43" s="241" t="s">
        <v>1473</v>
      </c>
      <c r="C43" s="241" t="s">
        <v>311</v>
      </c>
      <c r="D43" s="278">
        <v>0</v>
      </c>
      <c r="E43" s="278">
        <v>-180943</v>
      </c>
      <c r="F43" s="526">
        <v>0</v>
      </c>
      <c r="G43" s="278">
        <v>-133838</v>
      </c>
      <c r="H43" s="278">
        <v>0</v>
      </c>
      <c r="I43" s="526">
        <v>-51590</v>
      </c>
      <c r="J43" s="278">
        <v>-299778</v>
      </c>
      <c r="K43" s="278">
        <v>-135476</v>
      </c>
      <c r="L43" s="526">
        <v>0</v>
      </c>
      <c r="M43" s="278">
        <v>0</v>
      </c>
      <c r="N43" s="278">
        <v>-289276</v>
      </c>
      <c r="O43" s="278">
        <v>-129339</v>
      </c>
      <c r="P43" s="278">
        <v>-90282</v>
      </c>
      <c r="Q43" s="278">
        <v>-137030</v>
      </c>
      <c r="R43" s="278">
        <f t="shared" si="6"/>
        <v>-1447552</v>
      </c>
    </row>
    <row r="44" spans="2:18">
      <c r="B44" s="241" t="s">
        <v>1474</v>
      </c>
      <c r="C44" s="241" t="s">
        <v>45</v>
      </c>
      <c r="D44" s="278">
        <v>0</v>
      </c>
      <c r="E44" s="278">
        <v>-878119</v>
      </c>
      <c r="F44" s="526">
        <v>0</v>
      </c>
      <c r="G44" s="278">
        <v>-573217</v>
      </c>
      <c r="H44" s="278">
        <v>0</v>
      </c>
      <c r="I44" s="526">
        <v>-262921</v>
      </c>
      <c r="J44" s="278">
        <v>-1348315</v>
      </c>
      <c r="K44" s="278">
        <v>-606114</v>
      </c>
      <c r="L44" s="526">
        <v>0</v>
      </c>
      <c r="M44" s="278">
        <v>0</v>
      </c>
      <c r="N44" s="278">
        <v>-1214957</v>
      </c>
      <c r="O44" s="278">
        <v>-549390</v>
      </c>
      <c r="P44" s="278">
        <v>-419677</v>
      </c>
      <c r="Q44" s="278">
        <v>-592611</v>
      </c>
      <c r="R44" s="278">
        <f t="shared" si="6"/>
        <v>-6445321</v>
      </c>
    </row>
    <row r="45" spans="2:18">
      <c r="B45" s="241" t="s">
        <v>1491</v>
      </c>
      <c r="C45" s="241" t="s">
        <v>40</v>
      </c>
      <c r="D45" s="278">
        <v>0</v>
      </c>
      <c r="E45" s="278">
        <v>-320101</v>
      </c>
      <c r="F45" s="526">
        <v>0</v>
      </c>
      <c r="G45" s="278">
        <v>-252135</v>
      </c>
      <c r="H45" s="278">
        <v>-107297</v>
      </c>
      <c r="I45" s="526">
        <v>-50000</v>
      </c>
      <c r="J45" s="278">
        <v>-337155</v>
      </c>
      <c r="K45" s="278">
        <v>-227921</v>
      </c>
      <c r="L45" s="526">
        <v>0</v>
      </c>
      <c r="M45" s="278">
        <v>-69560</v>
      </c>
      <c r="N45" s="278">
        <v>-322795</v>
      </c>
      <c r="O45" s="278">
        <v>-199224</v>
      </c>
      <c r="P45" s="278">
        <v>-202307</v>
      </c>
      <c r="Q45" s="278">
        <v>-238005</v>
      </c>
      <c r="R45" s="278">
        <f t="shared" si="6"/>
        <v>-2326500</v>
      </c>
    </row>
    <row r="46" spans="2:18">
      <c r="B46" s="241" t="s">
        <v>1492</v>
      </c>
      <c r="C46" s="241" t="s">
        <v>41</v>
      </c>
      <c r="D46" s="278">
        <v>0</v>
      </c>
      <c r="E46" s="278">
        <v>-320101</v>
      </c>
      <c r="F46" s="526">
        <v>0</v>
      </c>
      <c r="G46" s="278">
        <v>-252135</v>
      </c>
      <c r="H46" s="278">
        <v>-107297</v>
      </c>
      <c r="I46" s="526">
        <v>-50000</v>
      </c>
      <c r="J46" s="278">
        <v>-337155</v>
      </c>
      <c r="K46" s="278">
        <v>-227921</v>
      </c>
      <c r="L46" s="526">
        <v>0</v>
      </c>
      <c r="M46" s="278">
        <v>-69560</v>
      </c>
      <c r="N46" s="278">
        <v>-322795</v>
      </c>
      <c r="O46" s="278">
        <v>-199224</v>
      </c>
      <c r="P46" s="278">
        <v>-202307</v>
      </c>
      <c r="Q46" s="278">
        <v>-238005</v>
      </c>
      <c r="R46" s="278">
        <f t="shared" si="6"/>
        <v>-2326500</v>
      </c>
    </row>
    <row r="47" spans="2:18">
      <c r="B47" s="241" t="s">
        <v>1494</v>
      </c>
      <c r="C47" s="241" t="s">
        <v>44</v>
      </c>
      <c r="D47" s="278">
        <v>0</v>
      </c>
      <c r="E47" s="278">
        <v>-29875</v>
      </c>
      <c r="F47" s="526">
        <v>0</v>
      </c>
      <c r="G47" s="278">
        <v>96155</v>
      </c>
      <c r="H47" s="278">
        <v>0</v>
      </c>
      <c r="I47" s="526">
        <v>139930</v>
      </c>
      <c r="J47" s="278">
        <v>312025</v>
      </c>
      <c r="K47" s="278">
        <v>-29875</v>
      </c>
      <c r="L47" s="526">
        <v>0</v>
      </c>
      <c r="M47" s="278">
        <v>0</v>
      </c>
      <c r="N47" s="278">
        <v>-29875</v>
      </c>
      <c r="O47" s="278">
        <v>153295</v>
      </c>
      <c r="P47" s="278">
        <v>214574</v>
      </c>
      <c r="Q47" s="278">
        <v>312035</v>
      </c>
      <c r="R47" s="278">
        <f t="shared" si="6"/>
        <v>1138389</v>
      </c>
    </row>
    <row r="48" spans="2:18">
      <c r="B48" s="241" t="s">
        <v>1497</v>
      </c>
      <c r="C48" s="241" t="s">
        <v>46</v>
      </c>
      <c r="D48" s="278">
        <v>0</v>
      </c>
      <c r="E48" s="278">
        <v>-62500</v>
      </c>
      <c r="F48" s="526">
        <v>0</v>
      </c>
      <c r="G48" s="278">
        <v>-62500</v>
      </c>
      <c r="H48" s="278">
        <v>0</v>
      </c>
      <c r="I48" s="526">
        <v>-5000</v>
      </c>
      <c r="J48" s="278">
        <v>-62500</v>
      </c>
      <c r="K48" s="278">
        <v>-62500</v>
      </c>
      <c r="L48" s="526">
        <v>0</v>
      </c>
      <c r="M48" s="278">
        <v>0</v>
      </c>
      <c r="N48" s="278">
        <v>-62500</v>
      </c>
      <c r="O48" s="278">
        <v>-62500</v>
      </c>
      <c r="P48" s="278">
        <v>-62500</v>
      </c>
      <c r="Q48" s="278">
        <v>-62500</v>
      </c>
      <c r="R48" s="278">
        <f t="shared" si="6"/>
        <v>-505000</v>
      </c>
    </row>
    <row r="49" spans="2:18">
      <c r="B49" s="241" t="s">
        <v>1498</v>
      </c>
      <c r="C49" s="241" t="s">
        <v>388</v>
      </c>
      <c r="D49" s="278">
        <v>0</v>
      </c>
      <c r="E49" s="278">
        <v>0</v>
      </c>
      <c r="F49" s="526">
        <v>0</v>
      </c>
      <c r="G49" s="278">
        <v>0</v>
      </c>
      <c r="H49" s="278">
        <v>0</v>
      </c>
      <c r="I49" s="526">
        <v>-3101478</v>
      </c>
      <c r="J49" s="278">
        <v>0</v>
      </c>
      <c r="K49" s="278">
        <v>0</v>
      </c>
      <c r="L49" s="526"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f t="shared" si="6"/>
        <v>-3101478</v>
      </c>
    </row>
    <row r="50" spans="2:18">
      <c r="B50" s="241" t="s">
        <v>1499</v>
      </c>
      <c r="C50" s="241" t="s">
        <v>328</v>
      </c>
      <c r="D50" s="278">
        <v>0</v>
      </c>
      <c r="E50" s="278">
        <v>0</v>
      </c>
      <c r="F50" s="526">
        <v>0</v>
      </c>
      <c r="G50" s="278">
        <v>0</v>
      </c>
      <c r="H50" s="278">
        <v>0</v>
      </c>
      <c r="I50" s="526">
        <v>0</v>
      </c>
      <c r="J50" s="278">
        <v>0</v>
      </c>
      <c r="K50" s="278">
        <v>0</v>
      </c>
      <c r="L50" s="526"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f t="shared" si="6"/>
        <v>0</v>
      </c>
    </row>
    <row r="51" spans="2:18" s="200" customFormat="1">
      <c r="B51" s="552" t="s">
        <v>1501</v>
      </c>
      <c r="C51" s="552" t="s">
        <v>310</v>
      </c>
      <c r="D51" s="526">
        <v>0</v>
      </c>
      <c r="E51" s="526">
        <v>-8066624</v>
      </c>
      <c r="F51" s="526">
        <v>0</v>
      </c>
      <c r="G51" s="526">
        <v>-8153293</v>
      </c>
      <c r="H51" s="526">
        <v>0</v>
      </c>
      <c r="I51" s="526">
        <v>-3630987</v>
      </c>
      <c r="J51" s="278">
        <v>-18996289</v>
      </c>
      <c r="K51" s="526">
        <v>-10520512</v>
      </c>
      <c r="L51" s="526">
        <v>0</v>
      </c>
      <c r="M51" s="526">
        <v>0</v>
      </c>
      <c r="N51" s="526">
        <v>-7349940</v>
      </c>
      <c r="O51" s="526">
        <v>-3774269</v>
      </c>
      <c r="P51" s="526">
        <v>-7172077</v>
      </c>
      <c r="Q51" s="526">
        <v>-8330411</v>
      </c>
      <c r="R51" s="278">
        <f t="shared" si="6"/>
        <v>-75994402</v>
      </c>
    </row>
    <row r="52" spans="2:18">
      <c r="B52" s="241" t="s">
        <v>1502</v>
      </c>
      <c r="C52" s="241" t="s">
        <v>47</v>
      </c>
      <c r="D52" s="278">
        <v>-3126087</v>
      </c>
      <c r="E52" s="278">
        <v>0</v>
      </c>
      <c r="F52" s="526">
        <v>0</v>
      </c>
      <c r="G52" s="278">
        <v>0</v>
      </c>
      <c r="H52" s="278">
        <v>0</v>
      </c>
      <c r="I52" s="526">
        <v>0</v>
      </c>
      <c r="J52" s="278">
        <v>0</v>
      </c>
      <c r="K52" s="278">
        <v>0</v>
      </c>
      <c r="L52" s="526"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f t="shared" si="6"/>
        <v>-3126087</v>
      </c>
    </row>
    <row r="53" spans="2:18">
      <c r="B53" s="241" t="s">
        <v>1923</v>
      </c>
      <c r="C53" s="241" t="s">
        <v>1924</v>
      </c>
      <c r="D53" s="278">
        <v>-272096</v>
      </c>
      <c r="E53" s="278">
        <v>-46886</v>
      </c>
      <c r="F53" s="526">
        <v>0</v>
      </c>
      <c r="G53" s="278">
        <v>-88896</v>
      </c>
      <c r="H53" s="278">
        <v>0</v>
      </c>
      <c r="I53" s="526">
        <v>-37428</v>
      </c>
      <c r="J53" s="278">
        <v>-74708</v>
      </c>
      <c r="K53" s="278">
        <v>-8578</v>
      </c>
      <c r="L53" s="526">
        <v>0</v>
      </c>
      <c r="M53" s="278">
        <v>0</v>
      </c>
      <c r="N53" s="278">
        <v>-19728</v>
      </c>
      <c r="O53" s="278">
        <v>-62573</v>
      </c>
      <c r="P53" s="278">
        <v>-13578</v>
      </c>
      <c r="Q53" s="278">
        <v>-6578</v>
      </c>
      <c r="R53" s="278">
        <f t="shared" si="6"/>
        <v>-631049</v>
      </c>
    </row>
    <row r="54" spans="2:18">
      <c r="B54" s="241" t="s">
        <v>2598</v>
      </c>
      <c r="C54" s="241" t="s">
        <v>2599</v>
      </c>
      <c r="D54" s="278">
        <v>0</v>
      </c>
      <c r="E54" s="278">
        <v>0</v>
      </c>
      <c r="F54" s="526">
        <v>0</v>
      </c>
      <c r="G54" s="278">
        <v>0</v>
      </c>
      <c r="H54" s="278">
        <v>0</v>
      </c>
      <c r="I54" s="526">
        <v>0</v>
      </c>
      <c r="J54" s="278">
        <v>0</v>
      </c>
      <c r="K54" s="278">
        <v>0</v>
      </c>
      <c r="L54" s="526"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f t="shared" si="6"/>
        <v>0</v>
      </c>
    </row>
    <row r="55" spans="2:18">
      <c r="B55" s="241" t="s">
        <v>1504</v>
      </c>
      <c r="C55" s="241" t="s">
        <v>303</v>
      </c>
      <c r="D55" s="278">
        <v>-61064</v>
      </c>
      <c r="E55" s="278">
        <v>-61066</v>
      </c>
      <c r="F55" s="526">
        <v>0</v>
      </c>
      <c r="G55" s="278">
        <v>-61066</v>
      </c>
      <c r="H55" s="278">
        <v>-61064</v>
      </c>
      <c r="I55" s="526">
        <v>493996</v>
      </c>
      <c r="J55" s="278">
        <v>-61065</v>
      </c>
      <c r="K55" s="278">
        <v>-61065</v>
      </c>
      <c r="L55" s="526">
        <v>0</v>
      </c>
      <c r="M55" s="278">
        <v>-61064</v>
      </c>
      <c r="N55" s="278">
        <v>-61065</v>
      </c>
      <c r="O55" s="278">
        <v>-61064</v>
      </c>
      <c r="P55" s="278">
        <v>-61064</v>
      </c>
      <c r="Q55" s="278">
        <v>-61064</v>
      </c>
      <c r="R55" s="278">
        <f t="shared" si="6"/>
        <v>-177715</v>
      </c>
    </row>
    <row r="56" spans="2:18">
      <c r="B56" s="241" t="s">
        <v>1925</v>
      </c>
      <c r="C56" s="241" t="s">
        <v>1487</v>
      </c>
      <c r="D56" s="278">
        <v>0</v>
      </c>
      <c r="E56" s="278">
        <v>-14581</v>
      </c>
      <c r="F56" s="526">
        <v>0</v>
      </c>
      <c r="G56" s="278">
        <v>-14581</v>
      </c>
      <c r="H56" s="278">
        <v>0</v>
      </c>
      <c r="I56" s="526">
        <v>-14581</v>
      </c>
      <c r="J56" s="278">
        <v>-14581</v>
      </c>
      <c r="K56" s="278">
        <v>-14581</v>
      </c>
      <c r="L56" s="526">
        <v>0</v>
      </c>
      <c r="M56" s="278">
        <v>0</v>
      </c>
      <c r="N56" s="278">
        <v>-14581</v>
      </c>
      <c r="O56" s="278">
        <v>-14581</v>
      </c>
      <c r="P56" s="278">
        <v>-14581</v>
      </c>
      <c r="Q56" s="278">
        <v>-14581</v>
      </c>
      <c r="R56" s="278">
        <f t="shared" si="6"/>
        <v>-131229</v>
      </c>
    </row>
    <row r="57" spans="2:18" s="200" customFormat="1">
      <c r="B57" s="552" t="s">
        <v>1506</v>
      </c>
      <c r="C57" s="552" t="s">
        <v>48</v>
      </c>
      <c r="D57" s="526">
        <v>0</v>
      </c>
      <c r="E57" s="526">
        <v>-9564</v>
      </c>
      <c r="F57" s="526">
        <v>-11619</v>
      </c>
      <c r="G57" s="526">
        <v>-44873</v>
      </c>
      <c r="H57" s="526">
        <v>0</v>
      </c>
      <c r="I57" s="526">
        <v>-75024</v>
      </c>
      <c r="J57" s="526">
        <v>-55219</v>
      </c>
      <c r="K57" s="526">
        <v>-11619</v>
      </c>
      <c r="L57" s="526">
        <v>0</v>
      </c>
      <c r="M57" s="526">
        <v>0</v>
      </c>
      <c r="N57" s="526">
        <v>-536239</v>
      </c>
      <c r="O57" s="526">
        <v>-4258</v>
      </c>
      <c r="P57" s="526">
        <v>-37862</v>
      </c>
      <c r="Q57" s="526">
        <v>-52980</v>
      </c>
      <c r="R57" s="278">
        <f t="shared" si="6"/>
        <v>-839257</v>
      </c>
    </row>
    <row r="58" spans="2:18" s="200" customFormat="1">
      <c r="B58" s="552" t="s">
        <v>3223</v>
      </c>
      <c r="C58" s="552" t="s">
        <v>3224</v>
      </c>
      <c r="D58" s="526">
        <v>0</v>
      </c>
      <c r="E58" s="526">
        <v>0</v>
      </c>
      <c r="F58" s="526">
        <v>0</v>
      </c>
      <c r="G58" s="526">
        <v>0</v>
      </c>
      <c r="H58" s="526">
        <v>0</v>
      </c>
      <c r="I58" s="526">
        <v>-1065119</v>
      </c>
      <c r="J58" s="526">
        <v>0</v>
      </c>
      <c r="K58" s="526">
        <v>0</v>
      </c>
      <c r="L58" s="526">
        <v>0</v>
      </c>
      <c r="M58" s="526">
        <v>0</v>
      </c>
      <c r="N58" s="526">
        <v>0</v>
      </c>
      <c r="O58" s="526">
        <v>0</v>
      </c>
      <c r="P58" s="526">
        <v>0</v>
      </c>
      <c r="Q58" s="526">
        <v>0</v>
      </c>
      <c r="R58" s="278">
        <f t="shared" si="6"/>
        <v>-1065119</v>
      </c>
    </row>
    <row r="59" spans="2:18">
      <c r="B59" s="241" t="s">
        <v>1507</v>
      </c>
      <c r="C59" s="241" t="s">
        <v>805</v>
      </c>
      <c r="D59" s="278">
        <v>0</v>
      </c>
      <c r="E59" s="278">
        <v>0</v>
      </c>
      <c r="F59" s="526">
        <v>0</v>
      </c>
      <c r="G59" s="278">
        <v>0</v>
      </c>
      <c r="H59" s="278">
        <v>0</v>
      </c>
      <c r="I59" s="526">
        <v>-420710</v>
      </c>
      <c r="J59" s="278">
        <v>0</v>
      </c>
      <c r="K59" s="278">
        <v>0</v>
      </c>
      <c r="L59" s="526"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f t="shared" si="6"/>
        <v>-420710</v>
      </c>
    </row>
    <row r="60" spans="2:18">
      <c r="B60" s="241" t="s">
        <v>1508</v>
      </c>
      <c r="C60" s="241" t="s">
        <v>806</v>
      </c>
      <c r="D60" s="278">
        <v>-226385</v>
      </c>
      <c r="E60" s="278">
        <v>-47536</v>
      </c>
      <c r="F60" s="526">
        <v>0</v>
      </c>
      <c r="G60" s="278">
        <v>-46439</v>
      </c>
      <c r="H60" s="278">
        <v>0</v>
      </c>
      <c r="I60" s="526">
        <v>-156454</v>
      </c>
      <c r="J60" s="278">
        <v>-44696</v>
      </c>
      <c r="K60" s="278">
        <v>-40307</v>
      </c>
      <c r="L60" s="526">
        <v>0</v>
      </c>
      <c r="M60" s="278">
        <v>0</v>
      </c>
      <c r="N60" s="278">
        <v>-44599</v>
      </c>
      <c r="O60" s="278">
        <v>-41685</v>
      </c>
      <c r="P60" s="278">
        <v>-46770</v>
      </c>
      <c r="Q60" s="278">
        <v>-46770</v>
      </c>
      <c r="R60" s="278">
        <f t="shared" si="6"/>
        <v>-741641</v>
      </c>
    </row>
    <row r="61" spans="2:18">
      <c r="B61" s="241" t="s">
        <v>1926</v>
      </c>
      <c r="C61" s="241" t="s">
        <v>1927</v>
      </c>
      <c r="D61" s="278">
        <v>0</v>
      </c>
      <c r="E61" s="278">
        <v>0</v>
      </c>
      <c r="F61" s="526">
        <v>0</v>
      </c>
      <c r="G61" s="278">
        <v>0</v>
      </c>
      <c r="H61" s="278">
        <v>0</v>
      </c>
      <c r="I61" s="526">
        <v>0</v>
      </c>
      <c r="J61" s="278">
        <v>0</v>
      </c>
      <c r="K61" s="278">
        <v>0</v>
      </c>
      <c r="L61" s="526">
        <v>0</v>
      </c>
      <c r="M61" s="278">
        <v>0</v>
      </c>
      <c r="N61" s="278">
        <v>1</v>
      </c>
      <c r="O61" s="278">
        <v>0</v>
      </c>
      <c r="P61" s="278">
        <v>0</v>
      </c>
      <c r="Q61" s="278">
        <v>0</v>
      </c>
      <c r="R61" s="278">
        <f t="shared" si="6"/>
        <v>1</v>
      </c>
    </row>
    <row r="62" spans="2:18">
      <c r="B62" s="241" t="s">
        <v>1509</v>
      </c>
      <c r="C62" s="241" t="s">
        <v>49</v>
      </c>
      <c r="D62" s="278">
        <v>-319960</v>
      </c>
      <c r="E62" s="278">
        <v>-89676</v>
      </c>
      <c r="F62" s="526">
        <v>0</v>
      </c>
      <c r="G62" s="278">
        <v>-97699</v>
      </c>
      <c r="H62" s="278">
        <v>0</v>
      </c>
      <c r="I62" s="526">
        <v>0</v>
      </c>
      <c r="J62" s="278">
        <v>-47198</v>
      </c>
      <c r="K62" s="278">
        <v>-17699</v>
      </c>
      <c r="L62" s="526">
        <v>0</v>
      </c>
      <c r="M62" s="278">
        <v>0</v>
      </c>
      <c r="N62" s="278">
        <v>-374446</v>
      </c>
      <c r="O62" s="278">
        <v>-40936</v>
      </c>
      <c r="P62" s="278">
        <v>-23599</v>
      </c>
      <c r="Q62" s="278">
        <v>-94396</v>
      </c>
      <c r="R62" s="278">
        <f t="shared" si="6"/>
        <v>-1105609</v>
      </c>
    </row>
    <row r="63" spans="2:18">
      <c r="B63" s="241" t="s">
        <v>1921</v>
      </c>
      <c r="C63" s="241" t="s">
        <v>1922</v>
      </c>
      <c r="D63" s="278">
        <v>0</v>
      </c>
      <c r="E63" s="278">
        <v>-71352</v>
      </c>
      <c r="F63" s="526">
        <v>0</v>
      </c>
      <c r="G63" s="278">
        <v>-71352</v>
      </c>
      <c r="H63" s="278">
        <v>-71351</v>
      </c>
      <c r="I63" s="526">
        <v>0</v>
      </c>
      <c r="J63" s="278">
        <v>-71352</v>
      </c>
      <c r="K63" s="278">
        <v>-71353</v>
      </c>
      <c r="L63" s="526">
        <v>0</v>
      </c>
      <c r="M63" s="278">
        <v>0</v>
      </c>
      <c r="N63" s="278">
        <v>-71352</v>
      </c>
      <c r="O63" s="278">
        <v>-71352</v>
      </c>
      <c r="P63" s="278">
        <v>-71352</v>
      </c>
      <c r="Q63" s="278">
        <v>-71352</v>
      </c>
      <c r="R63" s="278">
        <f t="shared" si="6"/>
        <v>-642168</v>
      </c>
    </row>
    <row r="64" spans="2:18">
      <c r="B64" s="241" t="s">
        <v>2600</v>
      </c>
      <c r="C64" s="241" t="s">
        <v>3239</v>
      </c>
      <c r="D64" s="278">
        <v>0</v>
      </c>
      <c r="E64" s="278">
        <v>0</v>
      </c>
      <c r="F64" s="526">
        <v>0</v>
      </c>
      <c r="G64" s="278">
        <v>0</v>
      </c>
      <c r="H64" s="278">
        <v>0</v>
      </c>
      <c r="I64" s="526">
        <v>0</v>
      </c>
      <c r="J64" s="278">
        <v>0</v>
      </c>
      <c r="K64" s="278">
        <v>0</v>
      </c>
      <c r="L64" s="526"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f t="shared" si="6"/>
        <v>0</v>
      </c>
    </row>
    <row r="65" spans="2:18">
      <c r="B65" s="241" t="s">
        <v>1511</v>
      </c>
      <c r="C65" s="241" t="s">
        <v>807</v>
      </c>
      <c r="D65" s="278">
        <v>0</v>
      </c>
      <c r="E65" s="278">
        <v>0</v>
      </c>
      <c r="F65" s="526">
        <v>0</v>
      </c>
      <c r="G65" s="278">
        <v>0</v>
      </c>
      <c r="H65" s="278">
        <v>0</v>
      </c>
      <c r="I65" s="526">
        <v>0</v>
      </c>
      <c r="J65" s="278">
        <v>0</v>
      </c>
      <c r="K65" s="278">
        <v>0</v>
      </c>
      <c r="L65" s="526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f t="shared" si="6"/>
        <v>0</v>
      </c>
    </row>
    <row r="66" spans="2:18">
      <c r="B66" s="241" t="s">
        <v>1512</v>
      </c>
      <c r="C66" s="241" t="s">
        <v>51</v>
      </c>
      <c r="D66" s="278">
        <v>0</v>
      </c>
      <c r="E66" s="278">
        <v>-46452</v>
      </c>
      <c r="F66" s="526">
        <v>0</v>
      </c>
      <c r="G66" s="278">
        <v>-46451</v>
      </c>
      <c r="H66" s="278">
        <v>0</v>
      </c>
      <c r="I66" s="526">
        <v>0</v>
      </c>
      <c r="J66" s="278">
        <v>-46450</v>
      </c>
      <c r="K66" s="278">
        <v>-46450</v>
      </c>
      <c r="L66" s="526">
        <v>0</v>
      </c>
      <c r="M66" s="278">
        <v>0</v>
      </c>
      <c r="N66" s="278">
        <v>-46449</v>
      </c>
      <c r="O66" s="278">
        <v>-46447</v>
      </c>
      <c r="P66" s="278">
        <v>-46447</v>
      </c>
      <c r="Q66" s="278">
        <v>-46444</v>
      </c>
      <c r="R66" s="278">
        <f t="shared" si="6"/>
        <v>-371590</v>
      </c>
    </row>
    <row r="67" spans="2:18">
      <c r="B67" s="241" t="s">
        <v>1513</v>
      </c>
      <c r="C67" s="241" t="s">
        <v>808</v>
      </c>
      <c r="D67" s="278">
        <v>0</v>
      </c>
      <c r="E67" s="278">
        <v>0</v>
      </c>
      <c r="F67" s="526">
        <v>0</v>
      </c>
      <c r="G67" s="278">
        <v>0</v>
      </c>
      <c r="H67" s="278">
        <v>0</v>
      </c>
      <c r="I67" s="526">
        <v>0</v>
      </c>
      <c r="J67" s="278">
        <v>0</v>
      </c>
      <c r="K67" s="278">
        <v>0</v>
      </c>
      <c r="L67" s="526">
        <v>0</v>
      </c>
      <c r="M67" s="278">
        <v>0</v>
      </c>
      <c r="N67" s="278">
        <v>0</v>
      </c>
      <c r="O67" s="278">
        <v>0</v>
      </c>
      <c r="P67" s="278">
        <v>0</v>
      </c>
      <c r="Q67" s="278">
        <v>0</v>
      </c>
      <c r="R67" s="278">
        <f t="shared" si="6"/>
        <v>0</v>
      </c>
    </row>
    <row r="68" spans="2:18">
      <c r="B68" s="241" t="s">
        <v>1514</v>
      </c>
      <c r="C68" s="241" t="s">
        <v>52</v>
      </c>
      <c r="D68" s="278">
        <v>0</v>
      </c>
      <c r="E68" s="278">
        <v>0</v>
      </c>
      <c r="F68" s="526">
        <v>0</v>
      </c>
      <c r="G68" s="278">
        <v>0</v>
      </c>
      <c r="H68" s="278">
        <v>0</v>
      </c>
      <c r="I68" s="526">
        <v>-502259</v>
      </c>
      <c r="J68" s="278">
        <v>0</v>
      </c>
      <c r="K68" s="278">
        <v>0</v>
      </c>
      <c r="L68" s="526"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0</v>
      </c>
      <c r="R68" s="278">
        <f t="shared" si="6"/>
        <v>-502259</v>
      </c>
    </row>
    <row r="69" spans="2:18">
      <c r="B69" s="241" t="s">
        <v>1516</v>
      </c>
      <c r="C69" s="241" t="s">
        <v>53</v>
      </c>
      <c r="D69" s="278">
        <v>0</v>
      </c>
      <c r="E69" s="278">
        <v>-407680</v>
      </c>
      <c r="F69" s="526">
        <v>0</v>
      </c>
      <c r="G69" s="278">
        <v>-407680</v>
      </c>
      <c r="H69" s="278">
        <v>-407680</v>
      </c>
      <c r="I69" s="526">
        <v>0</v>
      </c>
      <c r="J69" s="278">
        <v>-407679</v>
      </c>
      <c r="K69" s="278">
        <v>-407679</v>
      </c>
      <c r="L69" s="526">
        <v>0</v>
      </c>
      <c r="M69" s="278">
        <v>0</v>
      </c>
      <c r="N69" s="278">
        <v>-407679</v>
      </c>
      <c r="O69" s="278">
        <v>-407679</v>
      </c>
      <c r="P69" s="278">
        <v>0</v>
      </c>
      <c r="Q69" s="278">
        <v>0</v>
      </c>
      <c r="R69" s="278">
        <f t="shared" si="6"/>
        <v>-2853756</v>
      </c>
    </row>
    <row r="70" spans="2:18">
      <c r="B70" s="241" t="s">
        <v>2813</v>
      </c>
      <c r="C70" s="241" t="s">
        <v>2814</v>
      </c>
      <c r="D70" s="278">
        <v>0</v>
      </c>
      <c r="E70" s="278">
        <v>0</v>
      </c>
      <c r="F70" s="526">
        <v>0</v>
      </c>
      <c r="G70" s="278">
        <v>0</v>
      </c>
      <c r="H70" s="278">
        <v>0</v>
      </c>
      <c r="I70" s="526">
        <v>0</v>
      </c>
      <c r="J70" s="278">
        <v>0</v>
      </c>
      <c r="K70" s="278">
        <v>0</v>
      </c>
      <c r="L70" s="526">
        <v>0</v>
      </c>
      <c r="M70" s="278">
        <v>0</v>
      </c>
      <c r="N70" s="278">
        <v>0</v>
      </c>
      <c r="O70" s="278">
        <v>0</v>
      </c>
      <c r="P70" s="278">
        <v>-235050</v>
      </c>
      <c r="Q70" s="278">
        <v>-362408</v>
      </c>
      <c r="R70" s="278">
        <f t="shared" si="6"/>
        <v>-597458</v>
      </c>
    </row>
    <row r="71" spans="2:18">
      <c r="B71" s="241" t="s">
        <v>1518</v>
      </c>
      <c r="C71" s="241" t="s">
        <v>434</v>
      </c>
      <c r="D71" s="278">
        <v>0</v>
      </c>
      <c r="E71" s="278">
        <v>0</v>
      </c>
      <c r="F71" s="526">
        <v>0</v>
      </c>
      <c r="G71" s="278">
        <v>0</v>
      </c>
      <c r="H71" s="278">
        <v>0</v>
      </c>
      <c r="I71" s="526">
        <v>-868786</v>
      </c>
      <c r="J71" s="278">
        <v>0</v>
      </c>
      <c r="K71" s="278">
        <v>0</v>
      </c>
      <c r="L71" s="526">
        <v>0</v>
      </c>
      <c r="M71" s="278">
        <v>0</v>
      </c>
      <c r="N71" s="278">
        <v>0</v>
      </c>
      <c r="O71" s="278">
        <v>0</v>
      </c>
      <c r="P71" s="278">
        <v>0</v>
      </c>
      <c r="Q71" s="278">
        <v>0</v>
      </c>
      <c r="R71" s="278">
        <f t="shared" si="6"/>
        <v>-868786</v>
      </c>
    </row>
    <row r="72" spans="2:18">
      <c r="B72" s="241" t="s">
        <v>1928</v>
      </c>
      <c r="C72" s="241" t="s">
        <v>1305</v>
      </c>
      <c r="D72" s="278">
        <v>-127008</v>
      </c>
      <c r="E72" s="278">
        <v>-127008</v>
      </c>
      <c r="F72" s="526">
        <v>0</v>
      </c>
      <c r="G72" s="278">
        <v>-127008</v>
      </c>
      <c r="H72" s="278">
        <v>-1193343</v>
      </c>
      <c r="I72" s="526">
        <v>-455898</v>
      </c>
      <c r="J72" s="278">
        <v>-127008</v>
      </c>
      <c r="K72" s="278">
        <v>-127008</v>
      </c>
      <c r="L72" s="526">
        <v>0</v>
      </c>
      <c r="M72" s="278">
        <v>-127008</v>
      </c>
      <c r="N72" s="278">
        <v>-127008</v>
      </c>
      <c r="O72" s="278">
        <v>-127008</v>
      </c>
      <c r="P72" s="278">
        <v>-127008</v>
      </c>
      <c r="Q72" s="278">
        <v>-127008</v>
      </c>
      <c r="R72" s="278">
        <f t="shared" si="6"/>
        <v>-2919321</v>
      </c>
    </row>
    <row r="73" spans="2:18">
      <c r="B73" s="241" t="s">
        <v>1520</v>
      </c>
      <c r="C73" s="241" t="s">
        <v>329</v>
      </c>
      <c r="D73" s="278">
        <v>0</v>
      </c>
      <c r="E73" s="278">
        <v>0</v>
      </c>
      <c r="F73" s="526">
        <v>0</v>
      </c>
      <c r="G73" s="278">
        <v>0</v>
      </c>
      <c r="H73" s="278">
        <v>0</v>
      </c>
      <c r="I73" s="526">
        <v>-268190</v>
      </c>
      <c r="J73" s="278">
        <v>0</v>
      </c>
      <c r="K73" s="278">
        <v>0</v>
      </c>
      <c r="L73" s="526">
        <v>0</v>
      </c>
      <c r="M73" s="278">
        <v>0</v>
      </c>
      <c r="N73" s="278">
        <v>0</v>
      </c>
      <c r="O73" s="278">
        <v>0</v>
      </c>
      <c r="P73" s="278">
        <v>0</v>
      </c>
      <c r="Q73" s="278">
        <v>0</v>
      </c>
      <c r="R73" s="278">
        <f t="shared" si="6"/>
        <v>-268190</v>
      </c>
    </row>
    <row r="74" spans="2:18">
      <c r="B74" s="241" t="s">
        <v>1929</v>
      </c>
      <c r="C74" s="241" t="s">
        <v>1930</v>
      </c>
      <c r="D74" s="278">
        <v>0</v>
      </c>
      <c r="E74" s="278">
        <v>-73533</v>
      </c>
      <c r="F74" s="526">
        <v>0</v>
      </c>
      <c r="G74" s="278">
        <v>-73533</v>
      </c>
      <c r="H74" s="278">
        <v>0</v>
      </c>
      <c r="I74" s="526">
        <v>0</v>
      </c>
      <c r="J74" s="278">
        <v>-73532</v>
      </c>
      <c r="K74" s="278">
        <v>-73532</v>
      </c>
      <c r="L74" s="526">
        <v>0</v>
      </c>
      <c r="M74" s="278">
        <v>0</v>
      </c>
      <c r="N74" s="278">
        <v>-73532</v>
      </c>
      <c r="O74" s="278">
        <v>-73532</v>
      </c>
      <c r="P74" s="278">
        <v>-73532</v>
      </c>
      <c r="Q74" s="278">
        <v>-73532</v>
      </c>
      <c r="R74" s="278">
        <f t="shared" si="6"/>
        <v>-588258</v>
      </c>
    </row>
    <row r="75" spans="2:18">
      <c r="B75" s="241" t="s">
        <v>1521</v>
      </c>
      <c r="C75" s="241" t="s">
        <v>54</v>
      </c>
      <c r="D75" s="278">
        <v>0</v>
      </c>
      <c r="E75" s="278">
        <v>0</v>
      </c>
      <c r="F75" s="526">
        <v>0</v>
      </c>
      <c r="G75" s="278">
        <v>0</v>
      </c>
      <c r="H75" s="278">
        <v>-2086868</v>
      </c>
      <c r="I75" s="526">
        <v>0</v>
      </c>
      <c r="J75" s="278">
        <v>0</v>
      </c>
      <c r="K75" s="278">
        <v>0</v>
      </c>
      <c r="L75" s="526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v>0</v>
      </c>
      <c r="R75" s="278">
        <f t="shared" si="6"/>
        <v>-2086868</v>
      </c>
    </row>
    <row r="76" spans="2:18">
      <c r="B76" s="241" t="s">
        <v>1522</v>
      </c>
      <c r="C76" s="241" t="s">
        <v>1523</v>
      </c>
      <c r="D76" s="278">
        <v>0</v>
      </c>
      <c r="E76" s="278">
        <v>-198798</v>
      </c>
      <c r="F76" s="526">
        <v>0</v>
      </c>
      <c r="G76" s="278">
        <v>-198798</v>
      </c>
      <c r="H76" s="278">
        <v>0</v>
      </c>
      <c r="I76" s="526">
        <v>-240703</v>
      </c>
      <c r="J76" s="278">
        <v>-198798</v>
      </c>
      <c r="K76" s="278">
        <v>-198798</v>
      </c>
      <c r="L76" s="526">
        <v>0</v>
      </c>
      <c r="M76" s="278">
        <v>0</v>
      </c>
      <c r="N76" s="278">
        <v>-198795</v>
      </c>
      <c r="O76" s="278">
        <v>-198794</v>
      </c>
      <c r="P76" s="278">
        <v>-198794</v>
      </c>
      <c r="Q76" s="278">
        <v>-198794</v>
      </c>
      <c r="R76" s="278">
        <f t="shared" si="6"/>
        <v>-1831072</v>
      </c>
    </row>
    <row r="77" spans="2:18">
      <c r="B77" s="241" t="s">
        <v>1524</v>
      </c>
      <c r="C77" s="241" t="s">
        <v>254</v>
      </c>
      <c r="D77" s="278">
        <v>-2536839</v>
      </c>
      <c r="E77" s="278">
        <v>-7755</v>
      </c>
      <c r="F77" s="526">
        <v>0</v>
      </c>
      <c r="G77" s="278">
        <v>-21504</v>
      </c>
      <c r="H77" s="278">
        <v>0</v>
      </c>
      <c r="I77" s="526">
        <v>-487541</v>
      </c>
      <c r="J77" s="278">
        <v>-1254276</v>
      </c>
      <c r="K77" s="278">
        <v>-360194</v>
      </c>
      <c r="L77" s="526">
        <v>0</v>
      </c>
      <c r="M77" s="278">
        <v>0</v>
      </c>
      <c r="N77" s="278">
        <v>-1240499</v>
      </c>
      <c r="O77" s="278">
        <v>-1149838</v>
      </c>
      <c r="P77" s="278">
        <v>-1025687</v>
      </c>
      <c r="Q77" s="278">
        <v>-762204</v>
      </c>
      <c r="R77" s="278">
        <f t="shared" si="6"/>
        <v>-8846337</v>
      </c>
    </row>
    <row r="78" spans="2:18">
      <c r="B78" s="241" t="s">
        <v>1525</v>
      </c>
      <c r="C78" s="241" t="s">
        <v>3002</v>
      </c>
      <c r="D78" s="278">
        <v>0</v>
      </c>
      <c r="E78" s="278">
        <v>0</v>
      </c>
      <c r="F78" s="526">
        <v>0</v>
      </c>
      <c r="G78" s="278">
        <v>0</v>
      </c>
      <c r="H78" s="278">
        <v>0</v>
      </c>
      <c r="I78" s="526">
        <v>0</v>
      </c>
      <c r="J78" s="278">
        <v>-8446</v>
      </c>
      <c r="K78" s="278">
        <v>0</v>
      </c>
      <c r="L78" s="526">
        <v>0</v>
      </c>
      <c r="M78" s="278">
        <v>0</v>
      </c>
      <c r="N78" s="278">
        <v>0</v>
      </c>
      <c r="O78" s="278">
        <v>0</v>
      </c>
      <c r="P78" s="278">
        <v>-4101</v>
      </c>
      <c r="Q78" s="278">
        <v>-6758</v>
      </c>
      <c r="R78" s="278">
        <f t="shared" si="6"/>
        <v>-19305</v>
      </c>
    </row>
    <row r="79" spans="2:18">
      <c r="B79" s="241" t="s">
        <v>1526</v>
      </c>
      <c r="C79" s="639" t="s">
        <v>1527</v>
      </c>
      <c r="D79" s="640">
        <v>0</v>
      </c>
      <c r="E79" s="278">
        <v>0</v>
      </c>
      <c r="F79" s="526">
        <v>0</v>
      </c>
      <c r="G79" s="278">
        <v>0</v>
      </c>
      <c r="H79" s="278">
        <v>0</v>
      </c>
      <c r="I79" s="526">
        <v>0</v>
      </c>
      <c r="J79" s="278">
        <v>0</v>
      </c>
      <c r="K79" s="278">
        <v>0</v>
      </c>
      <c r="L79" s="526">
        <v>0</v>
      </c>
      <c r="M79" s="278">
        <v>0</v>
      </c>
      <c r="N79" s="278">
        <v>0</v>
      </c>
      <c r="O79" s="278">
        <v>0</v>
      </c>
      <c r="P79" s="278"/>
      <c r="Q79" s="278"/>
      <c r="R79" s="278">
        <f t="shared" si="6"/>
        <v>0</v>
      </c>
    </row>
    <row r="80" spans="2:18">
      <c r="B80" s="241" t="s">
        <v>1528</v>
      </c>
      <c r="C80" s="241" t="s">
        <v>396</v>
      </c>
      <c r="D80" s="278">
        <v>0</v>
      </c>
      <c r="E80" s="278">
        <v>0</v>
      </c>
      <c r="F80" s="526">
        <v>0</v>
      </c>
      <c r="G80" s="278">
        <v>0</v>
      </c>
      <c r="H80" s="278">
        <v>0</v>
      </c>
      <c r="I80" s="526">
        <v>5791</v>
      </c>
      <c r="J80" s="278">
        <v>0</v>
      </c>
      <c r="K80" s="278">
        <v>0</v>
      </c>
      <c r="L80" s="526">
        <v>0</v>
      </c>
      <c r="M80" s="278">
        <v>0</v>
      </c>
      <c r="N80" s="278">
        <v>0</v>
      </c>
      <c r="O80" s="278">
        <v>0</v>
      </c>
      <c r="P80" s="278">
        <v>0</v>
      </c>
      <c r="Q80" s="278">
        <v>0</v>
      </c>
      <c r="R80" s="278">
        <f t="shared" si="6"/>
        <v>5791</v>
      </c>
    </row>
    <row r="81" spans="1:19">
      <c r="B81" s="241" t="s">
        <v>2563</v>
      </c>
      <c r="C81" s="639" t="s">
        <v>2566</v>
      </c>
      <c r="D81" s="640">
        <v>0</v>
      </c>
      <c r="E81" s="278">
        <v>0</v>
      </c>
      <c r="F81" s="526">
        <v>0</v>
      </c>
      <c r="G81" s="278">
        <v>0</v>
      </c>
      <c r="H81" s="278">
        <v>0</v>
      </c>
      <c r="I81" s="526">
        <v>0</v>
      </c>
      <c r="J81" s="278">
        <v>0</v>
      </c>
      <c r="K81" s="278">
        <v>0</v>
      </c>
      <c r="L81" s="526">
        <v>0</v>
      </c>
      <c r="M81" s="278">
        <v>0</v>
      </c>
      <c r="N81" s="278">
        <v>0</v>
      </c>
      <c r="O81" s="278">
        <v>0</v>
      </c>
      <c r="P81" s="278"/>
      <c r="Q81" s="278"/>
      <c r="R81" s="278">
        <f t="shared" si="6"/>
        <v>0</v>
      </c>
    </row>
    <row r="82" spans="1:19">
      <c r="B82" s="241" t="s">
        <v>1537</v>
      </c>
      <c r="C82" s="639" t="s">
        <v>592</v>
      </c>
      <c r="D82" s="641"/>
      <c r="E82" s="278"/>
      <c r="F82" s="526"/>
      <c r="G82" s="278"/>
      <c r="H82" s="278">
        <v>0</v>
      </c>
      <c r="I82" s="526">
        <v>24026172</v>
      </c>
      <c r="J82" s="278"/>
      <c r="K82" s="278"/>
      <c r="L82" s="526"/>
      <c r="M82" s="278">
        <v>0</v>
      </c>
      <c r="N82" s="278"/>
      <c r="O82" s="278"/>
      <c r="P82" s="278"/>
      <c r="Q82" s="278"/>
      <c r="R82" s="278">
        <f t="shared" si="6"/>
        <v>24026172</v>
      </c>
    </row>
    <row r="83" spans="1:19">
      <c r="B83" s="241" t="s">
        <v>1538</v>
      </c>
      <c r="C83" s="241" t="s">
        <v>56</v>
      </c>
      <c r="D83" s="278">
        <v>0</v>
      </c>
      <c r="E83" s="278">
        <v>0</v>
      </c>
      <c r="F83" s="526">
        <v>0</v>
      </c>
      <c r="G83" s="278">
        <v>0</v>
      </c>
      <c r="H83" s="278">
        <v>0</v>
      </c>
      <c r="I83" s="526">
        <v>-623797</v>
      </c>
      <c r="J83" s="278">
        <v>0</v>
      </c>
      <c r="K83" s="278">
        <v>0</v>
      </c>
      <c r="L83" s="526">
        <v>0</v>
      </c>
      <c r="M83" s="278">
        <v>0</v>
      </c>
      <c r="N83" s="278">
        <v>0</v>
      </c>
      <c r="O83" s="278">
        <v>0</v>
      </c>
      <c r="P83" s="278">
        <v>0</v>
      </c>
      <c r="Q83" s="278">
        <v>0</v>
      </c>
      <c r="R83" s="278">
        <f t="shared" si="6"/>
        <v>-623797</v>
      </c>
    </row>
    <row r="84" spans="1:19">
      <c r="B84" s="241" t="s">
        <v>1539</v>
      </c>
      <c r="C84" s="241" t="s">
        <v>57</v>
      </c>
      <c r="D84" s="278">
        <v>0</v>
      </c>
      <c r="E84" s="278">
        <v>0</v>
      </c>
      <c r="F84" s="526">
        <v>0</v>
      </c>
      <c r="G84" s="278">
        <v>0</v>
      </c>
      <c r="H84" s="278">
        <v>0</v>
      </c>
      <c r="I84" s="526">
        <v>-34</v>
      </c>
      <c r="J84" s="278">
        <v>0</v>
      </c>
      <c r="K84" s="278">
        <v>0</v>
      </c>
      <c r="L84" s="526">
        <v>0</v>
      </c>
      <c r="M84" s="278">
        <v>0</v>
      </c>
      <c r="N84" s="278">
        <v>0</v>
      </c>
      <c r="O84" s="278">
        <v>0</v>
      </c>
      <c r="P84" s="278">
        <v>0</v>
      </c>
      <c r="Q84" s="278">
        <v>0</v>
      </c>
      <c r="R84" s="278">
        <f t="shared" si="6"/>
        <v>-34</v>
      </c>
    </row>
    <row r="85" spans="1:19" ht="14" thickBot="1">
      <c r="B85" s="797" t="s">
        <v>269</v>
      </c>
      <c r="C85" s="798"/>
      <c r="D85" s="528">
        <f t="shared" ref="D85:Q85" si="7">SUM(D25:D84)</f>
        <v>-8834134</v>
      </c>
      <c r="E85" s="528">
        <f t="shared" si="7"/>
        <v>-18557806</v>
      </c>
      <c r="F85" s="764">
        <f t="shared" si="7"/>
        <v>-11619</v>
      </c>
      <c r="G85" s="528">
        <f t="shared" si="7"/>
        <v>-17972450</v>
      </c>
      <c r="H85" s="528">
        <f t="shared" si="7"/>
        <v>-5369377</v>
      </c>
      <c r="I85" s="528">
        <f t="shared" si="7"/>
        <v>11379261</v>
      </c>
      <c r="J85" s="528">
        <f t="shared" si="7"/>
        <v>-32106886</v>
      </c>
      <c r="K85" s="528">
        <f t="shared" si="7"/>
        <v>-19456181</v>
      </c>
      <c r="L85" s="764">
        <f t="shared" si="7"/>
        <v>0</v>
      </c>
      <c r="M85" s="528">
        <f t="shared" si="7"/>
        <v>-6392409</v>
      </c>
      <c r="N85" s="528">
        <f t="shared" si="7"/>
        <v>-21190819</v>
      </c>
      <c r="O85" s="528">
        <f t="shared" si="7"/>
        <v>-12482170</v>
      </c>
      <c r="P85" s="528">
        <f t="shared" si="7"/>
        <v>-14699640</v>
      </c>
      <c r="Q85" s="528">
        <f t="shared" si="7"/>
        <v>-18312604</v>
      </c>
      <c r="R85" s="232">
        <f>SUM(D85:Q85)</f>
        <v>-164006834</v>
      </c>
      <c r="S85" s="447"/>
    </row>
    <row r="86" spans="1:19" ht="14" thickTop="1"/>
    <row r="87" spans="1:19" ht="14.55" thickBot="1">
      <c r="B87" s="795" t="s">
        <v>269</v>
      </c>
      <c r="C87" s="796"/>
      <c r="D87" s="233">
        <f>D21+D85+D12</f>
        <v>-8834134</v>
      </c>
      <c r="E87" s="233">
        <f t="shared" ref="E87:R87" si="8">E21+E85+E12</f>
        <v>-3386248.7647059076</v>
      </c>
      <c r="F87" s="233">
        <f t="shared" si="8"/>
        <v>-11619</v>
      </c>
      <c r="G87" s="233">
        <f t="shared" si="8"/>
        <v>-6805262.4621849004</v>
      </c>
      <c r="H87" s="233">
        <f t="shared" si="8"/>
        <v>4674485.9663865548</v>
      </c>
      <c r="I87" s="233">
        <f t="shared" si="8"/>
        <v>11379261</v>
      </c>
      <c r="J87" s="233">
        <f t="shared" si="8"/>
        <v>-9860980.3529412821</v>
      </c>
      <c r="K87" s="233">
        <f>K21+K85+K12</f>
        <v>-9645038.9663865343</v>
      </c>
      <c r="L87" s="233">
        <f>L21+L85+L12</f>
        <v>0</v>
      </c>
      <c r="M87" s="233">
        <f t="shared" si="8"/>
        <v>-6392409</v>
      </c>
      <c r="N87" s="233">
        <f t="shared" si="8"/>
        <v>-4644062.9495798722</v>
      </c>
      <c r="O87" s="233">
        <f t="shared" si="8"/>
        <v>-4687296.7058823556</v>
      </c>
      <c r="P87" s="233">
        <f t="shared" si="8"/>
        <v>-7022649.0756302625</v>
      </c>
      <c r="Q87" s="233">
        <f t="shared" si="8"/>
        <v>-6995468.1764705628</v>
      </c>
      <c r="R87" s="233">
        <f t="shared" si="8"/>
        <v>-52231422.487395138</v>
      </c>
    </row>
    <row r="88" spans="1:19" ht="14" thickTop="1">
      <c r="R88" s="239"/>
    </row>
    <row r="89" spans="1:19">
      <c r="R89" s="569">
        <f>+R87-'Balance 8 Columnas'!J118</f>
        <v>191.51260486245155</v>
      </c>
    </row>
    <row r="90" spans="1:19">
      <c r="I90" s="351"/>
      <c r="R90" s="290"/>
    </row>
    <row r="91" spans="1:19" ht="13.6" hidden="1" customHeight="1"/>
    <row r="92" spans="1:19" ht="13.6" hidden="1" customHeight="1">
      <c r="B92" s="198" t="s">
        <v>397</v>
      </c>
      <c r="C92" s="290">
        <v>36260981</v>
      </c>
      <c r="D92" s="313">
        <v>0</v>
      </c>
      <c r="E92" s="313">
        <v>3466729.0338913398</v>
      </c>
      <c r="F92" s="352">
        <v>3249093.485195647</v>
      </c>
      <c r="G92" s="313">
        <v>3569959.2233207226</v>
      </c>
      <c r="H92" s="313">
        <v>6640432.4291613372</v>
      </c>
      <c r="I92" s="352">
        <v>0</v>
      </c>
      <c r="J92" s="313">
        <v>4695061.0349756423</v>
      </c>
      <c r="K92" s="313">
        <v>1699384.3394408294</v>
      </c>
      <c r="L92" s="352"/>
      <c r="M92" s="313">
        <v>9529728.3689550608</v>
      </c>
      <c r="N92" s="313"/>
      <c r="O92" s="313"/>
      <c r="P92" s="313"/>
      <c r="Q92" s="313"/>
      <c r="R92" s="313">
        <f>+$C$92*R14</f>
        <v>0</v>
      </c>
    </row>
    <row r="93" spans="1:19" ht="13.6" hidden="1" customHeight="1">
      <c r="A93" s="198" t="s">
        <v>245</v>
      </c>
      <c r="B93" s="198" t="s">
        <v>36</v>
      </c>
      <c r="C93" s="198">
        <v>33549150</v>
      </c>
      <c r="E93" s="313">
        <v>3207464.5847936557</v>
      </c>
      <c r="F93" s="352">
        <v>3006105.2319255108</v>
      </c>
      <c r="G93" s="313">
        <v>3302974.5520969336</v>
      </c>
      <c r="H93" s="313">
        <v>6143817.8859749567</v>
      </c>
      <c r="I93" s="352">
        <v>0</v>
      </c>
      <c r="J93" s="313">
        <v>4343933.9636606378</v>
      </c>
      <c r="K93" s="313">
        <v>1572293.3726352109</v>
      </c>
      <c r="L93" s="352"/>
      <c r="M93" s="313">
        <v>8817033.5631385334</v>
      </c>
      <c r="N93" s="313"/>
      <c r="O93" s="313"/>
      <c r="P93" s="313"/>
      <c r="Q93" s="313"/>
    </row>
    <row r="94" spans="1:19" ht="13.6" hidden="1" customHeight="1">
      <c r="A94" s="198" t="s">
        <v>246</v>
      </c>
      <c r="B94" s="198" t="s">
        <v>37</v>
      </c>
      <c r="C94" s="198">
        <v>-1359336</v>
      </c>
      <c r="E94" s="313">
        <v>-129959.24125753019</v>
      </c>
      <c r="F94" s="352">
        <v>-121800.61377247103</v>
      </c>
      <c r="G94" s="313">
        <v>-133829.09002908383</v>
      </c>
      <c r="H94" s="313">
        <v>-248933.66388864262</v>
      </c>
      <c r="I94" s="352">
        <v>0</v>
      </c>
      <c r="J94" s="313">
        <v>-176006.42098016184</v>
      </c>
      <c r="K94" s="313">
        <v>-63705.786405451618</v>
      </c>
      <c r="L94" s="352"/>
      <c r="M94" s="313">
        <v>-357246.34262216726</v>
      </c>
      <c r="N94" s="313"/>
      <c r="O94" s="313"/>
      <c r="P94" s="313"/>
      <c r="Q94" s="313"/>
    </row>
    <row r="95" spans="1:19" hidden="1">
      <c r="A95" s="198" t="s">
        <v>247</v>
      </c>
      <c r="B95" s="198" t="s">
        <v>38</v>
      </c>
      <c r="C95" s="198">
        <v>414120</v>
      </c>
      <c r="E95" s="313">
        <v>39591.919135201599</v>
      </c>
      <c r="F95" s="352">
        <v>37106.403549568102</v>
      </c>
      <c r="G95" s="313">
        <v>40770.8636884804</v>
      </c>
      <c r="H95" s="313">
        <v>75837.327113800173</v>
      </c>
      <c r="I95" s="352">
        <v>0</v>
      </c>
      <c r="J95" s="313">
        <v>53620.134430563616</v>
      </c>
      <c r="K95" s="313">
        <v>19407.887576158966</v>
      </c>
      <c r="L95" s="352"/>
      <c r="M95" s="313">
        <v>108834.64824494599</v>
      </c>
      <c r="N95" s="313"/>
      <c r="O95" s="313"/>
      <c r="P95" s="313"/>
      <c r="Q95" s="313"/>
    </row>
    <row r="96" spans="1:19" hidden="1">
      <c r="A96" s="198" t="s">
        <v>248</v>
      </c>
      <c r="B96" s="198" t="s">
        <v>39</v>
      </c>
      <c r="C96" s="198">
        <v>1436130</v>
      </c>
      <c r="E96" s="313">
        <v>137301.12727624137</v>
      </c>
      <c r="F96" s="352">
        <v>128681.58825857537</v>
      </c>
      <c r="G96" s="313">
        <v>141389.59835056833</v>
      </c>
      <c r="H96" s="313">
        <v>262996.86223302869</v>
      </c>
      <c r="I96" s="352">
        <v>0</v>
      </c>
      <c r="J96" s="313">
        <v>185949.68525974435</v>
      </c>
      <c r="K96" s="313">
        <v>67304.765731549254</v>
      </c>
      <c r="L96" s="352"/>
      <c r="M96" s="313">
        <v>377428.53130497027</v>
      </c>
      <c r="N96" s="313"/>
      <c r="O96" s="313"/>
      <c r="P96" s="313"/>
      <c r="Q96" s="313"/>
    </row>
    <row r="97" spans="1:17" hidden="1">
      <c r="A97" s="198" t="s">
        <v>392</v>
      </c>
      <c r="B97" s="198" t="s">
        <v>393</v>
      </c>
      <c r="C97" s="198">
        <v>634303</v>
      </c>
      <c r="E97" s="313">
        <v>60642.50237422916</v>
      </c>
      <c r="F97" s="352">
        <v>56835.465784559288</v>
      </c>
      <c r="G97" s="313">
        <v>62448.278639510732</v>
      </c>
      <c r="H97" s="313">
        <v>116159.19081489615</v>
      </c>
      <c r="I97" s="352">
        <v>0</v>
      </c>
      <c r="J97" s="313">
        <v>82129.363782743632</v>
      </c>
      <c r="K97" s="313">
        <v>29726.845632233071</v>
      </c>
      <c r="L97" s="352"/>
      <c r="M97" s="313">
        <v>166700.82074208918</v>
      </c>
      <c r="N97" s="313"/>
      <c r="O97" s="313"/>
      <c r="P97" s="313"/>
      <c r="Q97" s="313"/>
    </row>
    <row r="98" spans="1:17" hidden="1">
      <c r="A98" s="198" t="s">
        <v>249</v>
      </c>
      <c r="B98" s="198" t="s">
        <v>40</v>
      </c>
      <c r="C98" s="198">
        <v>608000</v>
      </c>
      <c r="E98" s="313">
        <v>58127.805549605364</v>
      </c>
      <c r="F98" s="352">
        <v>54478.637491880145</v>
      </c>
      <c r="G98" s="313">
        <v>59858.700672742401</v>
      </c>
      <c r="H98" s="313">
        <v>111342.35218098741</v>
      </c>
      <c r="I98" s="352">
        <v>0</v>
      </c>
      <c r="J98" s="313">
        <v>78723.659165900419</v>
      </c>
      <c r="K98" s="313">
        <v>28494.145770077877</v>
      </c>
      <c r="L98" s="352"/>
      <c r="M98" s="313">
        <v>159788.14385426245</v>
      </c>
      <c r="N98" s="313"/>
      <c r="O98" s="313"/>
      <c r="P98" s="313"/>
      <c r="Q98" s="313"/>
    </row>
    <row r="99" spans="1:17" hidden="1">
      <c r="A99" s="198" t="s">
        <v>250</v>
      </c>
      <c r="B99" s="198" t="s">
        <v>41</v>
      </c>
      <c r="C99" s="198">
        <v>608000</v>
      </c>
      <c r="E99" s="313">
        <v>58127.805549605364</v>
      </c>
      <c r="F99" s="352">
        <v>54478.637491880145</v>
      </c>
      <c r="G99" s="313">
        <v>59858.700672742401</v>
      </c>
      <c r="H99" s="313">
        <v>111342.35218098741</v>
      </c>
      <c r="I99" s="352">
        <v>0</v>
      </c>
      <c r="J99" s="313">
        <v>78723.659165900419</v>
      </c>
      <c r="K99" s="313">
        <v>28494.145770077877</v>
      </c>
      <c r="L99" s="352"/>
      <c r="M99" s="313">
        <v>159788.14385426245</v>
      </c>
      <c r="N99" s="313"/>
      <c r="O99" s="313"/>
      <c r="P99" s="313"/>
      <c r="Q99" s="313"/>
    </row>
    <row r="100" spans="1:17" hidden="1">
      <c r="A100" s="198" t="s">
        <v>251</v>
      </c>
      <c r="B100" s="198" t="s">
        <v>42</v>
      </c>
      <c r="C100" s="198">
        <v>122247</v>
      </c>
      <c r="E100" s="313">
        <v>11687.417508260867</v>
      </c>
      <c r="F100" s="352">
        <v>10953.700653733342</v>
      </c>
      <c r="G100" s="313">
        <v>12035.438455823587</v>
      </c>
      <c r="H100" s="313">
        <v>22386.954814258501</v>
      </c>
      <c r="I100" s="352">
        <v>0</v>
      </c>
      <c r="J100" s="313">
        <v>15828.505200746427</v>
      </c>
      <c r="K100" s="313">
        <v>5729.1510492676152</v>
      </c>
      <c r="L100" s="352"/>
      <c r="M100" s="313">
        <v>32127.666483144771</v>
      </c>
      <c r="N100" s="313"/>
      <c r="O100" s="313"/>
      <c r="P100" s="313"/>
      <c r="Q100" s="313"/>
    </row>
    <row r="101" spans="1:17" hidden="1">
      <c r="A101" s="198" t="s">
        <v>252</v>
      </c>
      <c r="B101" s="198" t="s">
        <v>43</v>
      </c>
      <c r="C101" s="198">
        <v>243178</v>
      </c>
      <c r="E101" s="313">
        <v>23249.018911088704</v>
      </c>
      <c r="F101" s="352">
        <v>21789.483730263863</v>
      </c>
      <c r="G101" s="313">
        <v>23941.314329269986</v>
      </c>
      <c r="H101" s="313">
        <v>44532.912037283153</v>
      </c>
      <c r="I101" s="352">
        <v>0</v>
      </c>
      <c r="J101" s="313">
        <v>31486.615112903502</v>
      </c>
      <c r="K101" s="313">
        <v>11396.62726986184</v>
      </c>
      <c r="L101" s="352"/>
      <c r="M101" s="313">
        <v>63909.475733868145</v>
      </c>
      <c r="N101" s="313"/>
      <c r="O101" s="313"/>
      <c r="P101" s="313"/>
      <c r="Q101" s="313"/>
    </row>
    <row r="102" spans="1:17" hidden="1">
      <c r="A102" s="198" t="s">
        <v>253</v>
      </c>
      <c r="B102" s="198" t="s">
        <v>44</v>
      </c>
      <c r="C102" s="198">
        <v>0</v>
      </c>
      <c r="E102" s="313">
        <v>0</v>
      </c>
      <c r="F102" s="352">
        <v>0</v>
      </c>
      <c r="G102" s="313">
        <v>0</v>
      </c>
      <c r="H102" s="313">
        <v>0</v>
      </c>
      <c r="I102" s="352">
        <v>0</v>
      </c>
      <c r="J102" s="313">
        <v>0</v>
      </c>
      <c r="K102" s="313">
        <v>0</v>
      </c>
      <c r="L102" s="352"/>
      <c r="M102" s="313">
        <v>0</v>
      </c>
      <c r="N102" s="313"/>
      <c r="O102" s="313"/>
      <c r="P102" s="313"/>
      <c r="Q102" s="313"/>
    </row>
    <row r="103" spans="1:17" hidden="1">
      <c r="A103" s="198" t="s">
        <v>343</v>
      </c>
      <c r="B103" s="198" t="s">
        <v>344</v>
      </c>
      <c r="C103" s="198">
        <v>0</v>
      </c>
      <c r="E103" s="313">
        <v>0</v>
      </c>
      <c r="F103" s="352">
        <v>0</v>
      </c>
      <c r="G103" s="313">
        <v>0</v>
      </c>
      <c r="H103" s="313">
        <v>0</v>
      </c>
      <c r="I103" s="352">
        <v>0</v>
      </c>
      <c r="J103" s="313">
        <v>0</v>
      </c>
      <c r="K103" s="313">
        <v>0</v>
      </c>
      <c r="L103" s="352"/>
      <c r="M103" s="313">
        <v>0</v>
      </c>
      <c r="N103" s="313"/>
      <c r="O103" s="313"/>
      <c r="P103" s="313"/>
      <c r="Q103" s="313"/>
    </row>
    <row r="104" spans="1:17" hidden="1">
      <c r="A104" s="198" t="s">
        <v>339</v>
      </c>
      <c r="B104" s="198" t="s">
        <v>340</v>
      </c>
      <c r="C104" s="198">
        <v>5189</v>
      </c>
      <c r="E104" s="313">
        <v>496.0940509817471</v>
      </c>
      <c r="F104" s="352">
        <v>464.95008214698362</v>
      </c>
      <c r="G104" s="313">
        <v>510.86644373496762</v>
      </c>
      <c r="H104" s="313">
        <v>950.25569978148633</v>
      </c>
      <c r="I104" s="352">
        <v>0</v>
      </c>
      <c r="J104" s="313">
        <v>671.8701766642389</v>
      </c>
      <c r="K104" s="313">
        <v>243.18441184364161</v>
      </c>
      <c r="L104" s="352"/>
      <c r="M104" s="313">
        <v>1363.7182211509339</v>
      </c>
      <c r="N104" s="313"/>
      <c r="O104" s="313"/>
      <c r="P104" s="313"/>
      <c r="Q104" s="313"/>
    </row>
    <row r="105" spans="1:17" hidden="1"/>
    <row r="106" spans="1:17" hidden="1"/>
    <row r="107" spans="1:17" hidden="1"/>
    <row r="108" spans="1:17" hidden="1"/>
  </sheetData>
  <mergeCells count="57">
    <mergeCell ref="B2:R2"/>
    <mergeCell ref="B3:R3"/>
    <mergeCell ref="B15:B16"/>
    <mergeCell ref="C15:C16"/>
    <mergeCell ref="D15:D16"/>
    <mergeCell ref="E15:E16"/>
    <mergeCell ref="F15:F16"/>
    <mergeCell ref="G15:G16"/>
    <mergeCell ref="O15:O16"/>
    <mergeCell ref="P15:P16"/>
    <mergeCell ref="Q15:Q16"/>
    <mergeCell ref="H15:H16"/>
    <mergeCell ref="I15:I16"/>
    <mergeCell ref="M15:M16"/>
    <mergeCell ref="M6:M7"/>
    <mergeCell ref="E6:E7"/>
    <mergeCell ref="E23:E24"/>
    <mergeCell ref="F23:F24"/>
    <mergeCell ref="G23:G24"/>
    <mergeCell ref="H23:H24"/>
    <mergeCell ref="I23:I24"/>
    <mergeCell ref="B85:C85"/>
    <mergeCell ref="B87:C87"/>
    <mergeCell ref="B6:B7"/>
    <mergeCell ref="C6:C7"/>
    <mergeCell ref="D6:D7"/>
    <mergeCell ref="B12:C12"/>
    <mergeCell ref="B23:B24"/>
    <mergeCell ref="C23:C24"/>
    <mergeCell ref="D23:D24"/>
    <mergeCell ref="B21:C21"/>
    <mergeCell ref="R15:R16"/>
    <mergeCell ref="K23:K24"/>
    <mergeCell ref="N6:N7"/>
    <mergeCell ref="O6:O7"/>
    <mergeCell ref="P6:P7"/>
    <mergeCell ref="O23:O24"/>
    <mergeCell ref="P23:P24"/>
    <mergeCell ref="N15:N16"/>
    <mergeCell ref="Q6:Q7"/>
    <mergeCell ref="R6:R7"/>
    <mergeCell ref="R23:R24"/>
    <mergeCell ref="N23:N24"/>
    <mergeCell ref="Q23:Q24"/>
    <mergeCell ref="K15:K16"/>
    <mergeCell ref="K6:K7"/>
    <mergeCell ref="M23:M24"/>
    <mergeCell ref="L6:L7"/>
    <mergeCell ref="L15:L16"/>
    <mergeCell ref="L23:L24"/>
    <mergeCell ref="F6:F7"/>
    <mergeCell ref="G6:G7"/>
    <mergeCell ref="J23:J24"/>
    <mergeCell ref="J15:J16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>
    <tabColor rgb="FF002060"/>
  </sheetPr>
  <dimension ref="A1:R32"/>
  <sheetViews>
    <sheetView showGridLines="0" zoomScale="90" zoomScaleNormal="90" zoomScaleSheetLayoutView="66" workbookViewId="0">
      <selection activeCell="J29" sqref="J29"/>
    </sheetView>
  </sheetViews>
  <sheetFormatPr baseColWidth="10" defaultColWidth="11.3984375" defaultRowHeight="13.45"/>
  <cols>
    <col min="1" max="1" width="4.8984375" style="49" customWidth="1"/>
    <col min="2" max="2" width="41.8984375" style="49" bestFit="1" customWidth="1"/>
    <col min="3" max="4" width="16" style="49" customWidth="1"/>
    <col min="5" max="5" width="16" style="49" hidden="1" customWidth="1"/>
    <col min="6" max="6" width="16" style="49" customWidth="1"/>
    <col min="7" max="7" width="16" style="49" hidden="1" customWidth="1"/>
    <col min="8" max="8" width="16" style="49" customWidth="1"/>
    <col min="9" max="9" width="15.296875" style="49" customWidth="1"/>
    <col min="10" max="10" width="13.09765625" style="49" customWidth="1"/>
    <col min="11" max="11" width="12.3984375" style="49" customWidth="1"/>
    <col min="12" max="14" width="11" style="49" customWidth="1"/>
    <col min="15" max="18" width="13.8984375" style="49" customWidth="1"/>
    <col min="19" max="16384" width="11.3984375" style="49"/>
  </cols>
  <sheetData>
    <row r="1" spans="1:18" ht="20.95">
      <c r="A1" s="431" t="s">
        <v>0</v>
      </c>
      <c r="B1" s="804" t="s">
        <v>195</v>
      </c>
      <c r="C1" s="804"/>
      <c r="D1" s="804"/>
      <c r="E1" s="804"/>
      <c r="F1" s="804"/>
      <c r="G1" s="804"/>
      <c r="H1" s="804"/>
      <c r="I1" s="804"/>
      <c r="J1" s="48"/>
      <c r="K1" s="48"/>
      <c r="L1" s="48"/>
      <c r="M1" s="48"/>
      <c r="N1" s="48"/>
      <c r="O1" s="48"/>
      <c r="P1" s="48"/>
      <c r="Q1" s="48"/>
      <c r="R1" s="48"/>
    </row>
    <row r="2" spans="1:18" s="51" customFormat="1">
      <c r="B2" s="805" t="s">
        <v>143</v>
      </c>
      <c r="C2" s="805"/>
      <c r="D2" s="805"/>
      <c r="E2" s="805"/>
      <c r="F2" s="805"/>
      <c r="G2" s="805"/>
      <c r="H2" s="805"/>
      <c r="I2" s="805"/>
      <c r="J2" s="50"/>
      <c r="K2" s="50"/>
      <c r="L2" s="50"/>
      <c r="M2" s="50"/>
      <c r="N2" s="50"/>
      <c r="O2" s="50"/>
      <c r="P2" s="50"/>
      <c r="Q2" s="50"/>
      <c r="R2" s="50"/>
    </row>
    <row r="3" spans="1:18" s="51" customFormat="1">
      <c r="B3" s="805" t="str">
        <f>+'Balance 8 Columnas'!B4:K4</f>
        <v>Al 31 de enero de 2026</v>
      </c>
      <c r="C3" s="805"/>
      <c r="D3" s="805"/>
      <c r="E3" s="805"/>
      <c r="F3" s="805"/>
      <c r="G3" s="805"/>
      <c r="H3" s="805"/>
      <c r="I3" s="805"/>
      <c r="J3" s="50"/>
      <c r="K3" s="50"/>
      <c r="L3" s="50"/>
      <c r="M3" s="50"/>
      <c r="N3" s="50"/>
      <c r="O3" s="50"/>
      <c r="P3" s="50"/>
      <c r="Q3" s="50"/>
      <c r="R3" s="50"/>
    </row>
    <row r="4" spans="1:18" s="51" customFormat="1">
      <c r="C4" s="52"/>
    </row>
    <row r="5" spans="1:18" s="51" customFormat="1">
      <c r="B5" s="806" t="s">
        <v>144</v>
      </c>
      <c r="C5" s="806"/>
      <c r="D5" s="806"/>
      <c r="E5" s="806"/>
      <c r="F5" s="806"/>
      <c r="G5" s="806"/>
      <c r="H5" s="806"/>
      <c r="I5" s="806"/>
      <c r="J5" s="53"/>
      <c r="K5" s="53"/>
      <c r="L5" s="53"/>
      <c r="M5" s="53"/>
      <c r="N5" s="53"/>
      <c r="O5" s="53"/>
      <c r="P5" s="53"/>
      <c r="Q5" s="53"/>
    </row>
    <row r="6" spans="1:18" s="50" customFormat="1">
      <c r="B6" s="807" t="s">
        <v>3147</v>
      </c>
      <c r="C6" s="807"/>
      <c r="D6" s="807"/>
      <c r="E6" s="807"/>
      <c r="F6" s="807"/>
      <c r="G6" s="807"/>
      <c r="H6" s="807"/>
      <c r="I6" s="807"/>
    </row>
    <row r="7" spans="1:18" s="50" customFormat="1" ht="21.1" customHeight="1">
      <c r="B7" s="802" t="s">
        <v>145</v>
      </c>
      <c r="C7" s="802" t="s">
        <v>146</v>
      </c>
      <c r="D7" s="802" t="s">
        <v>1721</v>
      </c>
      <c r="E7" s="802" t="s">
        <v>1903</v>
      </c>
      <c r="F7" s="802" t="s">
        <v>147</v>
      </c>
      <c r="G7" s="802" t="s">
        <v>148</v>
      </c>
      <c r="H7" s="802" t="s">
        <v>149</v>
      </c>
      <c r="I7" s="802" t="s">
        <v>150</v>
      </c>
    </row>
    <row r="8" spans="1:18" s="50" customFormat="1" ht="16.55" customHeight="1">
      <c r="B8" s="803"/>
      <c r="C8" s="803"/>
      <c r="D8" s="803"/>
      <c r="E8" s="803"/>
      <c r="F8" s="803"/>
      <c r="G8" s="803"/>
      <c r="H8" s="803"/>
      <c r="I8" s="803"/>
    </row>
    <row r="10" spans="1:18">
      <c r="B10" s="54" t="s">
        <v>3148</v>
      </c>
      <c r="C10" s="55">
        <v>4547054500</v>
      </c>
      <c r="D10" s="55">
        <v>0</v>
      </c>
      <c r="E10" s="55">
        <v>0</v>
      </c>
      <c r="F10" s="55">
        <v>-2294052799</v>
      </c>
      <c r="G10" s="55">
        <v>0</v>
      </c>
      <c r="H10" s="55">
        <v>-848054041</v>
      </c>
      <c r="I10" s="59">
        <f>SUM(C10:H10)</f>
        <v>1404947660</v>
      </c>
      <c r="P10" s="66"/>
    </row>
    <row r="11" spans="1:18">
      <c r="B11" s="56" t="s">
        <v>151</v>
      </c>
      <c r="C11" s="57"/>
      <c r="D11" s="57">
        <v>0</v>
      </c>
      <c r="E11" s="57"/>
      <c r="F11" s="57">
        <f>+H10</f>
        <v>-848054041</v>
      </c>
      <c r="G11" s="57">
        <v>0</v>
      </c>
      <c r="H11" s="58">
        <f>-H10</f>
        <v>848054041</v>
      </c>
      <c r="I11" s="59">
        <f>SUM(C11:H11)</f>
        <v>0</v>
      </c>
    </row>
    <row r="12" spans="1:18">
      <c r="B12" s="56" t="s">
        <v>3149</v>
      </c>
      <c r="C12" s="55">
        <v>1223614367</v>
      </c>
      <c r="D12" s="57"/>
      <c r="E12" s="57"/>
      <c r="F12" s="57"/>
      <c r="G12" s="57"/>
      <c r="H12" s="58"/>
      <c r="I12" s="59">
        <f>SUM(C12:H12)</f>
        <v>1223614367</v>
      </c>
    </row>
    <row r="13" spans="1:18">
      <c r="B13" s="61" t="s">
        <v>152</v>
      </c>
      <c r="C13" s="57"/>
      <c r="D13" s="57">
        <v>0</v>
      </c>
      <c r="E13" s="57"/>
      <c r="F13" s="57">
        <v>0</v>
      </c>
      <c r="G13" s="60"/>
      <c r="H13" s="58">
        <f>+-'Balance 8 Columnas'!N118</f>
        <v>-52231614</v>
      </c>
      <c r="I13" s="59">
        <f>SUM(C13:H13)</f>
        <v>-52231614</v>
      </c>
    </row>
    <row r="14" spans="1:18" ht="14" thickBot="1">
      <c r="B14" s="62" t="s">
        <v>140</v>
      </c>
      <c r="C14" s="63">
        <f t="shared" ref="C14:I14" si="0">ROUND(SUM(C10:C13),0)</f>
        <v>5770668867</v>
      </c>
      <c r="D14" s="64">
        <f t="shared" si="0"/>
        <v>0</v>
      </c>
      <c r="E14" s="64">
        <f t="shared" si="0"/>
        <v>0</v>
      </c>
      <c r="F14" s="64">
        <f t="shared" si="0"/>
        <v>-3142106840</v>
      </c>
      <c r="G14" s="65">
        <f t="shared" si="0"/>
        <v>0</v>
      </c>
      <c r="H14" s="65">
        <f t="shared" si="0"/>
        <v>-52231614</v>
      </c>
      <c r="I14" s="63">
        <f t="shared" si="0"/>
        <v>2576330413</v>
      </c>
    </row>
    <row r="15" spans="1:18" ht="14" thickTop="1"/>
    <row r="16" spans="1:18">
      <c r="C16" s="474">
        <f>C14+'Balance 8 Columnas'!N60</f>
        <v>0</v>
      </c>
      <c r="F16" s="66">
        <f>+F14+'Balance 8 Columnas'!N61</f>
        <v>-1</v>
      </c>
      <c r="H16" s="66"/>
    </row>
    <row r="17" spans="2:9">
      <c r="B17" s="807" t="s">
        <v>2366</v>
      </c>
      <c r="C17" s="807"/>
      <c r="D17" s="807"/>
      <c r="E17" s="807"/>
      <c r="F17" s="807"/>
      <c r="G17" s="807"/>
      <c r="H17" s="807"/>
      <c r="I17" s="807"/>
    </row>
    <row r="18" spans="2:9">
      <c r="B18" s="802" t="s">
        <v>145</v>
      </c>
      <c r="C18" s="802" t="s">
        <v>146</v>
      </c>
      <c r="D18" s="802" t="s">
        <v>1721</v>
      </c>
      <c r="E18" s="802" t="s">
        <v>1903</v>
      </c>
      <c r="F18" s="802" t="s">
        <v>147</v>
      </c>
      <c r="G18" s="802" t="s">
        <v>148</v>
      </c>
      <c r="H18" s="802" t="s">
        <v>149</v>
      </c>
      <c r="I18" s="802" t="s">
        <v>150</v>
      </c>
    </row>
    <row r="19" spans="2:9">
      <c r="B19" s="803"/>
      <c r="C19" s="803"/>
      <c r="D19" s="803"/>
      <c r="E19" s="803"/>
      <c r="F19" s="803"/>
      <c r="G19" s="803"/>
      <c r="H19" s="803"/>
      <c r="I19" s="803"/>
    </row>
    <row r="21" spans="2:9">
      <c r="B21" s="54" t="s">
        <v>3150</v>
      </c>
      <c r="C21" s="580">
        <v>5075000</v>
      </c>
      <c r="D21" s="55">
        <v>0</v>
      </c>
      <c r="E21" s="55">
        <v>0</v>
      </c>
      <c r="F21" s="55">
        <v>-2544044</v>
      </c>
      <c r="G21" s="55">
        <v>0</v>
      </c>
      <c r="H21" s="55">
        <v>-907553</v>
      </c>
      <c r="I21" s="59">
        <f>SUM(C21:H21)</f>
        <v>1623403</v>
      </c>
    </row>
    <row r="22" spans="2:9">
      <c r="B22" s="56" t="s">
        <v>151</v>
      </c>
      <c r="C22" s="57"/>
      <c r="D22" s="57">
        <v>0</v>
      </c>
      <c r="E22" s="57"/>
      <c r="F22" s="57">
        <f>+H21</f>
        <v>-907553</v>
      </c>
      <c r="G22" s="57">
        <v>0</v>
      </c>
      <c r="H22" s="58">
        <f>-H21</f>
        <v>907553</v>
      </c>
      <c r="I22" s="59">
        <f>SUM(C22:H22)</f>
        <v>0</v>
      </c>
    </row>
    <row r="23" spans="2:9">
      <c r="B23" s="56" t="s">
        <v>3149</v>
      </c>
      <c r="C23" s="580">
        <v>1348885.35</v>
      </c>
      <c r="D23" s="57"/>
      <c r="E23" s="57"/>
      <c r="F23" s="57"/>
      <c r="G23" s="57"/>
      <c r="H23" s="58"/>
      <c r="I23" s="59">
        <f>SUM(C23:H23)</f>
        <v>1348885.35</v>
      </c>
    </row>
    <row r="24" spans="2:9">
      <c r="B24" s="61" t="s">
        <v>152</v>
      </c>
      <c r="C24" s="57"/>
      <c r="D24" s="57">
        <v>0</v>
      </c>
      <c r="E24" s="57"/>
      <c r="F24" s="57">
        <v>0</v>
      </c>
      <c r="G24" s="60"/>
      <c r="H24" s="58">
        <f>H13/865.1</f>
        <v>-60376.388856779558</v>
      </c>
      <c r="I24" s="59">
        <f>SUM(C24:H24)</f>
        <v>-60376.388856779558</v>
      </c>
    </row>
    <row r="25" spans="2:9" ht="14" thickBot="1">
      <c r="B25" s="62" t="s">
        <v>140</v>
      </c>
      <c r="C25" s="63">
        <f t="shared" ref="C25:I25" si="1">ROUND(SUM(C21:C24),0)</f>
        <v>6423885</v>
      </c>
      <c r="D25" s="64">
        <f t="shared" si="1"/>
        <v>0</v>
      </c>
      <c r="E25" s="64">
        <f t="shared" si="1"/>
        <v>0</v>
      </c>
      <c r="F25" s="64">
        <f t="shared" si="1"/>
        <v>-3451597</v>
      </c>
      <c r="G25" s="65">
        <f t="shared" si="1"/>
        <v>0</v>
      </c>
      <c r="H25" s="65">
        <f t="shared" si="1"/>
        <v>-60376</v>
      </c>
      <c r="I25" s="63">
        <f t="shared" si="1"/>
        <v>2911912</v>
      </c>
    </row>
    <row r="26" spans="2:9" ht="14" thickTop="1"/>
    <row r="29" spans="2:9">
      <c r="B29" s="54" t="s">
        <v>2327</v>
      </c>
      <c r="C29" s="55" t="s">
        <v>2329</v>
      </c>
      <c r="D29" s="55" t="s">
        <v>2330</v>
      </c>
      <c r="F29" s="55" t="s">
        <v>2331</v>
      </c>
      <c r="G29" s="55"/>
      <c r="H29" s="55" t="s">
        <v>2332</v>
      </c>
    </row>
    <row r="30" spans="2:9">
      <c r="B30" s="56" t="s">
        <v>2328</v>
      </c>
      <c r="C30" s="759">
        <v>100</v>
      </c>
      <c r="D30" s="578">
        <v>2.08</v>
      </c>
      <c r="F30" s="57">
        <v>100000</v>
      </c>
      <c r="G30" s="57"/>
      <c r="H30" s="57">
        <v>75000000</v>
      </c>
    </row>
    <row r="31" spans="2:9">
      <c r="B31" s="56" t="s">
        <v>2333</v>
      </c>
      <c r="C31" s="759">
        <v>4697</v>
      </c>
      <c r="D31" s="578">
        <v>97.92</v>
      </c>
      <c r="F31" s="57">
        <v>6323885</v>
      </c>
      <c r="G31" s="57"/>
      <c r="H31" s="57">
        <f>5770668867-75000000</f>
        <v>5695668867</v>
      </c>
    </row>
    <row r="32" spans="2:9">
      <c r="B32" s="579" t="s">
        <v>150</v>
      </c>
      <c r="C32" s="55">
        <f t="shared" ref="C32:H32" si="2">SUM(C30:C31)</f>
        <v>4797</v>
      </c>
      <c r="D32" s="580">
        <f t="shared" si="2"/>
        <v>100</v>
      </c>
      <c r="E32" s="50">
        <f t="shared" si="2"/>
        <v>0</v>
      </c>
      <c r="F32" s="55">
        <f t="shared" si="2"/>
        <v>6423885</v>
      </c>
      <c r="G32" s="55">
        <f t="shared" si="2"/>
        <v>0</v>
      </c>
      <c r="H32" s="55">
        <f t="shared" si="2"/>
        <v>5770668867</v>
      </c>
    </row>
  </sheetData>
  <mergeCells count="22">
    <mergeCell ref="G18:G19"/>
    <mergeCell ref="H18:H19"/>
    <mergeCell ref="I18:I19"/>
    <mergeCell ref="B17:I17"/>
    <mergeCell ref="B18:B19"/>
    <mergeCell ref="C18:C19"/>
    <mergeCell ref="D18:D19"/>
    <mergeCell ref="E18:E19"/>
    <mergeCell ref="F18:F19"/>
    <mergeCell ref="I7:I8"/>
    <mergeCell ref="B1:I1"/>
    <mergeCell ref="B2:I2"/>
    <mergeCell ref="B3:I3"/>
    <mergeCell ref="B5:I5"/>
    <mergeCell ref="B6:I6"/>
    <mergeCell ref="B7:B8"/>
    <mergeCell ref="C7:C8"/>
    <mergeCell ref="D7:D8"/>
    <mergeCell ref="F7:F8"/>
    <mergeCell ref="G7:G8"/>
    <mergeCell ref="H7:H8"/>
    <mergeCell ref="E7:E8"/>
  </mergeCells>
  <hyperlinks>
    <hyperlink ref="A1" location="'Balance 8 Columnas'!A1" display="'Balance 8 Columnas'!A1" xr:uid="{A00F9500-D5F7-48AA-967F-94812822726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>
    <tabColor rgb="FF002060"/>
  </sheetPr>
  <dimension ref="A1:J155"/>
  <sheetViews>
    <sheetView zoomScale="90" zoomScaleNormal="90" zoomScaleSheetLayoutView="80" workbookViewId="0">
      <selection activeCell="J61" sqref="J61"/>
    </sheetView>
  </sheetViews>
  <sheetFormatPr baseColWidth="10" defaultColWidth="11.3984375" defaultRowHeight="13.45"/>
  <cols>
    <col min="1" max="1" width="6.8984375" style="67" customWidth="1"/>
    <col min="2" max="2" width="29.3984375" style="67" customWidth="1"/>
    <col min="3" max="3" width="16.296875" style="67" customWidth="1"/>
    <col min="4" max="4" width="17" style="67" customWidth="1"/>
    <col min="5" max="5" width="11.69921875" style="67" customWidth="1"/>
    <col min="6" max="6" width="16.59765625" style="101" customWidth="1"/>
    <col min="7" max="7" width="16" style="603" bestFit="1" customWidth="1"/>
    <col min="8" max="8" width="16" style="67" customWidth="1"/>
    <col min="9" max="9" width="12.69921875" style="67" customWidth="1"/>
    <col min="10" max="16384" width="11.3984375" style="67"/>
  </cols>
  <sheetData>
    <row r="1" spans="1:9" ht="20.95">
      <c r="A1" s="431" t="s">
        <v>590</v>
      </c>
      <c r="B1" s="810" t="s">
        <v>195</v>
      </c>
      <c r="C1" s="810"/>
      <c r="D1" s="810"/>
      <c r="E1" s="810"/>
      <c r="F1" s="810"/>
      <c r="I1" s="226">
        <f ca="1">+C12-'Balance Clasificado'!D10</f>
        <v>0.40250706672668457</v>
      </c>
    </row>
    <row r="2" spans="1:9">
      <c r="B2" s="811" t="s">
        <v>487</v>
      </c>
      <c r="C2" s="811"/>
      <c r="D2" s="811"/>
      <c r="E2" s="811"/>
      <c r="F2" s="811"/>
    </row>
    <row r="3" spans="1:9">
      <c r="B3" s="812" t="str">
        <f>+Patrimonio!B3</f>
        <v>Al 31 de enero de 2026</v>
      </c>
      <c r="C3" s="811"/>
      <c r="D3" s="811"/>
      <c r="E3" s="811"/>
      <c r="F3" s="811"/>
    </row>
    <row r="4" spans="1:9" ht="14">
      <c r="B4" s="68"/>
      <c r="C4" s="69"/>
      <c r="D4" s="69"/>
      <c r="E4" s="69"/>
      <c r="F4" s="123" t="s">
        <v>174</v>
      </c>
    </row>
    <row r="5" spans="1:9">
      <c r="B5" s="70" t="s">
        <v>488</v>
      </c>
      <c r="C5" s="69"/>
      <c r="D5" s="69"/>
      <c r="E5" s="69"/>
      <c r="F5" s="69"/>
    </row>
    <row r="6" spans="1:9">
      <c r="B6" s="71" t="s">
        <v>62</v>
      </c>
      <c r="C6" s="72" t="s">
        <v>153</v>
      </c>
      <c r="D6" s="69"/>
      <c r="E6" s="69"/>
      <c r="F6" s="69"/>
    </row>
    <row r="7" spans="1:9">
      <c r="B7" s="73" t="s">
        <v>2231</v>
      </c>
      <c r="C7" s="74">
        <f>+E19</f>
        <v>74105055</v>
      </c>
      <c r="D7" s="69"/>
      <c r="E7" s="69"/>
      <c r="F7" s="69"/>
    </row>
    <row r="8" spans="1:9">
      <c r="B8" s="73" t="s">
        <v>672</v>
      </c>
      <c r="C8" s="74">
        <f>+F33</f>
        <v>422630</v>
      </c>
      <c r="D8" s="69"/>
      <c r="E8" s="69"/>
      <c r="F8" s="69"/>
    </row>
    <row r="9" spans="1:9">
      <c r="B9" s="73" t="s">
        <v>154</v>
      </c>
      <c r="C9" s="74">
        <f>F52</f>
        <v>440582927</v>
      </c>
      <c r="D9" s="69"/>
      <c r="E9" s="226"/>
      <c r="F9" s="69"/>
    </row>
    <row r="10" spans="1:9">
      <c r="B10" s="73" t="s">
        <v>338</v>
      </c>
      <c r="C10" s="74">
        <f>+'Balance 8 Columnas'!H21</f>
        <v>371961813</v>
      </c>
      <c r="D10" s="69"/>
      <c r="E10" s="69"/>
      <c r="F10" s="69"/>
    </row>
    <row r="11" spans="1:9">
      <c r="B11" s="73" t="s">
        <v>1544</v>
      </c>
      <c r="C11" s="74">
        <f>+H77</f>
        <v>4941276.4025070369</v>
      </c>
      <c r="D11" s="69"/>
      <c r="E11" s="69"/>
      <c r="F11" s="69"/>
    </row>
    <row r="12" spans="1:9">
      <c r="B12" s="75" t="s">
        <v>490</v>
      </c>
      <c r="C12" s="76">
        <f>SUM(C7:C11)</f>
        <v>892013701.40250707</v>
      </c>
      <c r="D12" s="69"/>
      <c r="E12" s="69"/>
      <c r="F12" s="69"/>
    </row>
    <row r="13" spans="1:9">
      <c r="B13" s="68"/>
      <c r="D13" s="69"/>
      <c r="E13" s="69"/>
      <c r="F13" s="69"/>
    </row>
    <row r="14" spans="1:9">
      <c r="B14" s="70" t="s">
        <v>489</v>
      </c>
      <c r="C14" s="69"/>
      <c r="D14" s="69"/>
      <c r="E14" s="69"/>
      <c r="F14" s="69"/>
    </row>
    <row r="15" spans="1:9">
      <c r="B15" s="77"/>
      <c r="C15" s="78"/>
      <c r="D15" s="78"/>
      <c r="E15" s="78"/>
      <c r="F15" s="78"/>
    </row>
    <row r="16" spans="1:9" s="141" customFormat="1" ht="14">
      <c r="B16" s="507" t="s">
        <v>1410</v>
      </c>
      <c r="C16" s="508"/>
      <c r="D16" s="508"/>
      <c r="E16" s="509"/>
      <c r="F16" s="230"/>
      <c r="G16" s="463"/>
      <c r="H16" s="326"/>
      <c r="I16" s="230"/>
    </row>
    <row r="17" spans="2:9" s="141" customFormat="1" ht="14">
      <c r="B17" s="503" t="s">
        <v>181</v>
      </c>
      <c r="C17" s="813" t="s">
        <v>182</v>
      </c>
      <c r="D17" s="814"/>
      <c r="E17" s="504" t="s">
        <v>185</v>
      </c>
      <c r="F17" s="230"/>
      <c r="G17" s="463"/>
      <c r="H17" s="326"/>
      <c r="I17" s="230"/>
    </row>
    <row r="18" spans="2:9" s="141" customFormat="1" ht="14">
      <c r="B18" s="505" t="s">
        <v>2231</v>
      </c>
      <c r="C18" s="816" t="s">
        <v>2335</v>
      </c>
      <c r="D18" s="817"/>
      <c r="E18" s="506">
        <v>74105055</v>
      </c>
      <c r="F18" s="230"/>
      <c r="G18" s="463"/>
      <c r="H18" s="543"/>
      <c r="I18" s="230"/>
    </row>
    <row r="19" spans="2:9" s="141" customFormat="1" ht="14">
      <c r="B19" s="510"/>
      <c r="C19" s="818" t="s">
        <v>212</v>
      </c>
      <c r="D19" s="819"/>
      <c r="E19" s="511">
        <f>+E18</f>
        <v>74105055</v>
      </c>
      <c r="F19" s="716" t="s">
        <v>2430</v>
      </c>
      <c r="G19" s="463"/>
      <c r="H19" s="543"/>
      <c r="I19" s="230"/>
    </row>
    <row r="20" spans="2:9" s="141" customFormat="1" ht="14">
      <c r="B20" s="230"/>
      <c r="C20" s="230"/>
      <c r="D20" s="230"/>
      <c r="E20" s="230"/>
      <c r="F20" s="230"/>
      <c r="G20" s="463"/>
      <c r="H20" s="543"/>
      <c r="I20" s="230"/>
    </row>
    <row r="21" spans="2:9">
      <c r="B21" s="79" t="s">
        <v>155</v>
      </c>
      <c r="C21" s="80"/>
      <c r="D21" s="80"/>
      <c r="E21" s="80"/>
      <c r="F21" s="81"/>
    </row>
    <row r="22" spans="2:9">
      <c r="B22" s="82" t="s">
        <v>156</v>
      </c>
      <c r="C22" s="83" t="s">
        <v>145</v>
      </c>
      <c r="D22" s="84"/>
      <c r="E22" s="85"/>
      <c r="F22" s="82" t="s">
        <v>157</v>
      </c>
    </row>
    <row r="23" spans="2:9">
      <c r="B23" s="86">
        <v>46053</v>
      </c>
      <c r="C23" s="87" t="s">
        <v>158</v>
      </c>
      <c r="D23" s="84"/>
      <c r="E23" s="88"/>
      <c r="F23" s="595">
        <f>53286+46624-58308</f>
        <v>41602</v>
      </c>
      <c r="G23" s="603" t="s">
        <v>482</v>
      </c>
    </row>
    <row r="24" spans="2:9">
      <c r="B24" s="86">
        <f>+B23</f>
        <v>46053</v>
      </c>
      <c r="C24" s="87" t="s">
        <v>159</v>
      </c>
      <c r="D24" s="84"/>
      <c r="E24" s="88"/>
      <c r="F24" s="595">
        <v>85990</v>
      </c>
      <c r="G24" s="603" t="s">
        <v>482</v>
      </c>
    </row>
    <row r="25" spans="2:9">
      <c r="B25" s="86">
        <f>+B24</f>
        <v>46053</v>
      </c>
      <c r="C25" s="89" t="s">
        <v>160</v>
      </c>
      <c r="D25" s="90"/>
      <c r="E25" s="91"/>
      <c r="F25" s="595">
        <v>2682</v>
      </c>
      <c r="G25" s="603" t="s">
        <v>482</v>
      </c>
    </row>
    <row r="26" spans="2:9">
      <c r="B26" s="86">
        <f>+B25</f>
        <v>46053</v>
      </c>
      <c r="C26" s="89" t="s">
        <v>357</v>
      </c>
      <c r="D26" s="90"/>
      <c r="E26" s="91"/>
      <c r="F26" s="595">
        <v>-8130</v>
      </c>
      <c r="G26" s="603" t="s">
        <v>482</v>
      </c>
    </row>
    <row r="27" spans="2:9">
      <c r="B27" s="86">
        <f>+B26</f>
        <v>46053</v>
      </c>
      <c r="C27" s="89" t="s">
        <v>377</v>
      </c>
      <c r="D27" s="90"/>
      <c r="E27" s="91"/>
      <c r="F27" s="595">
        <v>83000</v>
      </c>
      <c r="G27" s="603" t="s">
        <v>482</v>
      </c>
    </row>
    <row r="28" spans="2:9">
      <c r="B28" s="86">
        <f>+B27</f>
        <v>46053</v>
      </c>
      <c r="C28" s="89" t="s">
        <v>792</v>
      </c>
      <c r="D28" s="90"/>
      <c r="E28" s="91"/>
      <c r="F28" s="595">
        <v>39570</v>
      </c>
      <c r="G28" s="603" t="s">
        <v>482</v>
      </c>
    </row>
    <row r="29" spans="2:9">
      <c r="B29" s="86">
        <f>+B27</f>
        <v>46053</v>
      </c>
      <c r="C29" s="89" t="s">
        <v>793</v>
      </c>
      <c r="D29" s="90"/>
      <c r="E29" s="91"/>
      <c r="F29" s="595">
        <v>57490</v>
      </c>
      <c r="G29" s="603" t="s">
        <v>482</v>
      </c>
    </row>
    <row r="30" spans="2:9">
      <c r="B30" s="86">
        <f>+B27</f>
        <v>46053</v>
      </c>
      <c r="C30" s="89" t="s">
        <v>1934</v>
      </c>
      <c r="D30" s="90"/>
      <c r="E30" s="91"/>
      <c r="F30" s="595">
        <v>13306</v>
      </c>
      <c r="G30" s="603" t="s">
        <v>482</v>
      </c>
    </row>
    <row r="31" spans="2:9">
      <c r="B31" s="86">
        <f>+B27</f>
        <v>46053</v>
      </c>
      <c r="C31" s="89" t="s">
        <v>2218</v>
      </c>
      <c r="D31" s="90"/>
      <c r="E31" s="91"/>
      <c r="F31" s="595">
        <v>47120</v>
      </c>
      <c r="G31" s="603" t="s">
        <v>482</v>
      </c>
    </row>
    <row r="32" spans="2:9">
      <c r="B32" s="86">
        <f>+B28</f>
        <v>46053</v>
      </c>
      <c r="C32" s="89" t="s">
        <v>2336</v>
      </c>
      <c r="D32" s="90"/>
      <c r="E32" s="91"/>
      <c r="F32" s="595">
        <v>60000</v>
      </c>
      <c r="G32" s="603" t="s">
        <v>482</v>
      </c>
    </row>
    <row r="33" spans="2:8">
      <c r="B33" s="92" t="s">
        <v>161</v>
      </c>
      <c r="C33" s="93"/>
      <c r="D33" s="93"/>
      <c r="E33" s="94"/>
      <c r="F33" s="449">
        <f>SUM(F23:F32)</f>
        <v>422630</v>
      </c>
      <c r="G33" s="717" t="s">
        <v>2430</v>
      </c>
    </row>
    <row r="34" spans="2:8">
      <c r="B34" s="77"/>
      <c r="C34" s="78"/>
      <c r="D34" s="78"/>
      <c r="E34" s="78"/>
      <c r="F34" s="78"/>
    </row>
    <row r="35" spans="2:8">
      <c r="B35" s="77"/>
      <c r="C35" s="78"/>
      <c r="D35" s="78"/>
      <c r="E35" s="78"/>
      <c r="F35" s="78"/>
    </row>
    <row r="36" spans="2:8">
      <c r="B36" s="95" t="s">
        <v>162</v>
      </c>
      <c r="C36" s="96"/>
      <c r="D36" s="96"/>
      <c r="E36" s="96"/>
      <c r="F36" s="96"/>
    </row>
    <row r="37" spans="2:8">
      <c r="B37" s="95"/>
      <c r="C37" s="96"/>
      <c r="D37" s="96"/>
      <c r="E37" s="96"/>
      <c r="F37" s="96"/>
    </row>
    <row r="38" spans="2:8" ht="14" thickBot="1">
      <c r="B38" s="97" t="s">
        <v>163</v>
      </c>
      <c r="C38" s="97"/>
      <c r="D38" s="98"/>
      <c r="E38" s="99"/>
      <c r="F38" s="100">
        <v>440582927</v>
      </c>
      <c r="G38" s="603" t="s">
        <v>482</v>
      </c>
    </row>
    <row r="39" spans="2:8" ht="14" thickTop="1">
      <c r="B39" s="97" t="s">
        <v>404</v>
      </c>
    </row>
    <row r="40" spans="2:8">
      <c r="B40" s="97" t="s">
        <v>164</v>
      </c>
    </row>
    <row r="41" spans="2:8">
      <c r="B41" s="102" t="s">
        <v>165</v>
      </c>
      <c r="C41" s="102" t="s">
        <v>166</v>
      </c>
      <c r="D41" s="102" t="s">
        <v>145</v>
      </c>
      <c r="E41" s="102"/>
      <c r="F41" s="102" t="s">
        <v>167</v>
      </c>
    </row>
    <row r="42" spans="2:8">
      <c r="B42" s="103"/>
      <c r="C42" s="102"/>
      <c r="D42" s="104"/>
      <c r="E42" s="105"/>
      <c r="F42" s="105"/>
    </row>
    <row r="43" spans="2:8">
      <c r="B43" s="103"/>
      <c r="C43" s="102"/>
      <c r="D43" s="102"/>
      <c r="E43" s="105"/>
      <c r="F43" s="105"/>
    </row>
    <row r="44" spans="2:8">
      <c r="B44" s="106"/>
      <c r="C44" s="107"/>
      <c r="D44" s="107" t="s">
        <v>168</v>
      </c>
      <c r="E44" s="108"/>
      <c r="F44" s="108">
        <f>SUM(E42:E43)*-1</f>
        <v>0</v>
      </c>
      <c r="H44" s="101"/>
    </row>
    <row r="45" spans="2:8">
      <c r="B45" s="109"/>
      <c r="E45" s="101"/>
    </row>
    <row r="46" spans="2:8">
      <c r="B46" s="110"/>
      <c r="C46" s="111" t="s">
        <v>169</v>
      </c>
      <c r="D46" s="111"/>
      <c r="E46" s="112"/>
      <c r="F46" s="113">
        <f>SUM(F38:F45)</f>
        <v>440582927</v>
      </c>
      <c r="G46" s="717" t="s">
        <v>2430</v>
      </c>
      <c r="H46" s="101"/>
    </row>
    <row r="47" spans="2:8">
      <c r="E47" s="101"/>
    </row>
    <row r="48" spans="2:8">
      <c r="B48" s="110"/>
      <c r="C48" s="114" t="s">
        <v>170</v>
      </c>
      <c r="D48" s="111"/>
      <c r="E48" s="112"/>
      <c r="F48" s="115">
        <f>+'Balance 8 Columnas'!H20</f>
        <v>440582927</v>
      </c>
      <c r="H48" s="101"/>
    </row>
    <row r="49" spans="2:8">
      <c r="E49" s="101"/>
      <c r="F49" s="116"/>
      <c r="G49" s="465"/>
      <c r="H49" s="101"/>
    </row>
    <row r="50" spans="2:8">
      <c r="B50" s="110"/>
      <c r="C50" s="111" t="s">
        <v>171</v>
      </c>
      <c r="D50" s="111"/>
      <c r="E50" s="112"/>
      <c r="F50" s="467">
        <f>+F46-F48</f>
        <v>0</v>
      </c>
    </row>
    <row r="51" spans="2:8">
      <c r="F51" s="67"/>
    </row>
    <row r="52" spans="2:8" s="80" customFormat="1" ht="14" thickBot="1">
      <c r="B52" s="117" t="s">
        <v>172</v>
      </c>
      <c r="C52" s="118"/>
      <c r="D52" s="119"/>
      <c r="E52" s="119"/>
      <c r="F52" s="120">
        <f>+F48</f>
        <v>440582927</v>
      </c>
      <c r="G52" s="634" t="s">
        <v>482</v>
      </c>
    </row>
    <row r="53" spans="2:8" ht="14" thickTop="1">
      <c r="F53" s="67"/>
    </row>
    <row r="54" spans="2:8">
      <c r="B54" s="97" t="s">
        <v>405</v>
      </c>
      <c r="C54" s="96"/>
      <c r="D54" s="96"/>
      <c r="E54" s="96"/>
      <c r="F54" s="96"/>
      <c r="G54" s="465"/>
    </row>
    <row r="55" spans="2:8" ht="14" thickBot="1">
      <c r="B55" s="97" t="s">
        <v>163</v>
      </c>
      <c r="C55" s="97"/>
      <c r="D55" s="98"/>
      <c r="E55" s="99"/>
      <c r="F55" s="289">
        <v>429963.95</v>
      </c>
    </row>
    <row r="56" spans="2:8" ht="14" thickTop="1">
      <c r="B56" s="327" t="s">
        <v>406</v>
      </c>
      <c r="C56" s="97"/>
      <c r="D56" s="98"/>
      <c r="E56" s="99"/>
      <c r="F56" s="434">
        <f>+'Balance 8 Columnas'!O8</f>
        <v>865.1</v>
      </c>
    </row>
    <row r="57" spans="2:8" ht="14" thickBot="1">
      <c r="B57" s="327" t="s">
        <v>407</v>
      </c>
      <c r="F57" s="328">
        <f>F55*F56</f>
        <v>371961813.14500004</v>
      </c>
      <c r="G57" s="718" t="s">
        <v>2430</v>
      </c>
    </row>
    <row r="58" spans="2:8" ht="14" thickTop="1">
      <c r="B58" s="97" t="s">
        <v>164</v>
      </c>
      <c r="D58" s="477"/>
      <c r="E58" s="477"/>
      <c r="F58" s="465">
        <f>408613612-F57</f>
        <v>36651798.854999959</v>
      </c>
    </row>
    <row r="59" spans="2:8">
      <c r="B59" s="102" t="s">
        <v>165</v>
      </c>
      <c r="C59" s="102" t="s">
        <v>166</v>
      </c>
      <c r="D59" s="102" t="s">
        <v>145</v>
      </c>
      <c r="E59" s="102"/>
      <c r="F59" s="102" t="s">
        <v>167</v>
      </c>
    </row>
    <row r="60" spans="2:8">
      <c r="B60" s="103"/>
      <c r="C60" s="102"/>
      <c r="D60" s="104"/>
      <c r="E60" s="105"/>
      <c r="F60" s="105"/>
    </row>
    <row r="61" spans="2:8">
      <c r="B61" s="103"/>
      <c r="C61" s="102"/>
      <c r="D61" s="102"/>
      <c r="E61" s="105"/>
      <c r="F61" s="105"/>
    </row>
    <row r="62" spans="2:8">
      <c r="B62" s="106"/>
      <c r="C62" s="107"/>
      <c r="D62" s="107" t="s">
        <v>168</v>
      </c>
      <c r="E62" s="108"/>
      <c r="F62" s="108">
        <f>SUM(E60:E61)*-1</f>
        <v>0</v>
      </c>
    </row>
    <row r="63" spans="2:8">
      <c r="B63" s="109"/>
      <c r="E63" s="101"/>
    </row>
    <row r="64" spans="2:8">
      <c r="B64" s="110"/>
      <c r="C64" s="111" t="s">
        <v>169</v>
      </c>
      <c r="D64" s="111"/>
      <c r="E64" s="112"/>
      <c r="F64" s="113">
        <f>+F57-F62</f>
        <v>371961813.14500004</v>
      </c>
    </row>
    <row r="65" spans="2:10">
      <c r="E65" s="101"/>
    </row>
    <row r="66" spans="2:10">
      <c r="B66" s="110"/>
      <c r="C66" s="114" t="s">
        <v>170</v>
      </c>
      <c r="D66" s="111"/>
      <c r="E66" s="112"/>
      <c r="F66" s="115">
        <f>+'Balance 8 Columnas'!H21</f>
        <v>371961813</v>
      </c>
    </row>
    <row r="67" spans="2:10">
      <c r="E67" s="101"/>
      <c r="F67" s="116"/>
    </row>
    <row r="68" spans="2:10">
      <c r="B68" s="110"/>
      <c r="C68" s="111" t="s">
        <v>171</v>
      </c>
      <c r="D68" s="111"/>
      <c r="E68" s="112"/>
      <c r="F68" s="113">
        <f>+F64-F66</f>
        <v>0.14500004053115845</v>
      </c>
    </row>
    <row r="69" spans="2:10">
      <c r="F69" s="67"/>
    </row>
    <row r="70" spans="2:10" ht="14" thickBot="1">
      <c r="B70" s="117" t="s">
        <v>172</v>
      </c>
      <c r="C70" s="118"/>
      <c r="D70" s="119"/>
      <c r="E70" s="119"/>
      <c r="F70" s="120">
        <f>+F66</f>
        <v>371961813</v>
      </c>
      <c r="G70" s="465">
        <f>3948882-F68</f>
        <v>3948881.8549999595</v>
      </c>
    </row>
    <row r="71" spans="2:10" ht="14" thickTop="1">
      <c r="E71" s="99"/>
    </row>
    <row r="72" spans="2:10" ht="14">
      <c r="B72" s="581"/>
      <c r="C72" s="581"/>
      <c r="D72" s="581"/>
      <c r="E72" s="581"/>
      <c r="F72" s="581"/>
      <c r="G72" s="604"/>
      <c r="H72" s="581"/>
      <c r="I72" s="604"/>
      <c r="J72" s="581"/>
    </row>
    <row r="73" spans="2:10">
      <c r="B73" s="130" t="s">
        <v>175</v>
      </c>
      <c r="C73" s="130"/>
      <c r="D73" s="131"/>
      <c r="E73" s="80"/>
      <c r="F73" s="80"/>
      <c r="G73" s="438"/>
      <c r="H73" s="80"/>
      <c r="I73" s="603"/>
    </row>
    <row r="74" spans="2:10">
      <c r="B74" s="450" t="s">
        <v>202</v>
      </c>
      <c r="C74" s="815" t="s">
        <v>156</v>
      </c>
      <c r="D74" s="451" t="s">
        <v>297</v>
      </c>
      <c r="E74" s="808" t="s">
        <v>295</v>
      </c>
      <c r="F74" s="452" t="s">
        <v>296</v>
      </c>
      <c r="G74" s="808" t="s">
        <v>300</v>
      </c>
      <c r="H74" s="451" t="s">
        <v>167</v>
      </c>
      <c r="I74" s="603"/>
    </row>
    <row r="75" spans="2:10">
      <c r="B75" s="453"/>
      <c r="C75" s="815"/>
      <c r="D75" s="454" t="s">
        <v>298</v>
      </c>
      <c r="E75" s="809"/>
      <c r="F75" s="455"/>
      <c r="G75" s="809"/>
      <c r="H75" s="454" t="s">
        <v>176</v>
      </c>
      <c r="I75" s="603"/>
    </row>
    <row r="76" spans="2:10">
      <c r="B76" s="133" t="s">
        <v>177</v>
      </c>
      <c r="C76" s="237">
        <v>46045</v>
      </c>
      <c r="D76" s="60">
        <v>4938639.5025943154</v>
      </c>
      <c r="E76" s="251">
        <v>2.1332999999999999E-3</v>
      </c>
      <c r="F76" s="134">
        <v>8</v>
      </c>
      <c r="G76" s="635">
        <v>2633.8999127211132</v>
      </c>
      <c r="H76" s="60">
        <v>4941273.4025070369</v>
      </c>
      <c r="I76" s="603"/>
    </row>
    <row r="77" spans="2:10">
      <c r="B77" s="236" t="s">
        <v>178</v>
      </c>
      <c r="C77" s="182"/>
      <c r="D77" s="59">
        <f>SUM(D76:D76)</f>
        <v>4938639.5025943154</v>
      </c>
      <c r="E77" s="182"/>
      <c r="F77" s="182"/>
      <c r="G77" s="636"/>
      <c r="H77" s="59">
        <f>SUM(H76:H76)+3</f>
        <v>4941276.4025070369</v>
      </c>
      <c r="I77" s="717" t="s">
        <v>2430</v>
      </c>
    </row>
    <row r="78" spans="2:10">
      <c r="E78" s="99"/>
      <c r="I78" s="603"/>
    </row>
    <row r="79" spans="2:10">
      <c r="D79" s="228"/>
      <c r="E79" s="99"/>
    </row>
    <row r="80" spans="2:10">
      <c r="E80" s="99"/>
    </row>
    <row r="81" spans="5:5">
      <c r="E81" s="99"/>
    </row>
    <row r="82" spans="5:5">
      <c r="E82" s="99"/>
    </row>
    <row r="83" spans="5:5">
      <c r="E83" s="99"/>
    </row>
    <row r="84" spans="5:5">
      <c r="E84" s="99"/>
    </row>
    <row r="85" spans="5:5">
      <c r="E85" s="99"/>
    </row>
    <row r="86" spans="5:5">
      <c r="E86" s="99"/>
    </row>
    <row r="87" spans="5:5">
      <c r="E87" s="99"/>
    </row>
    <row r="88" spans="5:5">
      <c r="E88" s="99"/>
    </row>
    <row r="89" spans="5:5">
      <c r="E89" s="99"/>
    </row>
    <row r="90" spans="5:5">
      <c r="E90" s="99"/>
    </row>
    <row r="91" spans="5:5">
      <c r="E91" s="99"/>
    </row>
    <row r="92" spans="5:5">
      <c r="E92" s="99"/>
    </row>
    <row r="93" spans="5:5">
      <c r="E93" s="99"/>
    </row>
    <row r="94" spans="5:5">
      <c r="E94" s="99"/>
    </row>
    <row r="95" spans="5:5">
      <c r="E95" s="99"/>
    </row>
    <row r="96" spans="5:5">
      <c r="E96" s="99"/>
    </row>
    <row r="97" spans="5:5">
      <c r="E97" s="99"/>
    </row>
    <row r="98" spans="5:5">
      <c r="E98" s="99"/>
    </row>
    <row r="99" spans="5:5">
      <c r="E99" s="99"/>
    </row>
    <row r="100" spans="5:5">
      <c r="E100" s="99"/>
    </row>
    <row r="101" spans="5:5">
      <c r="E101" s="99"/>
    </row>
    <row r="102" spans="5:5">
      <c r="E102" s="99"/>
    </row>
    <row r="103" spans="5:5">
      <c r="E103" s="99"/>
    </row>
    <row r="104" spans="5:5">
      <c r="E104" s="99"/>
    </row>
    <row r="105" spans="5:5">
      <c r="E105" s="99"/>
    </row>
    <row r="106" spans="5:5">
      <c r="E106" s="99"/>
    </row>
    <row r="107" spans="5:5">
      <c r="E107" s="99"/>
    </row>
    <row r="108" spans="5:5">
      <c r="E108" s="99"/>
    </row>
    <row r="109" spans="5:5">
      <c r="E109" s="99"/>
    </row>
    <row r="110" spans="5:5">
      <c r="E110" s="99"/>
    </row>
    <row r="111" spans="5:5">
      <c r="E111" s="99"/>
    </row>
    <row r="112" spans="5:5">
      <c r="E112" s="99"/>
    </row>
    <row r="113" spans="5:5">
      <c r="E113" s="99"/>
    </row>
    <row r="114" spans="5:5">
      <c r="E114" s="99"/>
    </row>
    <row r="115" spans="5:5">
      <c r="E115" s="99"/>
    </row>
    <row r="116" spans="5:5">
      <c r="E116" s="99"/>
    </row>
    <row r="117" spans="5:5">
      <c r="E117" s="99"/>
    </row>
    <row r="118" spans="5:5">
      <c r="E118" s="99"/>
    </row>
    <row r="119" spans="5:5">
      <c r="E119" s="99"/>
    </row>
    <row r="120" spans="5:5">
      <c r="E120" s="99"/>
    </row>
    <row r="121" spans="5:5">
      <c r="E121" s="99"/>
    </row>
    <row r="122" spans="5:5">
      <c r="E122" s="99"/>
    </row>
    <row r="123" spans="5:5">
      <c r="E123" s="99"/>
    </row>
    <row r="124" spans="5:5">
      <c r="E124" s="99"/>
    </row>
    <row r="125" spans="5:5">
      <c r="E125" s="99"/>
    </row>
    <row r="126" spans="5:5">
      <c r="E126" s="99"/>
    </row>
    <row r="127" spans="5:5">
      <c r="E127" s="99"/>
    </row>
    <row r="128" spans="5:5">
      <c r="E128" s="99"/>
    </row>
    <row r="129" spans="5:5">
      <c r="E129" s="99"/>
    </row>
    <row r="130" spans="5:5">
      <c r="E130" s="99"/>
    </row>
    <row r="131" spans="5:5">
      <c r="E131" s="99"/>
    </row>
    <row r="132" spans="5:5">
      <c r="E132" s="99"/>
    </row>
    <row r="133" spans="5:5">
      <c r="E133" s="99"/>
    </row>
    <row r="134" spans="5:5">
      <c r="E134" s="99"/>
    </row>
    <row r="135" spans="5:5">
      <c r="E135" s="99"/>
    </row>
    <row r="136" spans="5:5">
      <c r="E136" s="99"/>
    </row>
    <row r="137" spans="5:5">
      <c r="E137" s="99"/>
    </row>
    <row r="138" spans="5:5">
      <c r="E138" s="99"/>
    </row>
    <row r="139" spans="5:5">
      <c r="E139" s="99"/>
    </row>
    <row r="140" spans="5:5">
      <c r="E140" s="99"/>
    </row>
    <row r="141" spans="5:5">
      <c r="E141" s="99"/>
    </row>
    <row r="142" spans="5:5">
      <c r="E142" s="99"/>
    </row>
    <row r="143" spans="5:5">
      <c r="E143" s="99"/>
    </row>
    <row r="144" spans="5:5">
      <c r="E144" s="99"/>
    </row>
    <row r="145" spans="5:5">
      <c r="E145" s="99"/>
    </row>
    <row r="146" spans="5:5">
      <c r="E146" s="99"/>
    </row>
    <row r="147" spans="5:5">
      <c r="E147" s="99"/>
    </row>
    <row r="148" spans="5:5">
      <c r="E148" s="99"/>
    </row>
    <row r="149" spans="5:5">
      <c r="E149" s="99"/>
    </row>
    <row r="150" spans="5:5">
      <c r="E150" s="99"/>
    </row>
    <row r="151" spans="5:5">
      <c r="E151" s="99"/>
    </row>
    <row r="152" spans="5:5">
      <c r="E152" s="99"/>
    </row>
    <row r="153" spans="5:5">
      <c r="E153" s="99"/>
    </row>
    <row r="154" spans="5:5">
      <c r="E154" s="99"/>
    </row>
    <row r="155" spans="5:5">
      <c r="E155" s="99"/>
    </row>
  </sheetData>
  <mergeCells count="9">
    <mergeCell ref="G74:G75"/>
    <mergeCell ref="B1:F1"/>
    <mergeCell ref="B2:F2"/>
    <mergeCell ref="B3:F3"/>
    <mergeCell ref="C17:D17"/>
    <mergeCell ref="C74:C75"/>
    <mergeCell ref="E74:E75"/>
    <mergeCell ref="C18:D18"/>
    <mergeCell ref="C19:D19"/>
  </mergeCells>
  <hyperlinks>
    <hyperlink ref="F4" location="'SVS IFRS'!A1" display="Volver" xr:uid="{00000000-0004-0000-0800-000000000000}"/>
    <hyperlink ref="A1" location="'Balance 8 Columnas'!A1" display="'Balance 8 Columnas'!A1" xr:uid="{9BB377C4-863F-49ED-9DF5-A237600CF0C3}"/>
  </hyperlink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>
    <tabColor theme="7" tint="0.39997558519241921"/>
  </sheetPr>
  <dimension ref="B1:G27"/>
  <sheetViews>
    <sheetView zoomScale="90" zoomScaleNormal="90" workbookViewId="0">
      <selection activeCell="C8" sqref="C8"/>
    </sheetView>
  </sheetViews>
  <sheetFormatPr baseColWidth="10" defaultColWidth="14.3984375" defaultRowHeight="13.45"/>
  <cols>
    <col min="1" max="1" width="6.3984375" style="80" customWidth="1"/>
    <col min="2" max="2" width="62.0976562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2:7" ht="20.95">
      <c r="B1" s="810" t="s">
        <v>195</v>
      </c>
      <c r="C1" s="810"/>
      <c r="D1" s="810"/>
      <c r="G1" s="145">
        <f ca="1">+C8-'Balance Clasificado'!D11</f>
        <v>-88703455</v>
      </c>
    </row>
    <row r="2" spans="2:7">
      <c r="B2" s="811" t="s">
        <v>194</v>
      </c>
      <c r="C2" s="811"/>
      <c r="D2" s="811"/>
    </row>
    <row r="3" spans="2:7">
      <c r="B3" s="812" t="str">
        <f>+'Cajas y Bancos'!B3</f>
        <v>Al 31 de enero de 2026</v>
      </c>
      <c r="C3" s="811"/>
      <c r="D3" s="811"/>
    </row>
    <row r="4" spans="2:7">
      <c r="B4" s="78"/>
      <c r="C4" s="78"/>
      <c r="D4" s="78"/>
    </row>
    <row r="5" spans="2:7">
      <c r="B5" s="97" t="s">
        <v>203</v>
      </c>
      <c r="C5" s="78"/>
      <c r="D5" s="78"/>
    </row>
    <row r="6" spans="2:7">
      <c r="B6" s="72" t="s">
        <v>62</v>
      </c>
      <c r="C6" s="72" t="s">
        <v>153</v>
      </c>
      <c r="D6" s="78"/>
    </row>
    <row r="7" spans="2:7">
      <c r="B7" s="126" t="s">
        <v>180</v>
      </c>
      <c r="C7" s="127">
        <v>0</v>
      </c>
      <c r="D7" s="78"/>
    </row>
    <row r="8" spans="2:7">
      <c r="B8" s="128" t="s">
        <v>179</v>
      </c>
      <c r="C8" s="129">
        <f>SUM(C7:C7)</f>
        <v>0</v>
      </c>
      <c r="D8" s="78"/>
    </row>
    <row r="9" spans="2:7">
      <c r="B9" s="78"/>
      <c r="D9" s="78"/>
    </row>
    <row r="10" spans="2:7">
      <c r="B10" s="97" t="s">
        <v>204</v>
      </c>
      <c r="C10" s="78"/>
      <c r="D10" s="78"/>
    </row>
    <row r="11" spans="2:7" ht="15.75" customHeight="1">
      <c r="B11" s="78"/>
      <c r="C11" s="78"/>
      <c r="D11" s="78"/>
    </row>
    <row r="12" spans="2:7" ht="15.75" customHeight="1">
      <c r="B12" s="130" t="s">
        <v>180</v>
      </c>
      <c r="C12" s="130"/>
      <c r="D12" s="131"/>
    </row>
    <row r="13" spans="2:7" ht="15.75" customHeight="1">
      <c r="B13" s="164" t="s">
        <v>202</v>
      </c>
      <c r="C13" s="165" t="s">
        <v>156</v>
      </c>
      <c r="D13" s="132" t="s">
        <v>157</v>
      </c>
    </row>
    <row r="14" spans="2:7" ht="15.75" customHeight="1">
      <c r="B14" s="166" t="s">
        <v>235</v>
      </c>
      <c r="C14" s="229">
        <v>44176</v>
      </c>
      <c r="D14" s="60">
        <v>13164563</v>
      </c>
      <c r="F14" s="135"/>
    </row>
    <row r="15" spans="2:7" ht="15.75" customHeight="1">
      <c r="B15" s="133" t="s">
        <v>237</v>
      </c>
      <c r="C15" s="229">
        <v>44176</v>
      </c>
      <c r="D15" s="60">
        <v>11854972</v>
      </c>
      <c r="F15" s="135"/>
    </row>
    <row r="16" spans="2:7" ht="15.75" customHeight="1">
      <c r="B16" s="133" t="s">
        <v>239</v>
      </c>
      <c r="C16" s="229">
        <v>44176</v>
      </c>
      <c r="D16" s="60">
        <v>10592505</v>
      </c>
      <c r="F16" s="135"/>
    </row>
    <row r="17" spans="2:7" ht="15.75" customHeight="1">
      <c r="B17" s="133" t="s">
        <v>238</v>
      </c>
      <c r="C17" s="229">
        <v>44176</v>
      </c>
      <c r="D17" s="60">
        <v>10250999</v>
      </c>
      <c r="F17" s="135"/>
    </row>
    <row r="18" spans="2:7" ht="15.75" customHeight="1">
      <c r="B18" s="133" t="s">
        <v>236</v>
      </c>
      <c r="C18" s="229">
        <v>44176</v>
      </c>
      <c r="D18" s="60">
        <v>2264005</v>
      </c>
      <c r="F18" s="135"/>
    </row>
    <row r="19" spans="2:7" ht="15.75" customHeight="1">
      <c r="B19" s="133" t="s">
        <v>342</v>
      </c>
      <c r="C19" s="229">
        <v>44392</v>
      </c>
      <c r="D19" s="60">
        <v>22306718</v>
      </c>
      <c r="F19" s="135"/>
    </row>
    <row r="20" spans="2:7" ht="15.75" customHeight="1">
      <c r="B20" s="133" t="s">
        <v>342</v>
      </c>
      <c r="C20" s="229">
        <v>44392</v>
      </c>
      <c r="D20" s="60">
        <v>9814956</v>
      </c>
      <c r="F20" s="135"/>
    </row>
    <row r="21" spans="2:7" ht="15.75" customHeight="1">
      <c r="B21" s="820" t="s">
        <v>178</v>
      </c>
      <c r="C21" s="820"/>
      <c r="D21" s="59">
        <f>SUM(D14:D20)</f>
        <v>80248718</v>
      </c>
      <c r="F21" s="121"/>
      <c r="G21" s="121"/>
    </row>
    <row r="22" spans="2:7" ht="15.75" customHeight="1">
      <c r="B22" s="136"/>
      <c r="C22" s="136"/>
      <c r="D22" s="137"/>
      <c r="F22" s="121"/>
      <c r="G22" s="121"/>
    </row>
    <row r="23" spans="2:7" ht="14">
      <c r="D23" s="125"/>
    </row>
    <row r="24" spans="2:7" ht="14.25" customHeight="1"/>
    <row r="25" spans="2:7" ht="14.25" customHeight="1"/>
    <row r="26" spans="2:7" s="139" customFormat="1" ht="14.25" customHeight="1">
      <c r="B26" s="138"/>
    </row>
    <row r="27" spans="2:7" s="139" customFormat="1" ht="14.25" customHeight="1">
      <c r="B27" s="138"/>
    </row>
  </sheetData>
  <mergeCells count="4">
    <mergeCell ref="B1:D1"/>
    <mergeCell ref="B2:D2"/>
    <mergeCell ref="B3:D3"/>
    <mergeCell ref="B21:C21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tabColor rgb="FF002060"/>
  </sheetPr>
  <dimension ref="A1:N347"/>
  <sheetViews>
    <sheetView zoomScale="90" zoomScaleNormal="90" workbookViewId="0">
      <selection activeCell="G170" sqref="G170"/>
    </sheetView>
  </sheetViews>
  <sheetFormatPr baseColWidth="10" defaultColWidth="14.3984375" defaultRowHeight="13.45"/>
  <cols>
    <col min="1" max="1" width="3.8984375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7" width="14.3984375" style="80"/>
    <col min="8" max="9" width="14.3984375" style="267"/>
    <col min="10" max="16384" width="14.3984375" style="80"/>
  </cols>
  <sheetData>
    <row r="1" spans="1:8" ht="20.95">
      <c r="A1" s="431" t="s">
        <v>590</v>
      </c>
      <c r="B1" s="810" t="s">
        <v>195</v>
      </c>
      <c r="C1" s="810"/>
      <c r="D1" s="810"/>
      <c r="H1" s="382">
        <f ca="1">+C9-'Balance Clasificado'!D11</f>
        <v>0</v>
      </c>
    </row>
    <row r="2" spans="1:8">
      <c r="B2" s="811" t="s">
        <v>498</v>
      </c>
      <c r="C2" s="811"/>
      <c r="D2" s="811"/>
    </row>
    <row r="3" spans="1:8">
      <c r="B3" s="821" t="str">
        <f>+Carátula!A9</f>
        <v>Al 31 de enero de 2026</v>
      </c>
      <c r="C3" s="811"/>
      <c r="D3" s="811"/>
    </row>
    <row r="4" spans="1:8">
      <c r="B4" s="78"/>
      <c r="C4" s="78"/>
      <c r="D4" s="78"/>
    </row>
    <row r="5" spans="1:8">
      <c r="B5" s="97" t="s">
        <v>499</v>
      </c>
      <c r="C5" s="78"/>
      <c r="D5" s="78"/>
    </row>
    <row r="6" spans="1:8">
      <c r="B6" s="72" t="s">
        <v>62</v>
      </c>
      <c r="C6" s="72" t="s">
        <v>153</v>
      </c>
      <c r="D6" s="78"/>
    </row>
    <row r="7" spans="1:8">
      <c r="B7" s="126" t="s">
        <v>351</v>
      </c>
      <c r="C7" s="127">
        <f>+D331</f>
        <v>31375083</v>
      </c>
      <c r="D7" s="78"/>
    </row>
    <row r="8" spans="1:8">
      <c r="B8" s="126" t="s">
        <v>200</v>
      </c>
      <c r="C8" s="127">
        <f>$D$344</f>
        <v>57328372</v>
      </c>
      <c r="D8" s="78"/>
    </row>
    <row r="9" spans="1:8">
      <c r="B9" s="128" t="s">
        <v>500</v>
      </c>
      <c r="C9" s="129">
        <f>SUM(C7:C8)</f>
        <v>88703455</v>
      </c>
      <c r="D9" s="78"/>
    </row>
    <row r="10" spans="1:8">
      <c r="B10" s="78"/>
      <c r="D10" s="78"/>
    </row>
    <row r="11" spans="1:8">
      <c r="B11" s="97" t="s">
        <v>501</v>
      </c>
      <c r="C11" s="78"/>
      <c r="D11" s="78"/>
    </row>
    <row r="12" spans="1:8">
      <c r="B12" s="78"/>
      <c r="C12" s="78"/>
      <c r="D12" s="78"/>
    </row>
    <row r="13" spans="1:8">
      <c r="B13" s="130" t="s">
        <v>351</v>
      </c>
      <c r="C13" s="130"/>
      <c r="D13" s="131"/>
    </row>
    <row r="14" spans="1:8" ht="14.25" customHeight="1">
      <c r="B14" s="822" t="s">
        <v>202</v>
      </c>
      <c r="C14" s="823"/>
      <c r="D14" s="132" t="s">
        <v>157</v>
      </c>
    </row>
    <row r="15" spans="1:8" hidden="1">
      <c r="B15" s="185" t="s">
        <v>352</v>
      </c>
      <c r="C15" s="156"/>
      <c r="D15" s="60">
        <v>16213165</v>
      </c>
    </row>
    <row r="16" spans="1:8" hidden="1">
      <c r="B16" s="185" t="s">
        <v>352</v>
      </c>
      <c r="C16" s="156">
        <v>44473</v>
      </c>
      <c r="D16" s="60">
        <v>5765894</v>
      </c>
    </row>
    <row r="17" spans="2:4" hidden="1">
      <c r="B17" s="185" t="s">
        <v>364</v>
      </c>
      <c r="C17" s="156">
        <v>44505</v>
      </c>
      <c r="D17" s="60">
        <v>16437082</v>
      </c>
    </row>
    <row r="18" spans="2:4" hidden="1">
      <c r="B18" s="185" t="s">
        <v>365</v>
      </c>
      <c r="C18" s="156">
        <v>44501</v>
      </c>
      <c r="D18" s="60">
        <v>10941199</v>
      </c>
    </row>
    <row r="19" spans="2:4" hidden="1">
      <c r="B19" s="185" t="s">
        <v>366</v>
      </c>
      <c r="C19" s="156">
        <v>44516</v>
      </c>
      <c r="D19" s="60">
        <v>7583329</v>
      </c>
    </row>
    <row r="20" spans="2:4" hidden="1">
      <c r="B20" s="185" t="s">
        <v>367</v>
      </c>
      <c r="C20" s="156">
        <v>44516</v>
      </c>
      <c r="D20" s="60">
        <v>3883398</v>
      </c>
    </row>
    <row r="21" spans="2:4" hidden="1">
      <c r="B21" s="185" t="s">
        <v>353</v>
      </c>
      <c r="C21" s="156">
        <v>44500</v>
      </c>
      <c r="D21" s="60">
        <f>-(D15+D16)/60</f>
        <v>-366317.65</v>
      </c>
    </row>
    <row r="22" spans="2:4" hidden="1">
      <c r="B22" s="185" t="s">
        <v>368</v>
      </c>
      <c r="C22" s="156">
        <v>44530</v>
      </c>
      <c r="D22" s="60">
        <f>-(D16+D17+D15+D19)/60</f>
        <v>-766657.83333333337</v>
      </c>
    </row>
    <row r="23" spans="2:4" hidden="1">
      <c r="B23" s="185" t="s">
        <v>369</v>
      </c>
      <c r="C23" s="156">
        <v>44530</v>
      </c>
      <c r="D23" s="60">
        <f>-(D18+D20)/60</f>
        <v>-247076.61666666667</v>
      </c>
    </row>
    <row r="24" spans="2:4" hidden="1">
      <c r="B24" s="185" t="s">
        <v>371</v>
      </c>
      <c r="C24" s="156">
        <v>44561</v>
      </c>
      <c r="D24" s="60">
        <v>11088922</v>
      </c>
    </row>
    <row r="25" spans="2:4" hidden="1">
      <c r="B25" s="185" t="s">
        <v>372</v>
      </c>
      <c r="C25" s="156">
        <v>44561</v>
      </c>
      <c r="D25" s="60">
        <v>3911925</v>
      </c>
    </row>
    <row r="26" spans="2:4" hidden="1">
      <c r="B26" s="185" t="s">
        <v>373</v>
      </c>
      <c r="C26" s="156">
        <v>44561</v>
      </c>
      <c r="D26" s="60">
        <v>193748</v>
      </c>
    </row>
    <row r="27" spans="2:4" hidden="1">
      <c r="B27" s="185" t="s">
        <v>374</v>
      </c>
      <c r="C27" s="156">
        <v>44530</v>
      </c>
      <c r="D27" s="60">
        <v>-766657.83333333337</v>
      </c>
    </row>
    <row r="28" spans="2:4" hidden="1">
      <c r="B28" s="185" t="s">
        <v>375</v>
      </c>
      <c r="C28" s="156">
        <v>44530</v>
      </c>
      <c r="D28" s="60">
        <f>-SUM(D18,D20,D24,D25,D26)/60</f>
        <v>-500319.86666666664</v>
      </c>
    </row>
    <row r="29" spans="2:4" hidden="1">
      <c r="B29" s="185" t="s">
        <v>379</v>
      </c>
      <c r="C29" s="156">
        <v>44592</v>
      </c>
      <c r="D29" s="60">
        <v>-766658</v>
      </c>
    </row>
    <row r="30" spans="2:4" hidden="1">
      <c r="B30" s="185" t="s">
        <v>380</v>
      </c>
      <c r="C30" s="156">
        <v>44592</v>
      </c>
      <c r="D30" s="60">
        <v>-500319</v>
      </c>
    </row>
    <row r="31" spans="2:4" hidden="1">
      <c r="B31" s="166" t="s">
        <v>384</v>
      </c>
      <c r="C31" s="156">
        <v>44599</v>
      </c>
      <c r="D31" s="60">
        <f>11256790-2047063</f>
        <v>9209727</v>
      </c>
    </row>
    <row r="32" spans="2:4" hidden="1">
      <c r="B32" s="166" t="s">
        <v>385</v>
      </c>
      <c r="C32" s="156">
        <v>44599</v>
      </c>
      <c r="D32" s="60">
        <f>3971145-195032</f>
        <v>3776113</v>
      </c>
    </row>
    <row r="33" spans="2:4" hidden="1">
      <c r="B33" s="185" t="s">
        <v>386</v>
      </c>
      <c r="C33" s="156">
        <v>44620</v>
      </c>
      <c r="D33" s="60">
        <v>-766658</v>
      </c>
    </row>
    <row r="34" spans="2:4" hidden="1">
      <c r="B34" s="185" t="s">
        <v>387</v>
      </c>
      <c r="C34" s="156">
        <v>44620</v>
      </c>
      <c r="D34" s="60">
        <f>-500319.866666667+((-D31+D32)/60)</f>
        <v>-590880.10000000033</v>
      </c>
    </row>
    <row r="35" spans="2:4" hidden="1">
      <c r="B35" s="185" t="s">
        <v>390</v>
      </c>
      <c r="C35" s="156">
        <v>44651</v>
      </c>
      <c r="D35" s="60">
        <v>-766657.83333333337</v>
      </c>
    </row>
    <row r="36" spans="2:4" hidden="1">
      <c r="B36" s="185" t="s">
        <v>391</v>
      </c>
      <c r="C36" s="156">
        <v>44651</v>
      </c>
      <c r="D36" s="60">
        <v>-590880</v>
      </c>
    </row>
    <row r="37" spans="2:4" hidden="1">
      <c r="B37" s="185" t="s">
        <v>399</v>
      </c>
      <c r="C37" s="156">
        <v>44681</v>
      </c>
      <c r="D37" s="60">
        <v>-766657.83333333337</v>
      </c>
    </row>
    <row r="38" spans="2:4" hidden="1">
      <c r="B38" s="185" t="s">
        <v>400</v>
      </c>
      <c r="C38" s="156">
        <v>44681</v>
      </c>
      <c r="D38" s="60">
        <v>-590880</v>
      </c>
    </row>
    <row r="39" spans="2:4" hidden="1">
      <c r="B39" s="185" t="s">
        <v>401</v>
      </c>
      <c r="C39" s="156">
        <v>44712</v>
      </c>
      <c r="D39" s="60">
        <v>-766657.83333333337</v>
      </c>
    </row>
    <row r="40" spans="2:4" hidden="1">
      <c r="B40" s="185" t="s">
        <v>402</v>
      </c>
      <c r="C40" s="156">
        <v>44712</v>
      </c>
      <c r="D40" s="60">
        <v>-590880</v>
      </c>
    </row>
    <row r="41" spans="2:4" hidden="1">
      <c r="B41" s="185" t="s">
        <v>409</v>
      </c>
      <c r="C41" s="156">
        <v>44742</v>
      </c>
      <c r="D41" s="60">
        <v>-766657.83333333337</v>
      </c>
    </row>
    <row r="42" spans="2:4" hidden="1">
      <c r="B42" s="185" t="s">
        <v>410</v>
      </c>
      <c r="C42" s="156">
        <v>44742</v>
      </c>
      <c r="D42" s="60">
        <v>-590880</v>
      </c>
    </row>
    <row r="43" spans="2:4" hidden="1">
      <c r="B43" s="185" t="s">
        <v>426</v>
      </c>
      <c r="C43" s="156">
        <v>44773</v>
      </c>
      <c r="D43" s="60">
        <v>-766657.83333333337</v>
      </c>
    </row>
    <row r="44" spans="2:4" hidden="1">
      <c r="B44" s="185" t="s">
        <v>427</v>
      </c>
      <c r="C44" s="156">
        <v>44773</v>
      </c>
      <c r="D44" s="60">
        <v>-590880</v>
      </c>
    </row>
    <row r="45" spans="2:4" hidden="1">
      <c r="B45" s="185" t="s">
        <v>431</v>
      </c>
      <c r="C45" s="156">
        <v>44804</v>
      </c>
      <c r="D45" s="60">
        <v>-766657.83333333337</v>
      </c>
    </row>
    <row r="46" spans="2:4" hidden="1">
      <c r="B46" s="185" t="s">
        <v>430</v>
      </c>
      <c r="C46" s="156">
        <v>44804</v>
      </c>
      <c r="D46" s="60">
        <v>-590880</v>
      </c>
    </row>
    <row r="47" spans="2:4" hidden="1">
      <c r="B47" s="185" t="s">
        <v>442</v>
      </c>
      <c r="C47" s="156">
        <v>44834</v>
      </c>
      <c r="D47" s="60">
        <v>-766657.83333333337</v>
      </c>
    </row>
    <row r="48" spans="2:4" hidden="1">
      <c r="B48" s="185" t="s">
        <v>443</v>
      </c>
      <c r="C48" s="156">
        <v>44834</v>
      </c>
      <c r="D48" s="60">
        <v>-590880</v>
      </c>
    </row>
    <row r="49" spans="2:5" hidden="1">
      <c r="B49" s="185" t="s">
        <v>451</v>
      </c>
      <c r="C49" s="156">
        <v>44865</v>
      </c>
      <c r="D49" s="60">
        <v>-766657.83333333337</v>
      </c>
    </row>
    <row r="50" spans="2:5" hidden="1">
      <c r="B50" s="185" t="s">
        <v>452</v>
      </c>
      <c r="C50" s="156">
        <v>44865</v>
      </c>
      <c r="D50" s="60">
        <v>-590880</v>
      </c>
    </row>
    <row r="51" spans="2:5" hidden="1">
      <c r="B51" s="185" t="s">
        <v>456</v>
      </c>
      <c r="C51" s="156">
        <v>44895</v>
      </c>
      <c r="D51" s="60">
        <v>-766657.83333333337</v>
      </c>
    </row>
    <row r="52" spans="2:5" hidden="1">
      <c r="B52" s="185" t="s">
        <v>457</v>
      </c>
      <c r="C52" s="156">
        <v>44895</v>
      </c>
      <c r="D52" s="60">
        <v>-590880</v>
      </c>
    </row>
    <row r="53" spans="2:5" hidden="1">
      <c r="B53" s="185" t="s">
        <v>545</v>
      </c>
      <c r="C53" s="156">
        <v>44926</v>
      </c>
      <c r="D53" s="60">
        <v>-766657.83333333337</v>
      </c>
      <c r="E53" s="622"/>
    </row>
    <row r="54" spans="2:5" hidden="1">
      <c r="B54" s="185" t="s">
        <v>544</v>
      </c>
      <c r="C54" s="156">
        <v>44926</v>
      </c>
      <c r="D54" s="60">
        <v>-590880</v>
      </c>
    </row>
    <row r="55" spans="2:5" hidden="1">
      <c r="B55" s="185" t="s">
        <v>593</v>
      </c>
      <c r="C55" s="156">
        <v>44957</v>
      </c>
      <c r="D55" s="60">
        <v>-766658</v>
      </c>
    </row>
    <row r="56" spans="2:5" hidden="1">
      <c r="B56" s="185" t="s">
        <v>594</v>
      </c>
      <c r="C56" s="156">
        <v>44957</v>
      </c>
      <c r="D56" s="60">
        <v>-590880</v>
      </c>
    </row>
    <row r="57" spans="2:5" hidden="1">
      <c r="B57" s="185" t="s">
        <v>790</v>
      </c>
      <c r="C57" s="156">
        <v>44985</v>
      </c>
      <c r="D57" s="60">
        <v>-766657</v>
      </c>
    </row>
    <row r="58" spans="2:5" hidden="1">
      <c r="B58" s="185" t="s">
        <v>791</v>
      </c>
      <c r="C58" s="156">
        <v>44985</v>
      </c>
      <c r="D58" s="60">
        <v>-590879</v>
      </c>
    </row>
    <row r="59" spans="2:5" hidden="1">
      <c r="B59" s="185" t="s">
        <v>809</v>
      </c>
      <c r="C59" s="156">
        <v>45016</v>
      </c>
      <c r="D59" s="60">
        <v>-766657</v>
      </c>
    </row>
    <row r="60" spans="2:5" hidden="1">
      <c r="B60" s="185" t="s">
        <v>810</v>
      </c>
      <c r="C60" s="156">
        <v>45016</v>
      </c>
      <c r="D60" s="60">
        <v>-590879</v>
      </c>
    </row>
    <row r="61" spans="2:5" hidden="1">
      <c r="B61" s="166" t="s">
        <v>823</v>
      </c>
      <c r="C61" s="156">
        <v>45019</v>
      </c>
      <c r="D61" s="60">
        <v>1392340</v>
      </c>
    </row>
    <row r="62" spans="2:5" hidden="1">
      <c r="B62" s="166" t="s">
        <v>822</v>
      </c>
      <c r="C62" s="156">
        <v>45020</v>
      </c>
      <c r="D62" s="60">
        <v>2036699</v>
      </c>
    </row>
    <row r="63" spans="2:5" hidden="1">
      <c r="B63" s="166" t="s">
        <v>824</v>
      </c>
      <c r="C63" s="156">
        <v>45046</v>
      </c>
      <c r="D63" s="60">
        <v>1393734</v>
      </c>
    </row>
    <row r="64" spans="2:5" hidden="1">
      <c r="B64" s="166" t="s">
        <v>825</v>
      </c>
      <c r="C64" s="156">
        <v>45046</v>
      </c>
      <c r="D64" s="60">
        <v>3246076</v>
      </c>
    </row>
    <row r="65" spans="2:4" hidden="1">
      <c r="B65" s="185" t="s">
        <v>820</v>
      </c>
      <c r="C65" s="156">
        <v>45046</v>
      </c>
      <c r="D65" s="60">
        <v>-766657</v>
      </c>
    </row>
    <row r="66" spans="2:4" hidden="1">
      <c r="B66" s="185" t="s">
        <v>821</v>
      </c>
      <c r="C66" s="156">
        <v>45046</v>
      </c>
      <c r="D66" s="60">
        <v>-590879</v>
      </c>
    </row>
    <row r="67" spans="2:4" ht="12.8" hidden="1" customHeight="1">
      <c r="B67" s="185" t="s">
        <v>826</v>
      </c>
      <c r="C67" s="156">
        <v>45046</v>
      </c>
      <c r="D67" s="60">
        <f>-SUM(D61:D64)/60</f>
        <v>-134480.81666666668</v>
      </c>
    </row>
    <row r="68" spans="2:4" hidden="1">
      <c r="B68" s="185" t="s">
        <v>1259</v>
      </c>
      <c r="C68" s="156">
        <v>45077</v>
      </c>
      <c r="D68" s="60">
        <v>-766657</v>
      </c>
    </row>
    <row r="69" spans="2:4" hidden="1">
      <c r="B69" s="185" t="s">
        <v>1260</v>
      </c>
      <c r="C69" s="156">
        <v>45077</v>
      </c>
      <c r="D69" s="60">
        <v>-590879</v>
      </c>
    </row>
    <row r="70" spans="2:4" hidden="1">
      <c r="B70" s="185" t="s">
        <v>1261</v>
      </c>
      <c r="C70" s="156">
        <v>45077</v>
      </c>
      <c r="D70" s="60">
        <v>-134481</v>
      </c>
    </row>
    <row r="71" spans="2:4" hidden="1">
      <c r="B71" s="185" t="s">
        <v>1265</v>
      </c>
      <c r="C71" s="156">
        <v>45107</v>
      </c>
      <c r="D71" s="60">
        <v>-766657</v>
      </c>
    </row>
    <row r="72" spans="2:4" hidden="1">
      <c r="B72" s="185" t="s">
        <v>1266</v>
      </c>
      <c r="C72" s="156">
        <v>45107</v>
      </c>
      <c r="D72" s="60">
        <v>-590879</v>
      </c>
    </row>
    <row r="73" spans="2:4" hidden="1">
      <c r="B73" s="185" t="s">
        <v>1267</v>
      </c>
      <c r="C73" s="156">
        <v>45107</v>
      </c>
      <c r="D73" s="60">
        <v>-134481</v>
      </c>
    </row>
    <row r="74" spans="2:4" hidden="1">
      <c r="B74" s="185" t="s">
        <v>1338</v>
      </c>
      <c r="C74" s="156">
        <v>45138</v>
      </c>
      <c r="D74" s="60">
        <v>-766657</v>
      </c>
    </row>
    <row r="75" spans="2:4" hidden="1">
      <c r="B75" s="185" t="s">
        <v>1336</v>
      </c>
      <c r="C75" s="156">
        <v>45138</v>
      </c>
      <c r="D75" s="60">
        <v>-590879</v>
      </c>
    </row>
    <row r="76" spans="2:4" hidden="1">
      <c r="B76" s="185" t="s">
        <v>1337</v>
      </c>
      <c r="C76" s="156">
        <v>45138</v>
      </c>
      <c r="D76" s="60">
        <v>-134481</v>
      </c>
    </row>
    <row r="77" spans="2:4" hidden="1">
      <c r="B77" s="185" t="s">
        <v>1356</v>
      </c>
      <c r="C77" s="156">
        <v>45169</v>
      </c>
      <c r="D77" s="60">
        <v>-766657</v>
      </c>
    </row>
    <row r="78" spans="2:4" hidden="1">
      <c r="B78" s="185" t="s">
        <v>1357</v>
      </c>
      <c r="C78" s="156">
        <v>45169</v>
      </c>
      <c r="D78" s="60">
        <v>-590879</v>
      </c>
    </row>
    <row r="79" spans="2:4" hidden="1">
      <c r="B79" s="185" t="s">
        <v>1358</v>
      </c>
      <c r="C79" s="156">
        <v>45169</v>
      </c>
      <c r="D79" s="60">
        <v>-134481</v>
      </c>
    </row>
    <row r="80" spans="2:4" hidden="1">
      <c r="B80" s="185" t="s">
        <v>1551</v>
      </c>
      <c r="C80" s="156">
        <v>45199</v>
      </c>
      <c r="D80" s="60">
        <v>-766657</v>
      </c>
    </row>
    <row r="81" spans="2:4" hidden="1">
      <c r="B81" s="185" t="s">
        <v>1552</v>
      </c>
      <c r="C81" s="156">
        <v>45199</v>
      </c>
      <c r="D81" s="60">
        <v>-590879</v>
      </c>
    </row>
    <row r="82" spans="2:4" hidden="1">
      <c r="B82" s="185" t="s">
        <v>1553</v>
      </c>
      <c r="C82" s="156">
        <v>45199</v>
      </c>
      <c r="D82" s="60">
        <v>-134481</v>
      </c>
    </row>
    <row r="83" spans="2:4" hidden="1">
      <c r="B83" s="185" t="s">
        <v>1607</v>
      </c>
      <c r="C83" s="156">
        <v>45230</v>
      </c>
      <c r="D83" s="60">
        <v>-766657</v>
      </c>
    </row>
    <row r="84" spans="2:4" hidden="1">
      <c r="B84" s="185" t="s">
        <v>1608</v>
      </c>
      <c r="C84" s="156">
        <v>45230</v>
      </c>
      <c r="D84" s="60">
        <v>-590879</v>
      </c>
    </row>
    <row r="85" spans="2:4" hidden="1">
      <c r="B85" s="185" t="s">
        <v>1609</v>
      </c>
      <c r="C85" s="156">
        <v>45230</v>
      </c>
      <c r="D85" s="60">
        <v>-134481</v>
      </c>
    </row>
    <row r="86" spans="2:4" hidden="1">
      <c r="B86" s="185" t="s">
        <v>1660</v>
      </c>
      <c r="C86" s="156">
        <v>45260</v>
      </c>
      <c r="D86" s="60">
        <v>-766657</v>
      </c>
    </row>
    <row r="87" spans="2:4" hidden="1">
      <c r="B87" s="185" t="s">
        <v>1661</v>
      </c>
      <c r="C87" s="156">
        <v>45260</v>
      </c>
      <c r="D87" s="60">
        <v>-590879</v>
      </c>
    </row>
    <row r="88" spans="2:4" hidden="1">
      <c r="B88" s="185" t="s">
        <v>1662</v>
      </c>
      <c r="C88" s="156">
        <v>45260</v>
      </c>
      <c r="D88" s="60">
        <v>-134481</v>
      </c>
    </row>
    <row r="89" spans="2:4" hidden="1">
      <c r="B89" s="185" t="s">
        <v>1687</v>
      </c>
      <c r="C89" s="156">
        <v>45291</v>
      </c>
      <c r="D89" s="60">
        <v>-766657</v>
      </c>
    </row>
    <row r="90" spans="2:4" hidden="1">
      <c r="B90" s="185" t="s">
        <v>1688</v>
      </c>
      <c r="C90" s="156">
        <v>45291</v>
      </c>
      <c r="D90" s="60">
        <v>-590879</v>
      </c>
    </row>
    <row r="91" spans="2:4" hidden="1">
      <c r="B91" s="185" t="s">
        <v>1689</v>
      </c>
      <c r="C91" s="156">
        <v>45291</v>
      </c>
      <c r="D91" s="60">
        <v>-134481</v>
      </c>
    </row>
    <row r="92" spans="2:4" hidden="1">
      <c r="B92" s="185" t="s">
        <v>1717</v>
      </c>
      <c r="C92" s="156">
        <v>45322</v>
      </c>
      <c r="D92" s="60">
        <v>-766657</v>
      </c>
    </row>
    <row r="93" spans="2:4" hidden="1">
      <c r="B93" s="185" t="s">
        <v>1718</v>
      </c>
      <c r="C93" s="156">
        <v>45322</v>
      </c>
      <c r="D93" s="60">
        <v>-590879</v>
      </c>
    </row>
    <row r="94" spans="2:4" hidden="1">
      <c r="B94" s="185" t="s">
        <v>1719</v>
      </c>
      <c r="C94" s="156">
        <v>45322</v>
      </c>
      <c r="D94" s="60">
        <v>-134481</v>
      </c>
    </row>
    <row r="95" spans="2:4" hidden="1">
      <c r="B95" s="185" t="s">
        <v>1728</v>
      </c>
      <c r="C95" s="156">
        <v>45351</v>
      </c>
      <c r="D95" s="60">
        <v>-766657</v>
      </c>
    </row>
    <row r="96" spans="2:4" hidden="1">
      <c r="B96" s="185" t="s">
        <v>1729</v>
      </c>
      <c r="C96" s="156">
        <v>45351</v>
      </c>
      <c r="D96" s="60">
        <v>-590879</v>
      </c>
    </row>
    <row r="97" spans="2:4" hidden="1">
      <c r="B97" s="185" t="s">
        <v>1730</v>
      </c>
      <c r="C97" s="156">
        <v>45351</v>
      </c>
      <c r="D97" s="60">
        <v>-134481</v>
      </c>
    </row>
    <row r="98" spans="2:4" hidden="1">
      <c r="B98" s="185" t="s">
        <v>1776</v>
      </c>
      <c r="C98" s="156">
        <v>45382</v>
      </c>
      <c r="D98" s="60">
        <v>-766657</v>
      </c>
    </row>
    <row r="99" spans="2:4" hidden="1">
      <c r="B99" s="185" t="s">
        <v>1777</v>
      </c>
      <c r="C99" s="156">
        <v>45382</v>
      </c>
      <c r="D99" s="60">
        <v>-590879</v>
      </c>
    </row>
    <row r="100" spans="2:4" hidden="1">
      <c r="B100" s="185" t="s">
        <v>1778</v>
      </c>
      <c r="C100" s="156">
        <v>45382</v>
      </c>
      <c r="D100" s="60">
        <v>-134481</v>
      </c>
    </row>
    <row r="101" spans="2:4" hidden="1">
      <c r="B101" s="185" t="s">
        <v>1898</v>
      </c>
      <c r="C101" s="156">
        <v>45412</v>
      </c>
      <c r="D101" s="60">
        <v>-766657</v>
      </c>
    </row>
    <row r="102" spans="2:4" hidden="1">
      <c r="B102" s="185" t="s">
        <v>1899</v>
      </c>
      <c r="C102" s="156">
        <v>45412</v>
      </c>
      <c r="D102" s="60">
        <v>-590879</v>
      </c>
    </row>
    <row r="103" spans="2:4" hidden="1">
      <c r="B103" s="185" t="s">
        <v>1900</v>
      </c>
      <c r="C103" s="156">
        <v>45412</v>
      </c>
      <c r="D103" s="60">
        <v>-134481</v>
      </c>
    </row>
    <row r="104" spans="2:4" hidden="1">
      <c r="B104" s="185" t="s">
        <v>1916</v>
      </c>
      <c r="C104" s="156">
        <v>45443</v>
      </c>
      <c r="D104" s="60">
        <v>-766657</v>
      </c>
    </row>
    <row r="105" spans="2:4" hidden="1">
      <c r="B105" s="185" t="s">
        <v>1917</v>
      </c>
      <c r="C105" s="156">
        <v>45443</v>
      </c>
      <c r="D105" s="60">
        <v>-590879</v>
      </c>
    </row>
    <row r="106" spans="2:4" hidden="1">
      <c r="B106" s="185" t="s">
        <v>1918</v>
      </c>
      <c r="C106" s="156">
        <v>45443</v>
      </c>
      <c r="D106" s="60">
        <v>-134481</v>
      </c>
    </row>
    <row r="107" spans="2:4" hidden="1">
      <c r="B107" s="185" t="s">
        <v>1935</v>
      </c>
      <c r="C107" s="156">
        <v>45473</v>
      </c>
      <c r="D107" s="60">
        <v>-766657</v>
      </c>
    </row>
    <row r="108" spans="2:4" hidden="1">
      <c r="B108" s="185" t="s">
        <v>1936</v>
      </c>
      <c r="C108" s="156">
        <v>45473</v>
      </c>
      <c r="D108" s="60">
        <v>-590879</v>
      </c>
    </row>
    <row r="109" spans="2:4" hidden="1">
      <c r="B109" s="185" t="s">
        <v>1937</v>
      </c>
      <c r="C109" s="156">
        <v>45473</v>
      </c>
      <c r="D109" s="60">
        <v>-134481</v>
      </c>
    </row>
    <row r="110" spans="2:4" hidden="1">
      <c r="B110" s="185" t="s">
        <v>2056</v>
      </c>
      <c r="C110" s="156">
        <v>45504</v>
      </c>
      <c r="D110" s="60">
        <v>-766657</v>
      </c>
    </row>
    <row r="111" spans="2:4" hidden="1">
      <c r="B111" s="185" t="s">
        <v>2057</v>
      </c>
      <c r="C111" s="156">
        <v>45504</v>
      </c>
      <c r="D111" s="60">
        <v>-590879</v>
      </c>
    </row>
    <row r="112" spans="2:4" hidden="1">
      <c r="B112" s="185" t="s">
        <v>2058</v>
      </c>
      <c r="C112" s="156">
        <v>45504</v>
      </c>
      <c r="D112" s="60">
        <v>-134481</v>
      </c>
    </row>
    <row r="113" spans="2:4" hidden="1">
      <c r="B113" s="185" t="s">
        <v>2061</v>
      </c>
      <c r="C113" s="156">
        <v>45535</v>
      </c>
      <c r="D113" s="60">
        <v>-766657</v>
      </c>
    </row>
    <row r="114" spans="2:4" hidden="1">
      <c r="B114" s="185" t="s">
        <v>2062</v>
      </c>
      <c r="C114" s="156">
        <v>45535</v>
      </c>
      <c r="D114" s="60">
        <v>-590879</v>
      </c>
    </row>
    <row r="115" spans="2:4" hidden="1">
      <c r="B115" s="185" t="s">
        <v>2063</v>
      </c>
      <c r="C115" s="156">
        <v>45535</v>
      </c>
      <c r="D115" s="60">
        <v>-134481</v>
      </c>
    </row>
    <row r="116" spans="2:4" hidden="1">
      <c r="B116" s="185" t="s">
        <v>2145</v>
      </c>
      <c r="C116" s="156">
        <v>45565</v>
      </c>
      <c r="D116" s="60">
        <v>-766657</v>
      </c>
    </row>
    <row r="117" spans="2:4" hidden="1">
      <c r="B117" s="185" t="s">
        <v>2146</v>
      </c>
      <c r="C117" s="156">
        <v>45565</v>
      </c>
      <c r="D117" s="60">
        <v>-590879</v>
      </c>
    </row>
    <row r="118" spans="2:4" hidden="1">
      <c r="B118" s="185" t="s">
        <v>2147</v>
      </c>
      <c r="C118" s="156">
        <v>45565</v>
      </c>
      <c r="D118" s="60">
        <v>-134481</v>
      </c>
    </row>
    <row r="119" spans="2:4" hidden="1">
      <c r="B119" s="185" t="s">
        <v>2219</v>
      </c>
      <c r="C119" s="156">
        <v>45596</v>
      </c>
      <c r="D119" s="60">
        <v>-766657</v>
      </c>
    </row>
    <row r="120" spans="2:4" hidden="1">
      <c r="B120" s="185" t="s">
        <v>2220</v>
      </c>
      <c r="C120" s="156">
        <v>45596</v>
      </c>
      <c r="D120" s="60">
        <v>-590879</v>
      </c>
    </row>
    <row r="121" spans="2:4" ht="12.8" hidden="1" customHeight="1">
      <c r="B121" s="185" t="s">
        <v>2221</v>
      </c>
      <c r="C121" s="156">
        <v>45596</v>
      </c>
      <c r="D121" s="60">
        <v>-134481</v>
      </c>
    </row>
    <row r="122" spans="2:4" hidden="1">
      <c r="B122" s="185" t="s">
        <v>2263</v>
      </c>
      <c r="C122" s="156">
        <v>45626</v>
      </c>
      <c r="D122" s="60">
        <v>-766657</v>
      </c>
    </row>
    <row r="123" spans="2:4" hidden="1">
      <c r="B123" s="185" t="s">
        <v>2264</v>
      </c>
      <c r="C123" s="156">
        <v>45626</v>
      </c>
      <c r="D123" s="60">
        <v>-590879</v>
      </c>
    </row>
    <row r="124" spans="2:4" hidden="1">
      <c r="B124" s="185" t="s">
        <v>2265</v>
      </c>
      <c r="C124" s="156">
        <v>45626</v>
      </c>
      <c r="D124" s="60">
        <v>-134481</v>
      </c>
    </row>
    <row r="125" spans="2:4" hidden="1">
      <c r="B125" s="185" t="s">
        <v>2345</v>
      </c>
      <c r="C125" s="156">
        <v>45657</v>
      </c>
      <c r="D125" s="60">
        <v>-766657</v>
      </c>
    </row>
    <row r="126" spans="2:4" ht="14.25" hidden="1" customHeight="1">
      <c r="B126" s="185" t="s">
        <v>2346</v>
      </c>
      <c r="C126" s="156">
        <v>45657</v>
      </c>
      <c r="D126" s="60">
        <v>-590879</v>
      </c>
    </row>
    <row r="127" spans="2:4" hidden="1">
      <c r="B127" s="185" t="s">
        <v>2347</v>
      </c>
      <c r="C127" s="156">
        <v>45657</v>
      </c>
      <c r="D127" s="60">
        <v>-134481</v>
      </c>
    </row>
    <row r="128" spans="2:4" hidden="1">
      <c r="B128" s="820" t="s">
        <v>178</v>
      </c>
      <c r="C128" s="820"/>
      <c r="D128" s="59">
        <f>SUM(D15:D127)</f>
        <v>42821460.950000077</v>
      </c>
    </row>
    <row r="129" spans="2:4" hidden="1"/>
    <row r="130" spans="2:4" hidden="1">
      <c r="B130" s="824" t="s">
        <v>202</v>
      </c>
      <c r="C130" s="824"/>
      <c r="D130" s="160" t="s">
        <v>157</v>
      </c>
    </row>
    <row r="131" spans="2:4">
      <c r="B131" s="310" t="s">
        <v>378</v>
      </c>
      <c r="C131" s="156">
        <v>46022</v>
      </c>
      <c r="D131" s="311">
        <v>42821461</v>
      </c>
    </row>
    <row r="132" spans="2:4">
      <c r="B132" s="185" t="s">
        <v>2420</v>
      </c>
      <c r="C132" s="156">
        <v>45688</v>
      </c>
      <c r="D132" s="60">
        <v>-766657</v>
      </c>
    </row>
    <row r="133" spans="2:4" ht="14.25" customHeight="1">
      <c r="B133" s="185" t="s">
        <v>2421</v>
      </c>
      <c r="C133" s="156">
        <v>45688</v>
      </c>
      <c r="D133" s="60">
        <v>-590879</v>
      </c>
    </row>
    <row r="134" spans="2:4">
      <c r="B134" s="185" t="s">
        <v>2422</v>
      </c>
      <c r="C134" s="156">
        <v>45688</v>
      </c>
      <c r="D134" s="60">
        <v>-134481</v>
      </c>
    </row>
    <row r="135" spans="2:4">
      <c r="B135" s="185" t="s">
        <v>2473</v>
      </c>
      <c r="C135" s="156">
        <v>45716</v>
      </c>
      <c r="D135" s="60">
        <v>-766657</v>
      </c>
    </row>
    <row r="136" spans="2:4">
      <c r="B136" s="185" t="s">
        <v>2474</v>
      </c>
      <c r="C136" s="156">
        <v>45716</v>
      </c>
      <c r="D136" s="60">
        <v>-590879</v>
      </c>
    </row>
    <row r="137" spans="2:4">
      <c r="B137" s="185" t="s">
        <v>2475</v>
      </c>
      <c r="C137" s="156">
        <v>45716</v>
      </c>
      <c r="D137" s="60">
        <v>-134481</v>
      </c>
    </row>
    <row r="138" spans="2:4">
      <c r="B138" s="185" t="s">
        <v>2548</v>
      </c>
      <c r="C138" s="156">
        <v>45747</v>
      </c>
      <c r="D138" s="60">
        <v>-766657</v>
      </c>
    </row>
    <row r="139" spans="2:4">
      <c r="B139" s="185" t="s">
        <v>2549</v>
      </c>
      <c r="C139" s="156">
        <v>45747</v>
      </c>
      <c r="D139" s="60">
        <v>-590879</v>
      </c>
    </row>
    <row r="140" spans="2:4">
      <c r="B140" s="185" t="s">
        <v>2550</v>
      </c>
      <c r="C140" s="156">
        <v>45747</v>
      </c>
      <c r="D140" s="60">
        <v>-134481</v>
      </c>
    </row>
    <row r="141" spans="2:4">
      <c r="B141" s="185" t="s">
        <v>2569</v>
      </c>
      <c r="C141" s="156">
        <v>45777</v>
      </c>
      <c r="D141" s="60">
        <v>-766657</v>
      </c>
    </row>
    <row r="142" spans="2:4">
      <c r="B142" s="185" t="s">
        <v>2570</v>
      </c>
      <c r="C142" s="156">
        <v>45777</v>
      </c>
      <c r="D142" s="60">
        <v>-590879</v>
      </c>
    </row>
    <row r="143" spans="2:4">
      <c r="B143" s="185" t="s">
        <v>2571</v>
      </c>
      <c r="C143" s="156">
        <v>45777</v>
      </c>
      <c r="D143" s="60">
        <v>-134481</v>
      </c>
    </row>
    <row r="144" spans="2:4">
      <c r="B144" s="185" t="s">
        <v>2602</v>
      </c>
      <c r="C144" s="156">
        <v>45808</v>
      </c>
      <c r="D144" s="60">
        <v>-766657</v>
      </c>
    </row>
    <row r="145" spans="2:4">
      <c r="B145" s="185" t="s">
        <v>2603</v>
      </c>
      <c r="C145" s="156">
        <v>45808</v>
      </c>
      <c r="D145" s="60">
        <v>-590879</v>
      </c>
    </row>
    <row r="146" spans="2:4">
      <c r="B146" s="185" t="s">
        <v>2604</v>
      </c>
      <c r="C146" s="156">
        <v>45808</v>
      </c>
      <c r="D146" s="60">
        <v>-134481</v>
      </c>
    </row>
    <row r="147" spans="2:4">
      <c r="B147" s="185" t="s">
        <v>2680</v>
      </c>
      <c r="C147" s="156">
        <v>45838</v>
      </c>
      <c r="D147" s="60">
        <v>-766657</v>
      </c>
    </row>
    <row r="148" spans="2:4">
      <c r="B148" s="185" t="s">
        <v>2681</v>
      </c>
      <c r="C148" s="156">
        <v>45838</v>
      </c>
      <c r="D148" s="60">
        <v>-590879</v>
      </c>
    </row>
    <row r="149" spans="2:4">
      <c r="B149" s="185" t="s">
        <v>2682</v>
      </c>
      <c r="C149" s="156">
        <v>45838</v>
      </c>
      <c r="D149" s="60">
        <v>-134481</v>
      </c>
    </row>
    <row r="150" spans="2:4">
      <c r="B150" s="185" t="s">
        <v>2744</v>
      </c>
      <c r="C150" s="156">
        <v>45869</v>
      </c>
      <c r="D150" s="60">
        <v>-766657</v>
      </c>
    </row>
    <row r="151" spans="2:4">
      <c r="B151" s="185" t="s">
        <v>2745</v>
      </c>
      <c r="C151" s="156">
        <v>45869</v>
      </c>
      <c r="D151" s="60">
        <v>-590879</v>
      </c>
    </row>
    <row r="152" spans="2:4">
      <c r="B152" s="185" t="s">
        <v>2746</v>
      </c>
      <c r="C152" s="156">
        <v>45869</v>
      </c>
      <c r="D152" s="60">
        <v>-134481</v>
      </c>
    </row>
    <row r="153" spans="2:4">
      <c r="B153" s="185" t="s">
        <v>2827</v>
      </c>
      <c r="C153" s="156">
        <v>45900</v>
      </c>
      <c r="D153" s="60">
        <v>-766657</v>
      </c>
    </row>
    <row r="154" spans="2:4">
      <c r="B154" s="185" t="s">
        <v>2828</v>
      </c>
      <c r="C154" s="156">
        <v>45900</v>
      </c>
      <c r="D154" s="60">
        <v>-590879</v>
      </c>
    </row>
    <row r="155" spans="2:4">
      <c r="B155" s="185" t="s">
        <v>2829</v>
      </c>
      <c r="C155" s="156">
        <v>45900</v>
      </c>
      <c r="D155" s="60">
        <v>-134481</v>
      </c>
    </row>
    <row r="156" spans="2:4">
      <c r="B156" s="185" t="s">
        <v>2891</v>
      </c>
      <c r="C156" s="156">
        <v>45930</v>
      </c>
      <c r="D156" s="60">
        <v>-766657</v>
      </c>
    </row>
    <row r="157" spans="2:4">
      <c r="B157" s="185" t="s">
        <v>2892</v>
      </c>
      <c r="C157" s="156">
        <v>45930</v>
      </c>
      <c r="D157" s="60">
        <v>-590879</v>
      </c>
    </row>
    <row r="158" spans="2:4">
      <c r="B158" s="185" t="s">
        <v>2893</v>
      </c>
      <c r="C158" s="156">
        <v>45930</v>
      </c>
      <c r="D158" s="60">
        <v>-134481</v>
      </c>
    </row>
    <row r="159" spans="2:4">
      <c r="B159" s="185" t="s">
        <v>2967</v>
      </c>
      <c r="C159" s="156">
        <v>45961</v>
      </c>
      <c r="D159" s="60">
        <v>-766657</v>
      </c>
    </row>
    <row r="160" spans="2:4">
      <c r="B160" s="185" t="s">
        <v>2968</v>
      </c>
      <c r="C160" s="156">
        <v>45961</v>
      </c>
      <c r="D160" s="60">
        <v>-590879</v>
      </c>
    </row>
    <row r="161" spans="2:7">
      <c r="B161" s="185" t="s">
        <v>2969</v>
      </c>
      <c r="C161" s="156">
        <v>45961</v>
      </c>
      <c r="D161" s="60">
        <v>-134481</v>
      </c>
    </row>
    <row r="162" spans="2:7">
      <c r="B162" s="185" t="s">
        <v>3010</v>
      </c>
      <c r="C162" s="156">
        <v>45991</v>
      </c>
      <c r="D162" s="60">
        <v>-766657</v>
      </c>
    </row>
    <row r="163" spans="2:7">
      <c r="B163" s="185" t="s">
        <v>3011</v>
      </c>
      <c r="C163" s="156">
        <v>45991</v>
      </c>
      <c r="D163" s="60">
        <v>-590879</v>
      </c>
    </row>
    <row r="164" spans="2:7">
      <c r="B164" s="185" t="s">
        <v>3012</v>
      </c>
      <c r="C164" s="156">
        <v>45991</v>
      </c>
      <c r="D164" s="60">
        <v>-134481</v>
      </c>
    </row>
    <row r="165" spans="2:7">
      <c r="B165" s="185" t="s">
        <v>3043</v>
      </c>
      <c r="C165" s="156">
        <v>46022</v>
      </c>
      <c r="D165" s="60">
        <v>-766657</v>
      </c>
    </row>
    <row r="166" spans="2:7">
      <c r="B166" s="185" t="s">
        <v>3044</v>
      </c>
      <c r="C166" s="156">
        <v>46022</v>
      </c>
      <c r="D166" s="60">
        <v>-590879</v>
      </c>
    </row>
    <row r="167" spans="2:7">
      <c r="B167" s="185" t="s">
        <v>3045</v>
      </c>
      <c r="C167" s="156">
        <v>46022</v>
      </c>
      <c r="D167" s="60">
        <v>-134481</v>
      </c>
    </row>
    <row r="168" spans="2:7">
      <c r="B168" s="185" t="s">
        <v>3151</v>
      </c>
      <c r="C168" s="156">
        <v>46053</v>
      </c>
      <c r="D168" s="60">
        <v>-766657</v>
      </c>
    </row>
    <row r="169" spans="2:7">
      <c r="B169" s="185" t="s">
        <v>3152</v>
      </c>
      <c r="C169" s="156">
        <v>46053</v>
      </c>
      <c r="D169" s="60">
        <v>-590879</v>
      </c>
    </row>
    <row r="170" spans="2:7">
      <c r="B170" s="185" t="s">
        <v>3244</v>
      </c>
      <c r="C170" s="156">
        <v>46053</v>
      </c>
      <c r="D170" s="60">
        <v>-3630987</v>
      </c>
      <c r="G170" s="135"/>
    </row>
    <row r="171" spans="2:7">
      <c r="B171" s="185"/>
      <c r="C171" s="156"/>
      <c r="D171" s="60"/>
      <c r="F171" s="135"/>
      <c r="G171" s="135"/>
    </row>
    <row r="172" spans="2:7">
      <c r="B172" s="185" t="s">
        <v>2575</v>
      </c>
      <c r="C172" s="156">
        <v>45987</v>
      </c>
      <c r="D172" s="60">
        <f>2407200-13600</f>
        <v>2393600</v>
      </c>
    </row>
    <row r="173" spans="2:7">
      <c r="B173" s="185" t="s">
        <v>3039</v>
      </c>
      <c r="C173" s="156">
        <v>45991</v>
      </c>
      <c r="D173" s="60">
        <v>-199467</v>
      </c>
    </row>
    <row r="174" spans="2:7">
      <c r="B174" s="185" t="s">
        <v>3046</v>
      </c>
      <c r="C174" s="156">
        <v>46022</v>
      </c>
      <c r="D174" s="60">
        <v>-199467</v>
      </c>
    </row>
    <row r="175" spans="2:7">
      <c r="B175" s="185" t="s">
        <v>3153</v>
      </c>
      <c r="C175" s="156">
        <v>46053</v>
      </c>
      <c r="D175" s="60">
        <v>-199467</v>
      </c>
    </row>
    <row r="176" spans="2:7">
      <c r="B176" s="185"/>
      <c r="C176" s="156"/>
      <c r="D176" s="60"/>
    </row>
    <row r="177" spans="2:4">
      <c r="B177" s="185" t="s">
        <v>2575</v>
      </c>
      <c r="C177" s="156">
        <v>46038</v>
      </c>
      <c r="D177" s="60">
        <v>5312409</v>
      </c>
    </row>
    <row r="178" spans="2:4">
      <c r="B178" s="185" t="s">
        <v>3039</v>
      </c>
      <c r="C178" s="156">
        <v>46053</v>
      </c>
      <c r="D178" s="60">
        <v>-442701</v>
      </c>
    </row>
    <row r="179" spans="2:4">
      <c r="B179" s="185"/>
      <c r="C179" s="156"/>
      <c r="D179" s="60"/>
    </row>
    <row r="180" spans="2:4" hidden="1">
      <c r="B180" s="185" t="s">
        <v>2743</v>
      </c>
      <c r="C180" s="156">
        <v>46053</v>
      </c>
      <c r="D180" s="60"/>
    </row>
    <row r="181" spans="2:4" ht="12.8" hidden="1" customHeight="1">
      <c r="B181" s="185" t="s">
        <v>2733</v>
      </c>
      <c r="C181" s="156">
        <v>46053</v>
      </c>
      <c r="D181" s="60"/>
    </row>
    <row r="182" spans="2:4" ht="12.8" hidden="1" customHeight="1">
      <c r="B182" s="185" t="s">
        <v>2738</v>
      </c>
      <c r="C182" s="156">
        <v>46053</v>
      </c>
      <c r="D182" s="60"/>
    </row>
    <row r="183" spans="2:4" ht="12.8" hidden="1" customHeight="1">
      <c r="B183" s="185" t="s">
        <v>2739</v>
      </c>
      <c r="C183" s="156">
        <v>46053</v>
      </c>
      <c r="D183" s="60"/>
    </row>
    <row r="184" spans="2:4" ht="12.8" hidden="1" customHeight="1">
      <c r="B184" s="185" t="s">
        <v>2740</v>
      </c>
      <c r="C184" s="156">
        <v>46053</v>
      </c>
      <c r="D184" s="60"/>
    </row>
    <row r="185" spans="2:4" ht="12.8" hidden="1" customHeight="1">
      <c r="B185" s="185" t="s">
        <v>2737</v>
      </c>
      <c r="C185" s="156">
        <v>46053</v>
      </c>
      <c r="D185" s="60"/>
    </row>
    <row r="186" spans="2:4" ht="12.8" hidden="1" customHeight="1">
      <c r="B186" s="185" t="s">
        <v>2736</v>
      </c>
      <c r="C186" s="156">
        <v>46053</v>
      </c>
      <c r="D186" s="60"/>
    </row>
    <row r="187" spans="2:4" ht="12.8" hidden="1" customHeight="1">
      <c r="B187" s="185" t="s">
        <v>2741</v>
      </c>
      <c r="C187" s="156">
        <v>46053</v>
      </c>
      <c r="D187" s="60"/>
    </row>
    <row r="188" spans="2:4" ht="12.8" hidden="1" customHeight="1">
      <c r="B188" s="185" t="s">
        <v>2742</v>
      </c>
      <c r="C188" s="156">
        <v>46053</v>
      </c>
      <c r="D188" s="60"/>
    </row>
    <row r="189" spans="2:4" ht="12.8" hidden="1" customHeight="1">
      <c r="B189" s="185" t="s">
        <v>2734</v>
      </c>
      <c r="C189" s="156">
        <v>46053</v>
      </c>
      <c r="D189" s="60"/>
    </row>
    <row r="190" spans="2:4" ht="12.8" hidden="1" customHeight="1">
      <c r="B190" s="185" t="s">
        <v>2735</v>
      </c>
      <c r="C190" s="156">
        <v>46053</v>
      </c>
      <c r="D190" s="60"/>
    </row>
    <row r="191" spans="2:4" ht="12.8" hidden="1" customHeight="1">
      <c r="B191" s="185"/>
      <c r="C191" s="156"/>
      <c r="D191" s="60"/>
    </row>
    <row r="192" spans="2:4" ht="12.8" hidden="1" customHeight="1">
      <c r="B192" s="185"/>
      <c r="C192" s="156"/>
      <c r="D192" s="60"/>
    </row>
    <row r="193" spans="2:4" ht="12.8" customHeight="1">
      <c r="B193" s="185" t="s">
        <v>2667</v>
      </c>
      <c r="C193" s="156">
        <v>45747</v>
      </c>
      <c r="D193" s="60">
        <f>9225744-542936-721849</f>
        <v>7960959</v>
      </c>
    </row>
    <row r="194" spans="2:4" ht="12.8" customHeight="1">
      <c r="B194" s="185" t="s">
        <v>2668</v>
      </c>
      <c r="C194" s="156">
        <v>45747</v>
      </c>
      <c r="D194" s="60">
        <v>-226385</v>
      </c>
    </row>
    <row r="195" spans="2:4" ht="12.8" customHeight="1">
      <c r="B195" s="185" t="s">
        <v>2672</v>
      </c>
      <c r="C195" s="156">
        <v>45747</v>
      </c>
      <c r="D195" s="60">
        <v>-47536</v>
      </c>
    </row>
    <row r="196" spans="2:4" ht="12.8" customHeight="1">
      <c r="B196" s="185" t="s">
        <v>2673</v>
      </c>
      <c r="C196" s="156">
        <v>45747</v>
      </c>
      <c r="D196" s="60">
        <v>-42728</v>
      </c>
    </row>
    <row r="197" spans="2:4" ht="12.8" customHeight="1">
      <c r="B197" s="185" t="s">
        <v>2669</v>
      </c>
      <c r="C197" s="156">
        <v>45747</v>
      </c>
      <c r="D197" s="60">
        <v>-46439</v>
      </c>
    </row>
    <row r="198" spans="2:4" ht="12.8" customHeight="1">
      <c r="B198" s="185" t="s">
        <v>2671</v>
      </c>
      <c r="C198" s="156">
        <v>45747</v>
      </c>
      <c r="D198" s="60">
        <v>-44696</v>
      </c>
    </row>
    <row r="199" spans="2:4" ht="12.8" customHeight="1">
      <c r="B199" s="185" t="s">
        <v>2670</v>
      </c>
      <c r="C199" s="156">
        <v>45747</v>
      </c>
      <c r="D199" s="60">
        <v>-40307</v>
      </c>
    </row>
    <row r="200" spans="2:4" ht="12.8" customHeight="1">
      <c r="B200" s="185" t="s">
        <v>2674</v>
      </c>
      <c r="C200" s="156">
        <v>45747</v>
      </c>
      <c r="D200" s="60">
        <v>-44599</v>
      </c>
    </row>
    <row r="201" spans="2:4" ht="12.8" customHeight="1">
      <c r="B201" s="185" t="s">
        <v>2675</v>
      </c>
      <c r="C201" s="156">
        <v>45747</v>
      </c>
      <c r="D201" s="60">
        <v>-35499</v>
      </c>
    </row>
    <row r="202" spans="2:4" ht="12.8" customHeight="1">
      <c r="B202" s="185" t="s">
        <v>2676</v>
      </c>
      <c r="C202" s="156">
        <v>45747</v>
      </c>
      <c r="D202" s="60">
        <v>-41685</v>
      </c>
    </row>
    <row r="203" spans="2:4" ht="12.8" customHeight="1">
      <c r="B203" s="185" t="s">
        <v>2677</v>
      </c>
      <c r="C203" s="156">
        <v>45747</v>
      </c>
      <c r="D203" s="60">
        <v>-46770</v>
      </c>
    </row>
    <row r="204" spans="2:4" ht="12.8" customHeight="1">
      <c r="B204" s="185" t="s">
        <v>2678</v>
      </c>
      <c r="C204" s="156">
        <v>45747</v>
      </c>
      <c r="D204" s="60">
        <v>-46770</v>
      </c>
    </row>
    <row r="205" spans="2:4">
      <c r="B205" s="185" t="s">
        <v>2683</v>
      </c>
      <c r="C205" s="156">
        <v>45777</v>
      </c>
      <c r="D205" s="60">
        <v>-226385</v>
      </c>
    </row>
    <row r="206" spans="2:4">
      <c r="B206" s="185" t="s">
        <v>2684</v>
      </c>
      <c r="C206" s="156">
        <v>45777</v>
      </c>
      <c r="D206" s="60">
        <v>-47536</v>
      </c>
    </row>
    <row r="207" spans="2:4">
      <c r="B207" s="185" t="s">
        <v>2685</v>
      </c>
      <c r="C207" s="156">
        <v>45777</v>
      </c>
      <c r="D207" s="60">
        <v>-42728</v>
      </c>
    </row>
    <row r="208" spans="2:4">
      <c r="B208" s="185" t="s">
        <v>2686</v>
      </c>
      <c r="C208" s="156">
        <v>45777</v>
      </c>
      <c r="D208" s="60">
        <v>-46439</v>
      </c>
    </row>
    <row r="209" spans="2:4">
      <c r="B209" s="185" t="s">
        <v>2687</v>
      </c>
      <c r="C209" s="156">
        <v>45777</v>
      </c>
      <c r="D209" s="60">
        <v>-44696</v>
      </c>
    </row>
    <row r="210" spans="2:4">
      <c r="B210" s="185" t="s">
        <v>2688</v>
      </c>
      <c r="C210" s="156">
        <v>45777</v>
      </c>
      <c r="D210" s="60">
        <v>-40307</v>
      </c>
    </row>
    <row r="211" spans="2:4">
      <c r="B211" s="185" t="s">
        <v>2689</v>
      </c>
      <c r="C211" s="156">
        <v>45777</v>
      </c>
      <c r="D211" s="60">
        <v>-44599</v>
      </c>
    </row>
    <row r="212" spans="2:4">
      <c r="B212" s="185" t="s">
        <v>2690</v>
      </c>
      <c r="C212" s="156">
        <v>45777</v>
      </c>
      <c r="D212" s="60">
        <v>-35499</v>
      </c>
    </row>
    <row r="213" spans="2:4">
      <c r="B213" s="185" t="s">
        <v>2691</v>
      </c>
      <c r="C213" s="156">
        <v>45777</v>
      </c>
      <c r="D213" s="60">
        <v>-41685</v>
      </c>
    </row>
    <row r="214" spans="2:4">
      <c r="B214" s="185" t="s">
        <v>2692</v>
      </c>
      <c r="C214" s="156">
        <v>45777</v>
      </c>
      <c r="D214" s="60">
        <v>-46770</v>
      </c>
    </row>
    <row r="215" spans="2:4">
      <c r="B215" s="185" t="s">
        <v>2693</v>
      </c>
      <c r="C215" s="156">
        <v>45777</v>
      </c>
      <c r="D215" s="60">
        <v>-46770</v>
      </c>
    </row>
    <row r="216" spans="2:4">
      <c r="B216" s="185" t="s">
        <v>2694</v>
      </c>
      <c r="C216" s="156">
        <v>45808</v>
      </c>
      <c r="D216" s="60">
        <v>-226385</v>
      </c>
    </row>
    <row r="217" spans="2:4">
      <c r="B217" s="185" t="s">
        <v>2695</v>
      </c>
      <c r="C217" s="156">
        <v>45808</v>
      </c>
      <c r="D217" s="60">
        <v>-47536</v>
      </c>
    </row>
    <row r="218" spans="2:4">
      <c r="B218" s="185" t="s">
        <v>2696</v>
      </c>
      <c r="C218" s="156">
        <v>45808</v>
      </c>
      <c r="D218" s="60">
        <v>-42728</v>
      </c>
    </row>
    <row r="219" spans="2:4">
      <c r="B219" s="185" t="s">
        <v>2697</v>
      </c>
      <c r="C219" s="156">
        <v>45808</v>
      </c>
      <c r="D219" s="60">
        <v>-46439</v>
      </c>
    </row>
    <row r="220" spans="2:4">
      <c r="B220" s="185" t="s">
        <v>2698</v>
      </c>
      <c r="C220" s="156">
        <v>45808</v>
      </c>
      <c r="D220" s="60">
        <v>-44696</v>
      </c>
    </row>
    <row r="221" spans="2:4">
      <c r="B221" s="185" t="s">
        <v>2699</v>
      </c>
      <c r="C221" s="156">
        <v>45808</v>
      </c>
      <c r="D221" s="60">
        <v>-40307</v>
      </c>
    </row>
    <row r="222" spans="2:4">
      <c r="B222" s="185" t="s">
        <v>2700</v>
      </c>
      <c r="C222" s="156">
        <v>45808</v>
      </c>
      <c r="D222" s="60">
        <v>-44599</v>
      </c>
    </row>
    <row r="223" spans="2:4">
      <c r="B223" s="185" t="s">
        <v>2701</v>
      </c>
      <c r="C223" s="156">
        <v>45808</v>
      </c>
      <c r="D223" s="60">
        <v>-35499</v>
      </c>
    </row>
    <row r="224" spans="2:4">
      <c r="B224" s="185" t="s">
        <v>2702</v>
      </c>
      <c r="C224" s="156">
        <v>45808</v>
      </c>
      <c r="D224" s="60">
        <v>-41685</v>
      </c>
    </row>
    <row r="225" spans="2:4">
      <c r="B225" s="185" t="s">
        <v>2703</v>
      </c>
      <c r="C225" s="156">
        <v>45808</v>
      </c>
      <c r="D225" s="60">
        <v>-46770</v>
      </c>
    </row>
    <row r="226" spans="2:4">
      <c r="B226" s="185" t="s">
        <v>2704</v>
      </c>
      <c r="C226" s="156">
        <v>45808</v>
      </c>
      <c r="D226" s="60">
        <v>-46770</v>
      </c>
    </row>
    <row r="227" spans="2:4">
      <c r="B227" s="185" t="s">
        <v>2705</v>
      </c>
      <c r="C227" s="156">
        <v>45838</v>
      </c>
      <c r="D227" s="60">
        <v>-226385</v>
      </c>
    </row>
    <row r="228" spans="2:4">
      <c r="B228" s="185" t="s">
        <v>2706</v>
      </c>
      <c r="C228" s="156">
        <v>45838</v>
      </c>
      <c r="D228" s="60">
        <v>-47536</v>
      </c>
    </row>
    <row r="229" spans="2:4">
      <c r="B229" s="185" t="s">
        <v>2707</v>
      </c>
      <c r="C229" s="156">
        <v>45838</v>
      </c>
      <c r="D229" s="60">
        <v>-42728</v>
      </c>
    </row>
    <row r="230" spans="2:4">
      <c r="B230" s="185" t="s">
        <v>2708</v>
      </c>
      <c r="C230" s="156">
        <v>45838</v>
      </c>
      <c r="D230" s="60">
        <v>-46439</v>
      </c>
    </row>
    <row r="231" spans="2:4">
      <c r="B231" s="185" t="s">
        <v>2709</v>
      </c>
      <c r="C231" s="156">
        <v>45838</v>
      </c>
      <c r="D231" s="60">
        <v>-44696</v>
      </c>
    </row>
    <row r="232" spans="2:4">
      <c r="B232" s="185" t="s">
        <v>2710</v>
      </c>
      <c r="C232" s="156">
        <v>45838</v>
      </c>
      <c r="D232" s="60">
        <v>-40307</v>
      </c>
    </row>
    <row r="233" spans="2:4">
      <c r="B233" s="185" t="s">
        <v>2711</v>
      </c>
      <c r="C233" s="156">
        <v>45838</v>
      </c>
      <c r="D233" s="60">
        <v>-44599</v>
      </c>
    </row>
    <row r="234" spans="2:4">
      <c r="B234" s="185" t="s">
        <v>2712</v>
      </c>
      <c r="C234" s="156">
        <v>45838</v>
      </c>
      <c r="D234" s="60">
        <v>-35499</v>
      </c>
    </row>
    <row r="235" spans="2:4">
      <c r="B235" s="185" t="s">
        <v>2713</v>
      </c>
      <c r="C235" s="156">
        <v>45838</v>
      </c>
      <c r="D235" s="60">
        <v>-41685</v>
      </c>
    </row>
    <row r="236" spans="2:4">
      <c r="B236" s="185" t="s">
        <v>2714</v>
      </c>
      <c r="C236" s="156">
        <v>45838</v>
      </c>
      <c r="D236" s="60">
        <v>-46770</v>
      </c>
    </row>
    <row r="237" spans="2:4">
      <c r="B237" s="185" t="s">
        <v>2715</v>
      </c>
      <c r="C237" s="156">
        <v>45838</v>
      </c>
      <c r="D237" s="60">
        <v>-46770</v>
      </c>
    </row>
    <row r="238" spans="2:4">
      <c r="B238" s="185" t="s">
        <v>2747</v>
      </c>
      <c r="C238" s="156">
        <v>45869</v>
      </c>
      <c r="D238" s="60">
        <v>-226385</v>
      </c>
    </row>
    <row r="239" spans="2:4">
      <c r="B239" s="185" t="s">
        <v>2748</v>
      </c>
      <c r="C239" s="156">
        <v>45869</v>
      </c>
      <c r="D239" s="60">
        <v>-47536</v>
      </c>
    </row>
    <row r="240" spans="2:4">
      <c r="B240" s="185" t="s">
        <v>2749</v>
      </c>
      <c r="C240" s="156">
        <v>45869</v>
      </c>
      <c r="D240" s="60">
        <v>-42728</v>
      </c>
    </row>
    <row r="241" spans="2:4">
      <c r="B241" s="185" t="s">
        <v>2750</v>
      </c>
      <c r="C241" s="156">
        <v>45869</v>
      </c>
      <c r="D241" s="60">
        <v>-46439</v>
      </c>
    </row>
    <row r="242" spans="2:4">
      <c r="B242" s="185" t="s">
        <v>2751</v>
      </c>
      <c r="C242" s="156">
        <v>45869</v>
      </c>
      <c r="D242" s="60">
        <v>-44696</v>
      </c>
    </row>
    <row r="243" spans="2:4">
      <c r="B243" s="185" t="s">
        <v>2752</v>
      </c>
      <c r="C243" s="156">
        <v>45869</v>
      </c>
      <c r="D243" s="60">
        <v>-40307</v>
      </c>
    </row>
    <row r="244" spans="2:4">
      <c r="B244" s="185" t="s">
        <v>2753</v>
      </c>
      <c r="C244" s="156">
        <v>45869</v>
      </c>
      <c r="D244" s="60">
        <v>-44599</v>
      </c>
    </row>
    <row r="245" spans="2:4">
      <c r="B245" s="185" t="s">
        <v>2754</v>
      </c>
      <c r="C245" s="156">
        <v>45869</v>
      </c>
      <c r="D245" s="60">
        <v>-35499</v>
      </c>
    </row>
    <row r="246" spans="2:4">
      <c r="B246" s="185" t="s">
        <v>2755</v>
      </c>
      <c r="C246" s="156">
        <v>45869</v>
      </c>
      <c r="D246" s="60">
        <v>-41685</v>
      </c>
    </row>
    <row r="247" spans="2:4">
      <c r="B247" s="185" t="s">
        <v>2756</v>
      </c>
      <c r="C247" s="156">
        <v>45869</v>
      </c>
      <c r="D247" s="60">
        <v>-46770</v>
      </c>
    </row>
    <row r="248" spans="2:4">
      <c r="B248" s="185" t="s">
        <v>2757</v>
      </c>
      <c r="C248" s="156">
        <v>45869</v>
      </c>
      <c r="D248" s="60">
        <v>-46770</v>
      </c>
    </row>
    <row r="249" spans="2:4">
      <c r="B249" s="185" t="s">
        <v>2830</v>
      </c>
      <c r="C249" s="156">
        <v>45900</v>
      </c>
      <c r="D249" s="60">
        <v>-226385</v>
      </c>
    </row>
    <row r="250" spans="2:4">
      <c r="B250" s="185" t="s">
        <v>2831</v>
      </c>
      <c r="C250" s="156">
        <v>45900</v>
      </c>
      <c r="D250" s="60">
        <v>-47536</v>
      </c>
    </row>
    <row r="251" spans="2:4">
      <c r="B251" s="185" t="s">
        <v>2832</v>
      </c>
      <c r="C251" s="156">
        <v>45900</v>
      </c>
      <c r="D251" s="60">
        <v>-42728</v>
      </c>
    </row>
    <row r="252" spans="2:4">
      <c r="B252" s="185" t="s">
        <v>2833</v>
      </c>
      <c r="C252" s="156">
        <v>45900</v>
      </c>
      <c r="D252" s="60">
        <v>-46439</v>
      </c>
    </row>
    <row r="253" spans="2:4">
      <c r="B253" s="185" t="s">
        <v>2834</v>
      </c>
      <c r="C253" s="156">
        <v>45900</v>
      </c>
      <c r="D253" s="60">
        <v>-44696</v>
      </c>
    </row>
    <row r="254" spans="2:4">
      <c r="B254" s="185" t="s">
        <v>2835</v>
      </c>
      <c r="C254" s="156">
        <v>45900</v>
      </c>
      <c r="D254" s="60">
        <v>-40307</v>
      </c>
    </row>
    <row r="255" spans="2:4">
      <c r="B255" s="185" t="s">
        <v>2836</v>
      </c>
      <c r="C255" s="156">
        <v>45900</v>
      </c>
      <c r="D255" s="60">
        <v>-44599</v>
      </c>
    </row>
    <row r="256" spans="2:4">
      <c r="B256" s="185" t="s">
        <v>2837</v>
      </c>
      <c r="C256" s="156">
        <v>45900</v>
      </c>
      <c r="D256" s="60">
        <v>-35499</v>
      </c>
    </row>
    <row r="257" spans="2:4">
      <c r="B257" s="185" t="s">
        <v>2838</v>
      </c>
      <c r="C257" s="156">
        <v>45900</v>
      </c>
      <c r="D257" s="60">
        <v>-41685</v>
      </c>
    </row>
    <row r="258" spans="2:4">
      <c r="B258" s="185" t="s">
        <v>2839</v>
      </c>
      <c r="C258" s="156">
        <v>45900</v>
      </c>
      <c r="D258" s="60">
        <v>-46770</v>
      </c>
    </row>
    <row r="259" spans="2:4">
      <c r="B259" s="185" t="s">
        <v>2840</v>
      </c>
      <c r="C259" s="156">
        <v>45900</v>
      </c>
      <c r="D259" s="60">
        <v>-46770</v>
      </c>
    </row>
    <row r="260" spans="2:4">
      <c r="B260" s="185" t="s">
        <v>2894</v>
      </c>
      <c r="C260" s="156">
        <v>45930</v>
      </c>
      <c r="D260" s="60">
        <v>-226385</v>
      </c>
    </row>
    <row r="261" spans="2:4">
      <c r="B261" s="185" t="s">
        <v>2895</v>
      </c>
      <c r="C261" s="156">
        <v>45930</v>
      </c>
      <c r="D261" s="60">
        <v>-47536</v>
      </c>
    </row>
    <row r="262" spans="2:4">
      <c r="B262" s="185" t="s">
        <v>2896</v>
      </c>
      <c r="C262" s="156">
        <v>45930</v>
      </c>
      <c r="D262" s="60">
        <v>-42728</v>
      </c>
    </row>
    <row r="263" spans="2:4">
      <c r="B263" s="185" t="s">
        <v>2897</v>
      </c>
      <c r="C263" s="156">
        <v>45930</v>
      </c>
      <c r="D263" s="60">
        <v>-46439</v>
      </c>
    </row>
    <row r="264" spans="2:4">
      <c r="B264" s="185" t="s">
        <v>2898</v>
      </c>
      <c r="C264" s="156">
        <v>45930</v>
      </c>
      <c r="D264" s="60">
        <v>-44696</v>
      </c>
    </row>
    <row r="265" spans="2:4">
      <c r="B265" s="185" t="s">
        <v>2899</v>
      </c>
      <c r="C265" s="156">
        <v>45930</v>
      </c>
      <c r="D265" s="60">
        <v>-40307</v>
      </c>
    </row>
    <row r="266" spans="2:4">
      <c r="B266" s="185" t="s">
        <v>2900</v>
      </c>
      <c r="C266" s="156">
        <v>45930</v>
      </c>
      <c r="D266" s="60">
        <v>-44599</v>
      </c>
    </row>
    <row r="267" spans="2:4">
      <c r="B267" s="185" t="s">
        <v>2901</v>
      </c>
      <c r="C267" s="156">
        <v>45930</v>
      </c>
      <c r="D267" s="60">
        <v>-35499</v>
      </c>
    </row>
    <row r="268" spans="2:4">
      <c r="B268" s="185" t="s">
        <v>2902</v>
      </c>
      <c r="C268" s="156">
        <v>45930</v>
      </c>
      <c r="D268" s="60">
        <v>-41685</v>
      </c>
    </row>
    <row r="269" spans="2:4">
      <c r="B269" s="185" t="s">
        <v>2903</v>
      </c>
      <c r="C269" s="156">
        <v>45930</v>
      </c>
      <c r="D269" s="60">
        <v>-46770</v>
      </c>
    </row>
    <row r="270" spans="2:4">
      <c r="B270" s="185" t="s">
        <v>2904</v>
      </c>
      <c r="C270" s="156">
        <v>45930</v>
      </c>
      <c r="D270" s="60">
        <v>-46770</v>
      </c>
    </row>
    <row r="271" spans="2:4">
      <c r="B271" s="185" t="s">
        <v>2970</v>
      </c>
      <c r="C271" s="156">
        <v>45961</v>
      </c>
      <c r="D271" s="60">
        <v>-226385</v>
      </c>
    </row>
    <row r="272" spans="2:4">
      <c r="B272" s="185" t="s">
        <v>2971</v>
      </c>
      <c r="C272" s="156">
        <v>45961</v>
      </c>
      <c r="D272" s="60">
        <v>-47536</v>
      </c>
    </row>
    <row r="273" spans="2:4">
      <c r="B273" s="185" t="s">
        <v>2972</v>
      </c>
      <c r="C273" s="156">
        <v>45961</v>
      </c>
      <c r="D273" s="60">
        <v>-42728</v>
      </c>
    </row>
    <row r="274" spans="2:4">
      <c r="B274" s="185" t="s">
        <v>2973</v>
      </c>
      <c r="C274" s="156">
        <v>45961</v>
      </c>
      <c r="D274" s="60">
        <v>-46439</v>
      </c>
    </row>
    <row r="275" spans="2:4">
      <c r="B275" s="185" t="s">
        <v>2974</v>
      </c>
      <c r="C275" s="156">
        <v>45961</v>
      </c>
      <c r="D275" s="60">
        <v>-44696</v>
      </c>
    </row>
    <row r="276" spans="2:4">
      <c r="B276" s="185" t="s">
        <v>2975</v>
      </c>
      <c r="C276" s="156">
        <v>45961</v>
      </c>
      <c r="D276" s="60">
        <v>-40307</v>
      </c>
    </row>
    <row r="277" spans="2:4">
      <c r="B277" s="185" t="s">
        <v>2976</v>
      </c>
      <c r="C277" s="156">
        <v>45961</v>
      </c>
      <c r="D277" s="60">
        <v>-44599</v>
      </c>
    </row>
    <row r="278" spans="2:4">
      <c r="B278" s="185" t="s">
        <v>2977</v>
      </c>
      <c r="C278" s="156">
        <v>45961</v>
      </c>
      <c r="D278" s="60">
        <v>-35499</v>
      </c>
    </row>
    <row r="279" spans="2:4">
      <c r="B279" s="185" t="s">
        <v>2978</v>
      </c>
      <c r="C279" s="156">
        <v>45961</v>
      </c>
      <c r="D279" s="60">
        <v>-41685</v>
      </c>
    </row>
    <row r="280" spans="2:4">
      <c r="B280" s="185" t="s">
        <v>2979</v>
      </c>
      <c r="C280" s="156">
        <v>45961</v>
      </c>
      <c r="D280" s="60">
        <v>-46770</v>
      </c>
    </row>
    <row r="281" spans="2:4">
      <c r="B281" s="185" t="s">
        <v>2980</v>
      </c>
      <c r="C281" s="156">
        <v>45961</v>
      </c>
      <c r="D281" s="60">
        <v>-46770</v>
      </c>
    </row>
    <row r="282" spans="2:4">
      <c r="B282" s="185" t="s">
        <v>3013</v>
      </c>
      <c r="C282" s="156">
        <v>45991</v>
      </c>
      <c r="D282" s="60">
        <v>-226385</v>
      </c>
    </row>
    <row r="283" spans="2:4">
      <c r="B283" s="185" t="s">
        <v>3014</v>
      </c>
      <c r="C283" s="156">
        <v>45991</v>
      </c>
      <c r="D283" s="60">
        <v>-47536</v>
      </c>
    </row>
    <row r="284" spans="2:4">
      <c r="B284" s="185" t="s">
        <v>3015</v>
      </c>
      <c r="C284" s="156">
        <v>45991</v>
      </c>
      <c r="D284" s="60">
        <v>-42728</v>
      </c>
    </row>
    <row r="285" spans="2:4">
      <c r="B285" s="185" t="s">
        <v>3016</v>
      </c>
      <c r="C285" s="156">
        <v>45991</v>
      </c>
      <c r="D285" s="60">
        <v>-46439</v>
      </c>
    </row>
    <row r="286" spans="2:4">
      <c r="B286" s="185" t="s">
        <v>3017</v>
      </c>
      <c r="C286" s="156">
        <v>45991</v>
      </c>
      <c r="D286" s="60">
        <v>-44696</v>
      </c>
    </row>
    <row r="287" spans="2:4">
      <c r="B287" s="185" t="s">
        <v>3018</v>
      </c>
      <c r="C287" s="156">
        <v>45991</v>
      </c>
      <c r="D287" s="60">
        <v>-40307</v>
      </c>
    </row>
    <row r="288" spans="2:4">
      <c r="B288" s="185" t="s">
        <v>3019</v>
      </c>
      <c r="C288" s="156">
        <v>45991</v>
      </c>
      <c r="D288" s="60">
        <v>-44599</v>
      </c>
    </row>
    <row r="289" spans="2:4">
      <c r="B289" s="185" t="s">
        <v>3020</v>
      </c>
      <c r="C289" s="156">
        <v>45991</v>
      </c>
      <c r="D289" s="60">
        <v>-35499</v>
      </c>
    </row>
    <row r="290" spans="2:4">
      <c r="B290" s="185" t="s">
        <v>3021</v>
      </c>
      <c r="C290" s="156">
        <v>45991</v>
      </c>
      <c r="D290" s="60">
        <v>-41685</v>
      </c>
    </row>
    <row r="291" spans="2:4">
      <c r="B291" s="185" t="s">
        <v>3022</v>
      </c>
      <c r="C291" s="156">
        <v>45991</v>
      </c>
      <c r="D291" s="60">
        <v>-46770</v>
      </c>
    </row>
    <row r="292" spans="2:4">
      <c r="B292" s="185" t="s">
        <v>3023</v>
      </c>
      <c r="C292" s="156">
        <v>45991</v>
      </c>
      <c r="D292" s="60">
        <v>-46770</v>
      </c>
    </row>
    <row r="293" spans="2:4">
      <c r="B293" s="185" t="s">
        <v>3047</v>
      </c>
      <c r="C293" s="156">
        <v>46022</v>
      </c>
      <c r="D293" s="60">
        <v>-226385</v>
      </c>
    </row>
    <row r="294" spans="2:4">
      <c r="B294" s="185" t="s">
        <v>3048</v>
      </c>
      <c r="C294" s="156">
        <v>46022</v>
      </c>
      <c r="D294" s="60">
        <v>-47536</v>
      </c>
    </row>
    <row r="295" spans="2:4">
      <c r="B295" s="185" t="s">
        <v>3049</v>
      </c>
      <c r="C295" s="156">
        <v>46022</v>
      </c>
      <c r="D295" s="60">
        <v>-42728</v>
      </c>
    </row>
    <row r="296" spans="2:4">
      <c r="B296" s="185" t="s">
        <v>3050</v>
      </c>
      <c r="C296" s="156">
        <v>46022</v>
      </c>
      <c r="D296" s="60">
        <v>-46439</v>
      </c>
    </row>
    <row r="297" spans="2:4">
      <c r="B297" s="185" t="s">
        <v>3051</v>
      </c>
      <c r="C297" s="156">
        <v>46022</v>
      </c>
      <c r="D297" s="60">
        <v>-44696</v>
      </c>
    </row>
    <row r="298" spans="2:4">
      <c r="B298" s="185" t="s">
        <v>3052</v>
      </c>
      <c r="C298" s="156">
        <v>46022</v>
      </c>
      <c r="D298" s="60">
        <v>-40307</v>
      </c>
    </row>
    <row r="299" spans="2:4">
      <c r="B299" s="185" t="s">
        <v>3053</v>
      </c>
      <c r="C299" s="156">
        <v>46022</v>
      </c>
      <c r="D299" s="60">
        <v>-44599</v>
      </c>
    </row>
    <row r="300" spans="2:4">
      <c r="B300" s="185" t="s">
        <v>3054</v>
      </c>
      <c r="C300" s="156">
        <v>46022</v>
      </c>
      <c r="D300" s="60">
        <v>-35499</v>
      </c>
    </row>
    <row r="301" spans="2:4">
      <c r="B301" s="185" t="s">
        <v>3055</v>
      </c>
      <c r="C301" s="156">
        <v>46022</v>
      </c>
      <c r="D301" s="60">
        <v>-41685</v>
      </c>
    </row>
    <row r="302" spans="2:4">
      <c r="B302" s="185" t="s">
        <v>3056</v>
      </c>
      <c r="C302" s="156">
        <v>46022</v>
      </c>
      <c r="D302" s="60">
        <v>-46770</v>
      </c>
    </row>
    <row r="303" spans="2:4">
      <c r="B303" s="185" t="s">
        <v>3057</v>
      </c>
      <c r="C303" s="156">
        <v>46022</v>
      </c>
      <c r="D303" s="60">
        <v>-46770</v>
      </c>
    </row>
    <row r="304" spans="2:4">
      <c r="B304" s="185" t="s">
        <v>3154</v>
      </c>
      <c r="C304" s="156">
        <v>46053</v>
      </c>
      <c r="D304" s="60">
        <v>-226385</v>
      </c>
    </row>
    <row r="305" spans="2:6">
      <c r="B305" s="185" t="s">
        <v>3155</v>
      </c>
      <c r="C305" s="156">
        <v>46053</v>
      </c>
      <c r="D305" s="60">
        <v>-47536</v>
      </c>
    </row>
    <row r="306" spans="2:6">
      <c r="B306" s="185" t="s">
        <v>3240</v>
      </c>
      <c r="C306" s="156">
        <v>46053</v>
      </c>
      <c r="D306" s="60">
        <v>-42728</v>
      </c>
    </row>
    <row r="307" spans="2:6">
      <c r="B307" s="185" t="s">
        <v>3241</v>
      </c>
      <c r="C307" s="156">
        <v>46053</v>
      </c>
      <c r="D307" s="60">
        <v>-42728</v>
      </c>
    </row>
    <row r="308" spans="2:6">
      <c r="B308" s="185" t="s">
        <v>3156</v>
      </c>
      <c r="C308" s="156">
        <v>46053</v>
      </c>
      <c r="D308" s="60">
        <v>-46439</v>
      </c>
    </row>
    <row r="309" spans="2:6">
      <c r="B309" s="185" t="s">
        <v>3157</v>
      </c>
      <c r="C309" s="156">
        <v>46053</v>
      </c>
      <c r="D309" s="60">
        <v>-44696</v>
      </c>
    </row>
    <row r="310" spans="2:6">
      <c r="B310" s="185" t="s">
        <v>3158</v>
      </c>
      <c r="C310" s="156">
        <v>46053</v>
      </c>
      <c r="D310" s="60">
        <v>-40307</v>
      </c>
    </row>
    <row r="311" spans="2:6">
      <c r="B311" s="185" t="s">
        <v>3159</v>
      </c>
      <c r="C311" s="156">
        <v>46053</v>
      </c>
      <c r="D311" s="60">
        <v>-44599</v>
      </c>
    </row>
    <row r="312" spans="2:6">
      <c r="B312" s="185" t="s">
        <v>3242</v>
      </c>
      <c r="C312" s="156">
        <v>46053</v>
      </c>
      <c r="D312" s="60">
        <v>-35499</v>
      </c>
    </row>
    <row r="313" spans="2:6">
      <c r="B313" s="185" t="s">
        <v>3243</v>
      </c>
      <c r="C313" s="156">
        <v>46053</v>
      </c>
      <c r="D313" s="60">
        <v>-35499</v>
      </c>
    </row>
    <row r="314" spans="2:6">
      <c r="B314" s="185" t="s">
        <v>3160</v>
      </c>
      <c r="C314" s="156">
        <v>46053</v>
      </c>
      <c r="D314" s="60">
        <v>-41685</v>
      </c>
    </row>
    <row r="315" spans="2:6">
      <c r="B315" s="185" t="s">
        <v>3161</v>
      </c>
      <c r="C315" s="156">
        <v>46053</v>
      </c>
      <c r="D315" s="60">
        <v>-46770</v>
      </c>
    </row>
    <row r="316" spans="2:6">
      <c r="B316" s="185" t="s">
        <v>3162</v>
      </c>
      <c r="C316" s="156">
        <v>46053</v>
      </c>
      <c r="D316" s="60">
        <v>-46770</v>
      </c>
    </row>
    <row r="317" spans="2:6">
      <c r="B317" s="185"/>
      <c r="C317" s="156"/>
      <c r="D317" s="60"/>
      <c r="F317" s="438"/>
    </row>
    <row r="318" spans="2:6">
      <c r="B318" s="185" t="s">
        <v>3171</v>
      </c>
      <c r="C318" s="156">
        <v>46053</v>
      </c>
      <c r="D318" s="633">
        <v>5035534</v>
      </c>
      <c r="F318" s="642">
        <f>D318/6</f>
        <v>839255.66666666663</v>
      </c>
    </row>
    <row r="319" spans="2:6">
      <c r="B319" s="185" t="s">
        <v>2825</v>
      </c>
      <c r="C319" s="156">
        <v>46053</v>
      </c>
      <c r="D319" s="60">
        <v>-68062</v>
      </c>
      <c r="F319" s="642">
        <f>699629</f>
        <v>699629</v>
      </c>
    </row>
    <row r="320" spans="2:6">
      <c r="B320" s="185" t="s">
        <v>2826</v>
      </c>
      <c r="C320" s="156">
        <v>46053</v>
      </c>
      <c r="D320" s="60">
        <v>-9564</v>
      </c>
      <c r="F320" s="642">
        <v>419905</v>
      </c>
    </row>
    <row r="321" spans="2:7">
      <c r="B321" s="185" t="s">
        <v>2816</v>
      </c>
      <c r="C321" s="156">
        <v>46053</v>
      </c>
      <c r="D321" s="60">
        <v>-11619</v>
      </c>
      <c r="F321" s="642">
        <v>67970</v>
      </c>
    </row>
    <row r="322" spans="2:7">
      <c r="B322" s="185" t="s">
        <v>2817</v>
      </c>
      <c r="C322" s="156">
        <v>46053</v>
      </c>
      <c r="D322" s="60">
        <v>-44873</v>
      </c>
      <c r="F322" s="642">
        <v>269237</v>
      </c>
    </row>
    <row r="323" spans="2:7">
      <c r="B323" s="185" t="s">
        <v>2818</v>
      </c>
      <c r="C323" s="156">
        <v>46053</v>
      </c>
      <c r="D323" s="60">
        <v>-55219</v>
      </c>
      <c r="F323" s="642">
        <v>61463</v>
      </c>
    </row>
    <row r="324" spans="2:7">
      <c r="B324" s="185" t="s">
        <v>2819</v>
      </c>
      <c r="C324" s="156">
        <v>46053</v>
      </c>
      <c r="D324" s="60">
        <v>-11619</v>
      </c>
      <c r="F324" s="642">
        <v>67970</v>
      </c>
    </row>
    <row r="325" spans="2:7">
      <c r="B325" s="185" t="s">
        <v>2821</v>
      </c>
      <c r="C325" s="156">
        <v>46053</v>
      </c>
      <c r="D325" s="60">
        <v>-6962</v>
      </c>
      <c r="F325" s="490">
        <v>40459</v>
      </c>
      <c r="G325" s="135"/>
    </row>
    <row r="326" spans="2:7">
      <c r="B326" s="185" t="s">
        <v>2820</v>
      </c>
      <c r="C326" s="156">
        <v>46053</v>
      </c>
      <c r="D326" s="60">
        <v>-536239</v>
      </c>
      <c r="F326" s="642">
        <v>68923</v>
      </c>
    </row>
    <row r="327" spans="2:7">
      <c r="B327" s="185" t="s">
        <v>2822</v>
      </c>
      <c r="C327" s="156">
        <v>46053</v>
      </c>
      <c r="D327" s="60">
        <v>-4258</v>
      </c>
      <c r="F327" s="438">
        <v>224001</v>
      </c>
    </row>
    <row r="328" spans="2:7">
      <c r="B328" s="185" t="s">
        <v>2823</v>
      </c>
      <c r="C328" s="156">
        <v>46053</v>
      </c>
      <c r="D328" s="60">
        <v>-37862</v>
      </c>
      <c r="F328" s="438">
        <v>225486</v>
      </c>
    </row>
    <row r="329" spans="2:7">
      <c r="B329" s="185" t="s">
        <v>2824</v>
      </c>
      <c r="C329" s="156">
        <v>46053</v>
      </c>
      <c r="D329" s="60">
        <v>-52980</v>
      </c>
      <c r="F329" s="438">
        <v>294274</v>
      </c>
    </row>
    <row r="330" spans="2:7">
      <c r="B330" s="185"/>
      <c r="C330" s="156"/>
      <c r="D330" s="60"/>
    </row>
    <row r="331" spans="2:7">
      <c r="B331" s="820" t="s">
        <v>178</v>
      </c>
      <c r="C331" s="820"/>
      <c r="D331" s="59">
        <f>SUM(D131:D330)-13</f>
        <v>31375083</v>
      </c>
      <c r="E331" s="719" t="s">
        <v>2430</v>
      </c>
    </row>
    <row r="332" spans="2:7">
      <c r="E332" s="438"/>
    </row>
    <row r="333" spans="2:7" ht="15.75" customHeight="1">
      <c r="B333" s="130" t="s">
        <v>200</v>
      </c>
      <c r="C333" s="130"/>
      <c r="D333" s="131"/>
      <c r="E333" s="438"/>
    </row>
    <row r="334" spans="2:7" ht="15.75" customHeight="1">
      <c r="B334" s="822" t="s">
        <v>202</v>
      </c>
      <c r="C334" s="823"/>
      <c r="D334" s="132" t="s">
        <v>157</v>
      </c>
      <c r="E334" s="438"/>
    </row>
    <row r="335" spans="2:7" ht="15.75" customHeight="1">
      <c r="B335" s="166" t="s">
        <v>196</v>
      </c>
      <c r="C335" s="229">
        <v>44712</v>
      </c>
      <c r="D335" s="60">
        <v>866865</v>
      </c>
      <c r="E335" s="438"/>
    </row>
    <row r="336" spans="2:7" ht="15.75" customHeight="1">
      <c r="B336" s="166" t="s">
        <v>196</v>
      </c>
      <c r="C336" s="229">
        <v>44615</v>
      </c>
      <c r="D336" s="60">
        <v>283005</v>
      </c>
      <c r="E336" s="438"/>
    </row>
    <row r="337" spans="2:14" ht="15.75" customHeight="1">
      <c r="B337" s="166" t="s">
        <v>196</v>
      </c>
      <c r="C337" s="229">
        <v>44712</v>
      </c>
      <c r="D337" s="60">
        <v>465526</v>
      </c>
      <c r="E337" s="438"/>
    </row>
    <row r="338" spans="2:14" ht="15.75" customHeight="1">
      <c r="B338" s="166" t="s">
        <v>196</v>
      </c>
      <c r="C338" s="229">
        <v>44712</v>
      </c>
      <c r="D338" s="60">
        <v>596804</v>
      </c>
      <c r="E338" s="438"/>
      <c r="F338" s="589"/>
    </row>
    <row r="339" spans="2:14" ht="15.75" customHeight="1">
      <c r="B339" s="133" t="s">
        <v>2357</v>
      </c>
      <c r="C339" s="229">
        <v>44900</v>
      </c>
      <c r="D339" s="60">
        <v>13864950</v>
      </c>
      <c r="E339" s="438"/>
      <c r="F339" s="589"/>
    </row>
    <row r="340" spans="2:14" ht="15.75" customHeight="1">
      <c r="B340" s="133" t="s">
        <v>2358</v>
      </c>
      <c r="C340" s="229">
        <v>44932</v>
      </c>
      <c r="D340" s="60">
        <v>4469802</v>
      </c>
      <c r="E340" s="438"/>
      <c r="F340" s="589"/>
      <c r="L340" s="438">
        <v>2810003</v>
      </c>
      <c r="M340" s="438">
        <v>452.56</v>
      </c>
      <c r="N340" s="438">
        <v>29089.099787873431</v>
      </c>
    </row>
    <row r="341" spans="2:14" ht="15.75" customHeight="1">
      <c r="B341" s="133" t="s">
        <v>1726</v>
      </c>
      <c r="C341" s="229">
        <v>45282</v>
      </c>
      <c r="D341" s="60">
        <v>16615709</v>
      </c>
      <c r="E341" s="490"/>
      <c r="F341" s="589"/>
      <c r="K341" s="438"/>
      <c r="L341" s="438">
        <v>3492324</v>
      </c>
      <c r="M341" s="438">
        <v>407.54</v>
      </c>
      <c r="N341" s="438">
        <v>29089.100456396918</v>
      </c>
    </row>
    <row r="342" spans="2:14" ht="15.75" customHeight="1">
      <c r="B342" s="133" t="s">
        <v>1727</v>
      </c>
      <c r="C342" s="229">
        <v>45282</v>
      </c>
      <c r="D342" s="60">
        <v>14962803</v>
      </c>
      <c r="E342" s="490"/>
      <c r="F342" s="589"/>
      <c r="K342" s="438"/>
      <c r="L342" s="438">
        <v>600600</v>
      </c>
      <c r="M342" s="438">
        <v>364.14</v>
      </c>
      <c r="N342" s="438">
        <v>29089.100346020761</v>
      </c>
    </row>
    <row r="343" spans="2:14" ht="15.75" customHeight="1">
      <c r="B343" s="133" t="s">
        <v>2356</v>
      </c>
      <c r="C343" s="229">
        <v>45377</v>
      </c>
      <c r="D343" s="60">
        <v>5202908</v>
      </c>
      <c r="E343" s="490"/>
      <c r="F343" s="589"/>
      <c r="H343" s="352"/>
      <c r="I343" s="352"/>
      <c r="J343" s="306"/>
      <c r="K343" s="438"/>
      <c r="L343" s="438"/>
      <c r="M343" s="438"/>
      <c r="N343" s="438"/>
    </row>
    <row r="344" spans="2:14" ht="15.75" customHeight="1">
      <c r="B344" s="820" t="s">
        <v>178</v>
      </c>
      <c r="C344" s="820"/>
      <c r="D344" s="59">
        <f>SUM(D335:D343)</f>
        <v>57328372</v>
      </c>
      <c r="E344" s="719" t="s">
        <v>2430</v>
      </c>
      <c r="F344" s="121"/>
      <c r="H344" s="352"/>
      <c r="I344" s="352"/>
      <c r="J344" s="306"/>
      <c r="K344" s="438"/>
      <c r="L344" s="438">
        <v>477172</v>
      </c>
      <c r="M344" s="438"/>
      <c r="N344" s="438"/>
    </row>
    <row r="345" spans="2:14" ht="15.75" customHeight="1">
      <c r="B345" s="136"/>
      <c r="C345" s="136"/>
      <c r="D345" s="137"/>
      <c r="E345" s="438"/>
      <c r="F345" s="121"/>
      <c r="G345" s="121"/>
      <c r="H345" s="352"/>
      <c r="I345" s="352"/>
      <c r="J345" s="306"/>
      <c r="L345" s="438">
        <v>110766</v>
      </c>
      <c r="M345" s="438"/>
      <c r="N345" s="438"/>
    </row>
    <row r="346" spans="2:14">
      <c r="H346" s="352"/>
      <c r="I346" s="352"/>
      <c r="J346" s="306"/>
      <c r="L346" s="438"/>
      <c r="M346" s="438"/>
      <c r="N346" s="438"/>
    </row>
    <row r="347" spans="2:14">
      <c r="H347" s="352"/>
      <c r="I347" s="352"/>
      <c r="J347" s="306"/>
    </row>
  </sheetData>
  <mergeCells count="9">
    <mergeCell ref="B1:D1"/>
    <mergeCell ref="B2:D2"/>
    <mergeCell ref="B3:D3"/>
    <mergeCell ref="B334:C334"/>
    <mergeCell ref="B344:C344"/>
    <mergeCell ref="B130:C130"/>
    <mergeCell ref="B331:C331"/>
    <mergeCell ref="B14:C14"/>
    <mergeCell ref="B128:C128"/>
  </mergeCells>
  <hyperlinks>
    <hyperlink ref="A1" location="'Balance 8 Columnas'!A1" display="'Balance 8 Columnas'!A1" xr:uid="{ED66212E-1DC3-4AAD-9DE9-C540AA1D012C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rgb="FF002060"/>
  </sheetPr>
  <dimension ref="A1:L64"/>
  <sheetViews>
    <sheetView showGridLines="0" zoomScale="90" zoomScaleNormal="90" workbookViewId="0">
      <selection activeCell="J61" sqref="J61"/>
    </sheetView>
  </sheetViews>
  <sheetFormatPr baseColWidth="10" defaultColWidth="11.3984375" defaultRowHeight="14"/>
  <cols>
    <col min="1" max="1" width="6.09765625" style="141" customWidth="1"/>
    <col min="2" max="2" width="31.69921875" style="230" customWidth="1"/>
    <col min="3" max="3" width="34.69921875" style="230" customWidth="1"/>
    <col min="4" max="4" width="15.296875" style="230" customWidth="1"/>
    <col min="5" max="5" width="14.3984375" style="230" customWidth="1"/>
    <col min="6" max="6" width="13.8984375" style="655" customWidth="1"/>
    <col min="7" max="7" width="13.09765625" style="230" customWidth="1"/>
    <col min="8" max="8" width="13" style="230" customWidth="1"/>
    <col min="9" max="9" width="12.69921875" style="230" customWidth="1"/>
    <col min="10" max="10" width="14.69921875" style="141" customWidth="1"/>
    <col min="11" max="11" width="11.3984375" style="141"/>
    <col min="12" max="12" width="14.59765625" style="141" customWidth="1"/>
    <col min="13" max="16384" width="11.3984375" style="141"/>
  </cols>
  <sheetData>
    <row r="1" spans="1:8" ht="20.95">
      <c r="A1" s="431" t="s">
        <v>590</v>
      </c>
      <c r="B1" s="810" t="s">
        <v>195</v>
      </c>
      <c r="C1" s="810"/>
      <c r="D1" s="810"/>
      <c r="E1" s="810"/>
      <c r="F1" s="651"/>
      <c r="H1" s="227">
        <f ca="1">+D16-'Balance Clasificado'!D14</f>
        <v>0</v>
      </c>
    </row>
    <row r="2" spans="1:8">
      <c r="B2" s="811" t="s">
        <v>506</v>
      </c>
      <c r="C2" s="811"/>
      <c r="D2" s="811"/>
      <c r="E2" s="811"/>
      <c r="F2" s="652"/>
    </row>
    <row r="3" spans="1:8">
      <c r="B3" s="812" t="str">
        <f>+Carátula!A9</f>
        <v>Al 31 de enero de 2026</v>
      </c>
      <c r="C3" s="812"/>
      <c r="D3" s="812"/>
      <c r="E3" s="812"/>
      <c r="F3" s="652"/>
      <c r="G3" s="231"/>
    </row>
    <row r="4" spans="1:8">
      <c r="B4" s="69"/>
      <c r="C4" s="69"/>
      <c r="D4" s="69"/>
      <c r="E4" s="69"/>
      <c r="F4" s="653"/>
    </row>
    <row r="5" spans="1:8">
      <c r="B5" s="69"/>
      <c r="C5" s="69"/>
      <c r="D5" s="69"/>
      <c r="E5" s="69"/>
      <c r="F5" s="653"/>
    </row>
    <row r="6" spans="1:8">
      <c r="B6" s="836" t="s">
        <v>508</v>
      </c>
      <c r="C6" s="836"/>
      <c r="D6" s="836"/>
      <c r="E6" s="836"/>
      <c r="F6" s="836"/>
      <c r="G6" s="836"/>
    </row>
    <row r="7" spans="1:8">
      <c r="B7" s="837" t="s">
        <v>62</v>
      </c>
      <c r="C7" s="837"/>
      <c r="D7" s="167" t="s">
        <v>205</v>
      </c>
      <c r="E7" s="97"/>
      <c r="F7" s="654"/>
      <c r="G7" s="97"/>
    </row>
    <row r="8" spans="1:8" ht="15.75" customHeight="1">
      <c r="B8" s="168">
        <v>1104102</v>
      </c>
      <c r="C8" s="241" t="s">
        <v>14</v>
      </c>
      <c r="D8" s="542">
        <f>+E23</f>
        <v>-3158489</v>
      </c>
      <c r="E8" s="97"/>
      <c r="F8" s="654"/>
      <c r="G8" s="97"/>
    </row>
    <row r="9" spans="1:8" ht="15.75" customHeight="1">
      <c r="B9" s="168">
        <v>1104105</v>
      </c>
      <c r="C9" s="241" t="s">
        <v>16</v>
      </c>
      <c r="D9" s="542">
        <f>+E28</f>
        <v>54573495</v>
      </c>
      <c r="E9" s="97"/>
      <c r="F9" s="654"/>
      <c r="G9" s="97"/>
    </row>
    <row r="10" spans="1:8">
      <c r="B10" s="168">
        <v>1104106</v>
      </c>
      <c r="C10" s="241" t="s">
        <v>17</v>
      </c>
      <c r="D10" s="466">
        <f>+E32</f>
        <v>71836904</v>
      </c>
      <c r="E10" s="97"/>
      <c r="F10" s="654"/>
      <c r="G10" s="97"/>
    </row>
    <row r="11" spans="1:8">
      <c r="B11" s="168">
        <v>1104108</v>
      </c>
      <c r="C11" s="241" t="s">
        <v>3041</v>
      </c>
      <c r="D11" s="466">
        <f>+E38</f>
        <v>480400</v>
      </c>
      <c r="E11" s="97"/>
      <c r="F11" s="654"/>
      <c r="G11" s="97"/>
    </row>
    <row r="12" spans="1:8">
      <c r="B12" s="168">
        <v>1104109</v>
      </c>
      <c r="C12" s="241" t="s">
        <v>1359</v>
      </c>
      <c r="D12" s="250">
        <f>+E43</f>
        <v>201859659</v>
      </c>
      <c r="E12" s="97"/>
      <c r="F12" s="654"/>
      <c r="G12" s="97"/>
    </row>
    <row r="13" spans="1:8">
      <c r="B13" s="168">
        <v>1104112</v>
      </c>
      <c r="C13" s="241" t="s">
        <v>2884</v>
      </c>
      <c r="D13" s="250">
        <f>+E48</f>
        <v>9764312</v>
      </c>
      <c r="E13" s="97"/>
      <c r="F13" s="654"/>
      <c r="G13" s="97"/>
    </row>
    <row r="14" spans="1:8">
      <c r="B14" s="168">
        <v>1104113</v>
      </c>
      <c r="C14" s="241" t="s">
        <v>2907</v>
      </c>
      <c r="D14" s="250">
        <f>+E53</f>
        <v>1531859</v>
      </c>
      <c r="E14" s="97"/>
      <c r="F14" s="654"/>
      <c r="G14" s="97"/>
    </row>
    <row r="15" spans="1:8">
      <c r="B15" s="168">
        <v>1104200</v>
      </c>
      <c r="C15" s="241" t="s">
        <v>1562</v>
      </c>
      <c r="D15" s="250">
        <f>+E60</f>
        <v>6734121</v>
      </c>
      <c r="E15" s="97"/>
      <c r="F15" s="654"/>
      <c r="G15" s="97"/>
    </row>
    <row r="16" spans="1:8">
      <c r="B16" s="838" t="s">
        <v>507</v>
      </c>
      <c r="C16" s="839"/>
      <c r="D16" s="169">
        <f>SUM(D8:D15)</f>
        <v>343622261</v>
      </c>
      <c r="E16" s="97"/>
      <c r="F16" s="654"/>
      <c r="G16" s="97"/>
    </row>
    <row r="17" spans="1:7">
      <c r="B17" s="97"/>
      <c r="C17" s="97"/>
      <c r="E17" s="97"/>
      <c r="F17" s="654"/>
      <c r="G17" s="97"/>
    </row>
    <row r="18" spans="1:7">
      <c r="B18" s="836" t="s">
        <v>509</v>
      </c>
      <c r="C18" s="836"/>
      <c r="D18" s="836"/>
      <c r="E18" s="836"/>
      <c r="F18" s="836"/>
      <c r="G18" s="836"/>
    </row>
    <row r="19" spans="1:7">
      <c r="B19" s="97"/>
      <c r="C19" s="97"/>
      <c r="D19" s="97"/>
      <c r="E19" s="97"/>
      <c r="F19" s="654"/>
      <c r="G19" s="97"/>
    </row>
    <row r="20" spans="1:7">
      <c r="A20" s="665"/>
      <c r="B20" s="507" t="s">
        <v>14</v>
      </c>
      <c r="C20" s="508"/>
      <c r="D20" s="508"/>
      <c r="E20" s="509"/>
    </row>
    <row r="21" spans="1:7">
      <c r="A21" s="665"/>
      <c r="B21" s="666" t="s">
        <v>181</v>
      </c>
      <c r="C21" s="841" t="s">
        <v>2233</v>
      </c>
      <c r="D21" s="842"/>
      <c r="E21" s="666" t="s">
        <v>185</v>
      </c>
    </row>
    <row r="22" spans="1:7">
      <c r="A22" s="665"/>
      <c r="B22" s="667" t="s">
        <v>2232</v>
      </c>
      <c r="C22" s="668" t="s">
        <v>2365</v>
      </c>
      <c r="D22" s="668"/>
      <c r="E22" s="669">
        <v>-3158489</v>
      </c>
    </row>
    <row r="23" spans="1:7">
      <c r="A23" s="665"/>
      <c r="B23" s="833" t="s">
        <v>1663</v>
      </c>
      <c r="C23" s="834"/>
      <c r="D23" s="835"/>
      <c r="E23" s="670">
        <f>+E22</f>
        <v>-3158489</v>
      </c>
      <c r="F23" s="716" t="s">
        <v>2430</v>
      </c>
    </row>
    <row r="24" spans="1:7">
      <c r="A24" s="665"/>
      <c r="B24" s="200"/>
      <c r="C24" s="200"/>
      <c r="D24" s="200"/>
      <c r="E24" s="200"/>
    </row>
    <row r="25" spans="1:7">
      <c r="A25" s="665"/>
      <c r="B25" s="188" t="s">
        <v>16</v>
      </c>
      <c r="C25" s="189"/>
      <c r="D25" s="189"/>
      <c r="E25" s="190"/>
    </row>
    <row r="26" spans="1:7">
      <c r="A26" s="665"/>
      <c r="B26" s="671" t="s">
        <v>181</v>
      </c>
      <c r="C26" s="831" t="s">
        <v>145</v>
      </c>
      <c r="D26" s="832"/>
      <c r="E26" s="666" t="s">
        <v>185</v>
      </c>
    </row>
    <row r="27" spans="1:7">
      <c r="A27" s="665"/>
      <c r="B27" s="672" t="s">
        <v>16</v>
      </c>
      <c r="C27" s="829" t="s">
        <v>2726</v>
      </c>
      <c r="D27" s="830"/>
      <c r="E27" s="675">
        <v>54573495</v>
      </c>
      <c r="G27" s="326"/>
    </row>
    <row r="28" spans="1:7">
      <c r="A28" s="665"/>
      <c r="B28" s="498"/>
      <c r="C28" s="827" t="s">
        <v>212</v>
      </c>
      <c r="D28" s="828"/>
      <c r="E28" s="676">
        <f>SUM(E27:E27)</f>
        <v>54573495</v>
      </c>
      <c r="F28" s="716" t="s">
        <v>2430</v>
      </c>
      <c r="G28" s="326"/>
    </row>
    <row r="29" spans="1:7">
      <c r="A29" s="665"/>
      <c r="B29" s="840"/>
      <c r="C29" s="840"/>
      <c r="D29" s="840"/>
      <c r="E29" s="840"/>
    </row>
    <row r="30" spans="1:7">
      <c r="A30" s="665"/>
      <c r="B30" s="507" t="s">
        <v>17</v>
      </c>
      <c r="C30" s="508"/>
      <c r="D30" s="508"/>
      <c r="E30" s="509"/>
    </row>
    <row r="31" spans="1:7">
      <c r="A31" s="665"/>
      <c r="B31" s="671" t="s">
        <v>181</v>
      </c>
      <c r="C31" s="831" t="s">
        <v>182</v>
      </c>
      <c r="D31" s="832"/>
      <c r="E31" s="666" t="s">
        <v>185</v>
      </c>
      <c r="G31" s="326"/>
    </row>
    <row r="32" spans="1:7">
      <c r="A32" s="665"/>
      <c r="B32" s="672" t="s">
        <v>17</v>
      </c>
      <c r="C32" s="673" t="s">
        <v>2217</v>
      </c>
      <c r="D32" s="674"/>
      <c r="E32" s="677">
        <v>71836904</v>
      </c>
    </row>
    <row r="33" spans="1:12">
      <c r="A33" s="665"/>
      <c r="B33" s="498"/>
      <c r="C33" s="827" t="s">
        <v>212</v>
      </c>
      <c r="D33" s="828"/>
      <c r="E33" s="678">
        <f>+E32</f>
        <v>71836904</v>
      </c>
      <c r="F33" s="716" t="s">
        <v>2430</v>
      </c>
    </row>
    <row r="34" spans="1:12">
      <c r="A34" s="665"/>
      <c r="B34" s="679"/>
      <c r="C34" s="680"/>
      <c r="D34" s="680"/>
      <c r="E34" s="681"/>
    </row>
    <row r="35" spans="1:12">
      <c r="A35" s="665"/>
      <c r="B35" s="507" t="s">
        <v>3041</v>
      </c>
      <c r="C35" s="508"/>
      <c r="D35" s="508"/>
      <c r="E35" s="509"/>
      <c r="G35" s="560"/>
      <c r="H35" s="326"/>
      <c r="I35" s="544"/>
      <c r="J35" s="544"/>
    </row>
    <row r="36" spans="1:12">
      <c r="A36" s="665"/>
      <c r="B36" s="671" t="s">
        <v>181</v>
      </c>
      <c r="C36" s="831" t="s">
        <v>145</v>
      </c>
      <c r="D36" s="832"/>
      <c r="E36" s="666" t="s">
        <v>185</v>
      </c>
      <c r="G36" s="545"/>
      <c r="H36" s="826"/>
      <c r="I36" s="826"/>
      <c r="J36" s="545"/>
    </row>
    <row r="37" spans="1:12">
      <c r="A37" s="665"/>
      <c r="B37" s="672" t="s">
        <v>3042</v>
      </c>
      <c r="C37" s="829" t="s">
        <v>2216</v>
      </c>
      <c r="D37" s="830"/>
      <c r="E37" s="675">
        <v>480400</v>
      </c>
      <c r="G37" s="335"/>
      <c r="H37" s="546"/>
      <c r="I37" s="546"/>
      <c r="J37" s="547"/>
    </row>
    <row r="38" spans="1:12">
      <c r="A38" s="665"/>
      <c r="B38" s="498"/>
      <c r="C38" s="827" t="s">
        <v>212</v>
      </c>
      <c r="D38" s="828"/>
      <c r="E38" s="676">
        <f>SUM(E37:E37)</f>
        <v>480400</v>
      </c>
      <c r="F38" s="720" t="s">
        <v>2430</v>
      </c>
      <c r="G38" s="545"/>
      <c r="H38" s="825"/>
      <c r="I38" s="825"/>
      <c r="J38" s="549"/>
      <c r="L38" s="548"/>
    </row>
    <row r="39" spans="1:12">
      <c r="A39" s="665"/>
      <c r="B39" s="200"/>
      <c r="C39" s="200"/>
      <c r="D39" s="200"/>
      <c r="E39" s="200"/>
      <c r="J39" s="548"/>
    </row>
    <row r="40" spans="1:12">
      <c r="A40" s="665"/>
      <c r="B40" s="507" t="s">
        <v>1359</v>
      </c>
      <c r="C40" s="508"/>
      <c r="D40" s="508"/>
      <c r="E40" s="509"/>
      <c r="G40" s="560"/>
      <c r="H40" s="326"/>
      <c r="I40" s="544"/>
      <c r="J40" s="544"/>
    </row>
    <row r="41" spans="1:12">
      <c r="A41" s="665"/>
      <c r="B41" s="671" t="s">
        <v>181</v>
      </c>
      <c r="C41" s="831" t="s">
        <v>145</v>
      </c>
      <c r="D41" s="832"/>
      <c r="E41" s="666" t="s">
        <v>185</v>
      </c>
      <c r="G41" s="545"/>
      <c r="H41" s="826"/>
      <c r="I41" s="826"/>
      <c r="J41" s="545"/>
    </row>
    <row r="42" spans="1:12">
      <c r="A42" s="665"/>
      <c r="B42" s="672" t="s">
        <v>1360</v>
      </c>
      <c r="C42" s="829" t="s">
        <v>2216</v>
      </c>
      <c r="D42" s="830"/>
      <c r="E42" s="675">
        <v>201859659</v>
      </c>
      <c r="G42" s="335"/>
      <c r="H42" s="546"/>
      <c r="I42" s="546"/>
      <c r="J42" s="547"/>
    </row>
    <row r="43" spans="1:12">
      <c r="A43" s="665"/>
      <c r="B43" s="498"/>
      <c r="C43" s="827" t="s">
        <v>212</v>
      </c>
      <c r="D43" s="828"/>
      <c r="E43" s="676">
        <f>SUM(E42:E42)</f>
        <v>201859659</v>
      </c>
      <c r="F43" s="720" t="s">
        <v>2430</v>
      </c>
      <c r="G43" s="545"/>
      <c r="H43" s="825"/>
      <c r="I43" s="825"/>
      <c r="J43" s="549"/>
      <c r="L43" s="548"/>
    </row>
    <row r="44" spans="1:12">
      <c r="A44" s="665"/>
      <c r="B44" s="200"/>
      <c r="C44" s="200"/>
      <c r="D44" s="200"/>
      <c r="E44" s="200"/>
      <c r="J44" s="548"/>
    </row>
    <row r="45" spans="1:12">
      <c r="A45" s="665"/>
      <c r="B45" s="507" t="s">
        <v>2884</v>
      </c>
      <c r="C45" s="508"/>
      <c r="D45" s="508"/>
      <c r="E45" s="509"/>
      <c r="G45" s="560"/>
      <c r="H45" s="326"/>
      <c r="I45" s="544"/>
      <c r="J45" s="544"/>
    </row>
    <row r="46" spans="1:12">
      <c r="A46" s="665"/>
      <c r="B46" s="671" t="s">
        <v>181</v>
      </c>
      <c r="C46" s="831" t="s">
        <v>145</v>
      </c>
      <c r="D46" s="832"/>
      <c r="E46" s="666" t="s">
        <v>185</v>
      </c>
      <c r="G46" s="545"/>
      <c r="H46" s="826"/>
      <c r="I46" s="826"/>
      <c r="J46" s="545"/>
    </row>
    <row r="47" spans="1:12">
      <c r="A47" s="665"/>
      <c r="B47" s="672" t="s">
        <v>2906</v>
      </c>
      <c r="C47" s="829" t="s">
        <v>2216</v>
      </c>
      <c r="D47" s="830"/>
      <c r="E47" s="675">
        <v>9764312</v>
      </c>
      <c r="G47" s="335"/>
      <c r="H47" s="546"/>
      <c r="I47" s="546"/>
      <c r="J47" s="547"/>
    </row>
    <row r="48" spans="1:12">
      <c r="A48" s="665"/>
      <c r="B48" s="498"/>
      <c r="C48" s="827" t="s">
        <v>212</v>
      </c>
      <c r="D48" s="828"/>
      <c r="E48" s="676">
        <f>SUM(E47:E47)</f>
        <v>9764312</v>
      </c>
      <c r="F48" s="720" t="s">
        <v>2430</v>
      </c>
      <c r="G48" s="545"/>
      <c r="H48" s="825"/>
      <c r="I48" s="825"/>
      <c r="J48" s="549"/>
      <c r="L48" s="548"/>
    </row>
    <row r="49" spans="1:12">
      <c r="A49" s="665"/>
      <c r="B49" s="200"/>
      <c r="C49" s="200"/>
      <c r="D49" s="200"/>
      <c r="E49" s="200"/>
      <c r="J49" s="548"/>
    </row>
    <row r="50" spans="1:12">
      <c r="A50" s="665"/>
      <c r="B50" s="507" t="s">
        <v>2907</v>
      </c>
      <c r="C50" s="508"/>
      <c r="D50" s="508"/>
      <c r="E50" s="509"/>
      <c r="G50" s="560"/>
      <c r="H50" s="326"/>
      <c r="I50" s="544"/>
      <c r="J50" s="544"/>
    </row>
    <row r="51" spans="1:12">
      <c r="A51" s="665"/>
      <c r="B51" s="671" t="s">
        <v>181</v>
      </c>
      <c r="C51" s="831" t="s">
        <v>145</v>
      </c>
      <c r="D51" s="832"/>
      <c r="E51" s="666" t="s">
        <v>185</v>
      </c>
      <c r="G51" s="545"/>
      <c r="H51" s="826"/>
      <c r="I51" s="826"/>
      <c r="J51" s="545"/>
    </row>
    <row r="52" spans="1:12">
      <c r="A52" s="665"/>
      <c r="B52" s="672" t="s">
        <v>2908</v>
      </c>
      <c r="C52" s="829" t="s">
        <v>2216</v>
      </c>
      <c r="D52" s="830"/>
      <c r="E52" s="675">
        <v>1531859</v>
      </c>
      <c r="G52" s="335"/>
      <c r="H52" s="546"/>
      <c r="I52" s="546"/>
      <c r="J52" s="547"/>
    </row>
    <row r="53" spans="1:12">
      <c r="A53" s="665"/>
      <c r="B53" s="498"/>
      <c r="C53" s="827" t="s">
        <v>212</v>
      </c>
      <c r="D53" s="828"/>
      <c r="E53" s="676">
        <f>SUM(E52:E52)</f>
        <v>1531859</v>
      </c>
      <c r="F53" s="720" t="s">
        <v>2430</v>
      </c>
      <c r="G53" s="545"/>
      <c r="H53" s="825"/>
      <c r="I53" s="825"/>
      <c r="J53" s="549"/>
      <c r="L53" s="548"/>
    </row>
    <row r="54" spans="1:12">
      <c r="A54" s="665"/>
      <c r="B54" s="200"/>
      <c r="C54" s="200"/>
      <c r="D54" s="200"/>
      <c r="E54" s="200"/>
      <c r="J54" s="548"/>
    </row>
    <row r="55" spans="1:12">
      <c r="A55" s="665"/>
      <c r="B55" s="507" t="s">
        <v>1563</v>
      </c>
      <c r="C55" s="508"/>
      <c r="D55" s="508"/>
      <c r="E55" s="509"/>
    </row>
    <row r="56" spans="1:12">
      <c r="A56" s="665"/>
      <c r="B56" s="671" t="s">
        <v>181</v>
      </c>
      <c r="C56" s="831" t="s">
        <v>145</v>
      </c>
      <c r="D56" s="832"/>
      <c r="E56" s="666" t="s">
        <v>185</v>
      </c>
      <c r="J56" s="548"/>
    </row>
    <row r="57" spans="1:12">
      <c r="A57" s="665"/>
      <c r="B57" s="672" t="s">
        <v>1564</v>
      </c>
      <c r="C57" s="829" t="s">
        <v>1977</v>
      </c>
      <c r="D57" s="830"/>
      <c r="E57" s="682">
        <v>18697201</v>
      </c>
      <c r="G57" s="521"/>
      <c r="H57" s="550"/>
      <c r="I57" s="550"/>
      <c r="J57" s="483"/>
      <c r="K57" s="483"/>
    </row>
    <row r="58" spans="1:12">
      <c r="A58" s="665"/>
      <c r="B58" s="672" t="s">
        <v>1564</v>
      </c>
      <c r="C58" s="829" t="s">
        <v>1975</v>
      </c>
      <c r="D58" s="830"/>
      <c r="E58" s="682">
        <v>-10000000</v>
      </c>
      <c r="G58" s="521"/>
      <c r="H58" s="287"/>
      <c r="I58" s="540"/>
      <c r="J58" s="483"/>
      <c r="K58" s="483"/>
    </row>
    <row r="59" spans="1:12">
      <c r="A59" s="665"/>
      <c r="B59" s="672" t="s">
        <v>1564</v>
      </c>
      <c r="C59" s="829" t="s">
        <v>1976</v>
      </c>
      <c r="D59" s="830"/>
      <c r="E59" s="682">
        <v>-1963080</v>
      </c>
      <c r="G59" s="521"/>
      <c r="H59" s="287"/>
      <c r="I59" s="463"/>
      <c r="J59" s="483"/>
      <c r="K59" s="483"/>
    </row>
    <row r="60" spans="1:12">
      <c r="A60" s="665"/>
      <c r="B60" s="683"/>
      <c r="C60" s="674"/>
      <c r="D60" s="684"/>
      <c r="E60" s="685">
        <f>SUM(E57:E59)</f>
        <v>6734121</v>
      </c>
      <c r="F60" s="716" t="s">
        <v>2430</v>
      </c>
      <c r="G60" s="521"/>
      <c r="H60" s="287"/>
      <c r="I60" s="463"/>
      <c r="J60" s="483"/>
      <c r="K60" s="483"/>
    </row>
    <row r="61" spans="1:12">
      <c r="H61" s="463"/>
      <c r="I61" s="463"/>
      <c r="J61" s="483" t="s">
        <v>1725</v>
      </c>
      <c r="K61" s="483"/>
    </row>
    <row r="62" spans="1:12">
      <c r="E62" s="326"/>
      <c r="H62" s="463" t="s">
        <v>1722</v>
      </c>
      <c r="I62" s="463"/>
      <c r="J62" s="483" t="s">
        <v>1723</v>
      </c>
      <c r="K62" s="483"/>
    </row>
    <row r="63" spans="1:12">
      <c r="H63" s="463" t="s">
        <v>1724</v>
      </c>
      <c r="I63" s="463"/>
      <c r="J63" s="483"/>
      <c r="K63" s="483"/>
    </row>
    <row r="64" spans="1:12">
      <c r="F64" s="656"/>
      <c r="H64" s="463"/>
      <c r="I64" s="463"/>
      <c r="J64" s="483"/>
      <c r="K64" s="483"/>
    </row>
  </sheetData>
  <dataConsolidate/>
  <mergeCells count="39">
    <mergeCell ref="H41:I41"/>
    <mergeCell ref="C42:D42"/>
    <mergeCell ref="C43:D43"/>
    <mergeCell ref="H43:I43"/>
    <mergeCell ref="B1:E1"/>
    <mergeCell ref="B2:E2"/>
    <mergeCell ref="B3:E3"/>
    <mergeCell ref="B6:G6"/>
    <mergeCell ref="B7:C7"/>
    <mergeCell ref="B16:C16"/>
    <mergeCell ref="C31:D31"/>
    <mergeCell ref="B18:G18"/>
    <mergeCell ref="C26:D26"/>
    <mergeCell ref="B29:E29"/>
    <mergeCell ref="C27:D27"/>
    <mergeCell ref="C21:D21"/>
    <mergeCell ref="B23:D23"/>
    <mergeCell ref="C38:D38"/>
    <mergeCell ref="C58:D58"/>
    <mergeCell ref="C56:D56"/>
    <mergeCell ref="C59:D59"/>
    <mergeCell ref="C37:D37"/>
    <mergeCell ref="C41:D41"/>
    <mergeCell ref="H38:I38"/>
    <mergeCell ref="H36:I36"/>
    <mergeCell ref="C28:D28"/>
    <mergeCell ref="C33:D33"/>
    <mergeCell ref="C57:D57"/>
    <mergeCell ref="C46:D46"/>
    <mergeCell ref="H46:I46"/>
    <mergeCell ref="C47:D47"/>
    <mergeCell ref="C48:D48"/>
    <mergeCell ref="H48:I48"/>
    <mergeCell ref="C51:D51"/>
    <mergeCell ref="H51:I51"/>
    <mergeCell ref="C52:D52"/>
    <mergeCell ref="C53:D53"/>
    <mergeCell ref="H53:I53"/>
    <mergeCell ref="C36:D36"/>
  </mergeCells>
  <phoneticPr fontId="40" type="noConversion"/>
  <hyperlinks>
    <hyperlink ref="A1" location="'Balance 8 Columnas'!A1" display="'Balance 8 Columnas'!A1" xr:uid="{A67C4F91-5B6A-4701-B4A3-58E75DAA988A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B2F-D19F-4713-A2EC-39269273CB5A}">
  <sheetPr codeName="Hoja14">
    <tabColor rgb="FF002060"/>
  </sheetPr>
  <dimension ref="A1:M64"/>
  <sheetViews>
    <sheetView showGridLines="0" zoomScale="90" zoomScaleNormal="90" workbookViewId="0">
      <selection activeCell="G45" sqref="G45"/>
    </sheetView>
  </sheetViews>
  <sheetFormatPr baseColWidth="10" defaultColWidth="11.3984375" defaultRowHeight="14"/>
  <cols>
    <col min="1" max="1" width="6.09765625" style="141" customWidth="1"/>
    <col min="2" max="2" width="17.3984375" style="230" customWidth="1"/>
    <col min="3" max="3" width="41.3984375" style="230" customWidth="1"/>
    <col min="4" max="4" width="15.296875" style="230" customWidth="1"/>
    <col min="5" max="5" width="14.3984375" style="230" customWidth="1"/>
    <col min="6" max="6" width="13.8984375" style="624" customWidth="1"/>
    <col min="7" max="7" width="47" style="230" customWidth="1"/>
    <col min="8" max="8" width="13" style="230" customWidth="1"/>
    <col min="9" max="9" width="32.69921875" style="230" customWidth="1"/>
    <col min="10" max="16384" width="11.3984375" style="141"/>
  </cols>
  <sheetData>
    <row r="1" spans="1:8" ht="20.95">
      <c r="A1" s="431" t="s">
        <v>590</v>
      </c>
      <c r="B1" s="810" t="s">
        <v>195</v>
      </c>
      <c r="C1" s="810"/>
      <c r="D1" s="810"/>
      <c r="E1" s="810"/>
      <c r="F1" s="723"/>
      <c r="H1" s="227">
        <f ca="1">+D13-'Balance Clasificado'!D13</f>
        <v>0</v>
      </c>
    </row>
    <row r="2" spans="1:8">
      <c r="B2" s="811" t="s">
        <v>502</v>
      </c>
      <c r="C2" s="811"/>
      <c r="D2" s="811"/>
      <c r="E2" s="811"/>
      <c r="F2" s="724"/>
    </row>
    <row r="3" spans="1:8">
      <c r="B3" s="812" t="str">
        <f>+Carátula!A9</f>
        <v>Al 31 de enero de 2026</v>
      </c>
      <c r="C3" s="812"/>
      <c r="D3" s="812"/>
      <c r="E3" s="812"/>
      <c r="F3" s="724"/>
      <c r="G3" s="231"/>
    </row>
    <row r="4" spans="1:8">
      <c r="B4" s="69"/>
      <c r="C4" s="69"/>
      <c r="D4" s="69"/>
      <c r="E4" s="69"/>
      <c r="F4" s="725"/>
    </row>
    <row r="5" spans="1:8">
      <c r="B5" s="69"/>
      <c r="C5" s="69"/>
      <c r="D5" s="69"/>
      <c r="E5" s="69"/>
      <c r="F5" s="725"/>
    </row>
    <row r="6" spans="1:8">
      <c r="B6" s="836" t="s">
        <v>504</v>
      </c>
      <c r="C6" s="836"/>
      <c r="D6" s="836"/>
      <c r="E6" s="836"/>
      <c r="F6" s="836"/>
      <c r="G6" s="836"/>
    </row>
    <row r="7" spans="1:8">
      <c r="B7" s="837" t="s">
        <v>62</v>
      </c>
      <c r="C7" s="837"/>
      <c r="D7" s="167" t="s">
        <v>205</v>
      </c>
      <c r="E7" s="97"/>
      <c r="F7" s="726"/>
      <c r="G7" s="97"/>
    </row>
    <row r="8" spans="1:8" s="230" customFormat="1" ht="15.05" customHeight="1">
      <c r="A8" s="141"/>
      <c r="B8" s="168">
        <v>1104104</v>
      </c>
      <c r="C8" s="241" t="s">
        <v>15</v>
      </c>
      <c r="D8" s="522">
        <f>+E26</f>
        <v>934351</v>
      </c>
      <c r="E8" s="97"/>
      <c r="F8" s="726"/>
      <c r="G8" s="97"/>
    </row>
    <row r="9" spans="1:8" s="230" customFormat="1" ht="15.05" hidden="1" customHeight="1">
      <c r="A9" s="141"/>
      <c r="B9" s="168">
        <v>1105302</v>
      </c>
      <c r="C9" s="241" t="s">
        <v>411</v>
      </c>
      <c r="D9" s="522">
        <f>+E31</f>
        <v>0</v>
      </c>
      <c r="E9" s="97"/>
      <c r="F9" s="726"/>
      <c r="G9" s="97"/>
    </row>
    <row r="10" spans="1:8" s="230" customFormat="1">
      <c r="A10" s="141"/>
      <c r="B10" s="168">
        <v>1105403</v>
      </c>
      <c r="C10" s="241" t="s">
        <v>18</v>
      </c>
      <c r="D10" s="522">
        <f>+E47</f>
        <v>30795995</v>
      </c>
      <c r="E10" s="97"/>
      <c r="F10" s="726"/>
      <c r="G10" s="97"/>
    </row>
    <row r="11" spans="1:8" s="230" customFormat="1" hidden="1">
      <c r="A11" s="141"/>
      <c r="B11" s="168">
        <v>1105404</v>
      </c>
      <c r="C11" s="241" t="s">
        <v>19</v>
      </c>
      <c r="D11" s="522">
        <f>+E52</f>
        <v>0</v>
      </c>
      <c r="E11" s="97"/>
      <c r="F11" s="726"/>
      <c r="G11" s="97"/>
    </row>
    <row r="12" spans="1:8" s="230" customFormat="1">
      <c r="A12" s="141"/>
      <c r="B12" s="168">
        <v>1105405</v>
      </c>
      <c r="C12" s="241" t="s">
        <v>20</v>
      </c>
      <c r="D12" s="522">
        <f>+E62</f>
        <v>884643</v>
      </c>
      <c r="E12" s="97"/>
      <c r="F12" s="726"/>
      <c r="G12" s="97"/>
    </row>
    <row r="13" spans="1:8">
      <c r="B13" s="838" t="s">
        <v>503</v>
      </c>
      <c r="C13" s="839"/>
      <c r="D13" s="169">
        <f>SUM(D8:D12)</f>
        <v>32614989</v>
      </c>
      <c r="E13" s="97"/>
      <c r="F13" s="726"/>
      <c r="G13" s="97"/>
    </row>
    <row r="14" spans="1:8">
      <c r="B14" s="97"/>
      <c r="C14" s="97"/>
      <c r="E14" s="97"/>
      <c r="F14" s="726"/>
      <c r="G14" s="97"/>
    </row>
    <row r="15" spans="1:8">
      <c r="B15" s="836" t="s">
        <v>505</v>
      </c>
      <c r="C15" s="836"/>
      <c r="D15" s="836"/>
      <c r="E15" s="836"/>
      <c r="F15" s="836"/>
      <c r="G15" s="836"/>
    </row>
    <row r="16" spans="1:8">
      <c r="B16" s="97"/>
      <c r="C16" s="97"/>
      <c r="D16" s="97"/>
      <c r="E16" s="97"/>
      <c r="F16" s="726"/>
      <c r="G16" s="97"/>
    </row>
    <row r="17" spans="1:13">
      <c r="B17" s="188" t="s">
        <v>15</v>
      </c>
      <c r="C17" s="189"/>
      <c r="D17" s="189"/>
      <c r="E17" s="190"/>
    </row>
    <row r="18" spans="1:13">
      <c r="B18" s="498" t="s">
        <v>255</v>
      </c>
      <c r="C18" s="686" t="s">
        <v>183</v>
      </c>
      <c r="D18" s="498" t="s">
        <v>156</v>
      </c>
      <c r="E18" s="687" t="s">
        <v>185</v>
      </c>
    </row>
    <row r="19" spans="1:13">
      <c r="B19" s="688" t="s">
        <v>2882</v>
      </c>
      <c r="C19" s="689" t="s">
        <v>3172</v>
      </c>
      <c r="D19" s="690">
        <v>46053</v>
      </c>
      <c r="E19" s="691">
        <f>879186+141858-10400-868786</f>
        <v>141858</v>
      </c>
    </row>
    <row r="20" spans="1:13">
      <c r="B20" s="688" t="s">
        <v>2724</v>
      </c>
      <c r="C20" s="689" t="s">
        <v>3126</v>
      </c>
      <c r="D20" s="690">
        <v>45835</v>
      </c>
      <c r="E20" s="691">
        <v>25880</v>
      </c>
    </row>
    <row r="21" spans="1:13">
      <c r="B21" s="688" t="s">
        <v>2981</v>
      </c>
      <c r="C21" s="689" t="s">
        <v>3127</v>
      </c>
      <c r="D21" s="690">
        <v>46001</v>
      </c>
      <c r="E21" s="691">
        <v>152990</v>
      </c>
    </row>
    <row r="22" spans="1:13">
      <c r="B22" s="688" t="s">
        <v>2059</v>
      </c>
      <c r="C22" s="689" t="s">
        <v>2905</v>
      </c>
      <c r="D22" s="690">
        <v>45930</v>
      </c>
      <c r="E22" s="691">
        <f>105349+212770+2787-54215+80000</f>
        <v>346691</v>
      </c>
    </row>
    <row r="23" spans="1:13">
      <c r="B23" s="688" t="s">
        <v>2982</v>
      </c>
      <c r="C23" s="689" t="s">
        <v>3024</v>
      </c>
      <c r="D23" s="690">
        <v>45991</v>
      </c>
      <c r="E23" s="691">
        <f>295141+2311</f>
        <v>297452</v>
      </c>
    </row>
    <row r="24" spans="1:13">
      <c r="B24" s="688" t="s">
        <v>2883</v>
      </c>
      <c r="C24" s="689" t="s">
        <v>3173</v>
      </c>
      <c r="D24" s="690">
        <v>46053</v>
      </c>
      <c r="E24" s="691">
        <v>-56912</v>
      </c>
      <c r="I24" s="583"/>
      <c r="J24" s="584"/>
      <c r="K24" s="585"/>
      <c r="L24" s="586"/>
      <c r="M24" s="587"/>
    </row>
    <row r="25" spans="1:13">
      <c r="B25" s="688" t="s">
        <v>2883</v>
      </c>
      <c r="C25" s="689" t="s">
        <v>3174</v>
      </c>
      <c r="D25" s="690">
        <v>46053</v>
      </c>
      <c r="E25" s="691">
        <f>-119468+145860</f>
        <v>26392</v>
      </c>
      <c r="I25" s="583"/>
      <c r="J25" s="584"/>
      <c r="K25" s="585"/>
      <c r="L25" s="586"/>
      <c r="M25" s="587"/>
    </row>
    <row r="26" spans="1:13" s="230" customFormat="1">
      <c r="A26" s="141"/>
      <c r="B26" s="846" t="s">
        <v>2426</v>
      </c>
      <c r="C26" s="847"/>
      <c r="D26" s="848"/>
      <c r="E26" s="692">
        <f>SUM(E19:E25)</f>
        <v>934351</v>
      </c>
      <c r="F26" s="727" t="s">
        <v>2430</v>
      </c>
      <c r="G26" s="709"/>
    </row>
    <row r="27" spans="1:13" s="230" customFormat="1">
      <c r="A27" s="141"/>
      <c r="B27" s="693"/>
      <c r="C27" s="693"/>
      <c r="D27" s="693"/>
      <c r="E27" s="694"/>
      <c r="F27" s="727"/>
      <c r="H27" s="463"/>
      <c r="I27" s="463"/>
      <c r="J27" s="463"/>
      <c r="K27" s="463"/>
      <c r="L27" s="463"/>
    </row>
    <row r="28" spans="1:13">
      <c r="B28" s="241" t="s">
        <v>411</v>
      </c>
      <c r="C28" s="189"/>
      <c r="D28" s="189"/>
      <c r="E28" s="190"/>
      <c r="F28" s="728"/>
      <c r="H28" s="538"/>
      <c r="I28" s="538"/>
      <c r="J28" s="539"/>
      <c r="K28" s="539"/>
      <c r="L28" s="539"/>
    </row>
    <row r="29" spans="1:13">
      <c r="B29" s="498" t="s">
        <v>255</v>
      </c>
      <c r="C29" s="686" t="s">
        <v>183</v>
      </c>
      <c r="D29" s="498" t="s">
        <v>156</v>
      </c>
      <c r="E29" s="687" t="s">
        <v>185</v>
      </c>
      <c r="F29" s="728"/>
      <c r="H29" s="538"/>
      <c r="I29" s="539"/>
      <c r="J29" s="539"/>
      <c r="K29" s="539"/>
      <c r="L29" s="539"/>
    </row>
    <row r="30" spans="1:13">
      <c r="B30" s="688"/>
      <c r="C30" s="689"/>
      <c r="D30" s="690"/>
      <c r="E30" s="691"/>
      <c r="F30" s="728"/>
      <c r="I30" s="141"/>
    </row>
    <row r="31" spans="1:13">
      <c r="B31" s="846" t="s">
        <v>2424</v>
      </c>
      <c r="C31" s="847"/>
      <c r="D31" s="848"/>
      <c r="E31" s="692">
        <f>SUM(E30:E30)</f>
        <v>0</v>
      </c>
      <c r="F31" s="727" t="s">
        <v>2430</v>
      </c>
    </row>
    <row r="32" spans="1:13">
      <c r="B32" s="693"/>
      <c r="C32" s="693"/>
      <c r="D32" s="693"/>
      <c r="E32" s="694"/>
    </row>
    <row r="33" spans="2:12">
      <c r="B33" s="507" t="s">
        <v>18</v>
      </c>
      <c r="C33" s="508"/>
      <c r="D33" s="508"/>
      <c r="E33" s="509"/>
      <c r="F33" s="729"/>
      <c r="H33" s="463"/>
      <c r="I33" s="463"/>
      <c r="J33" s="483"/>
      <c r="K33" s="483"/>
      <c r="L33" s="483"/>
    </row>
    <row r="34" spans="2:12">
      <c r="B34" s="498" t="s">
        <v>255</v>
      </c>
      <c r="C34" s="686" t="s">
        <v>183</v>
      </c>
      <c r="D34" s="498" t="s">
        <v>156</v>
      </c>
      <c r="E34" s="687" t="s">
        <v>185</v>
      </c>
      <c r="F34" s="729"/>
      <c r="H34" s="573"/>
      <c r="I34" s="573"/>
      <c r="J34" s="573"/>
      <c r="K34" s="573"/>
      <c r="L34" s="483"/>
    </row>
    <row r="35" spans="2:12">
      <c r="B35" s="695">
        <v>760965189</v>
      </c>
      <c r="C35" s="696" t="s">
        <v>3176</v>
      </c>
      <c r="D35" s="690">
        <v>46050</v>
      </c>
      <c r="E35" s="691">
        <v>386750</v>
      </c>
      <c r="F35" s="730"/>
      <c r="G35" s="624"/>
      <c r="H35" s="626"/>
      <c r="I35" s="576"/>
      <c r="J35" s="574"/>
      <c r="K35" s="575"/>
      <c r="L35" s="483"/>
    </row>
    <row r="36" spans="2:12">
      <c r="B36" s="695" t="s">
        <v>1972</v>
      </c>
      <c r="C36" s="696" t="s">
        <v>2060</v>
      </c>
      <c r="D36" s="697">
        <v>45499</v>
      </c>
      <c r="E36" s="691">
        <v>399839</v>
      </c>
      <c r="F36" s="730">
        <f>E36/1.19</f>
        <v>335999.15966386558</v>
      </c>
      <c r="G36" s="624" t="s">
        <v>3141</v>
      </c>
      <c r="H36" s="625"/>
      <c r="I36" s="573"/>
      <c r="J36" s="573"/>
      <c r="K36" s="573"/>
      <c r="L36" s="483"/>
    </row>
    <row r="37" spans="2:12">
      <c r="B37" s="695">
        <v>109805203</v>
      </c>
      <c r="C37" s="696" t="s">
        <v>2234</v>
      </c>
      <c r="D37" s="697">
        <v>45638</v>
      </c>
      <c r="E37" s="691">
        <v>20192013</v>
      </c>
      <c r="F37" s="730">
        <f t="shared" ref="F37" si="0">E37/1.19</f>
        <v>16968078.151260506</v>
      </c>
      <c r="G37" s="624" t="s">
        <v>3141</v>
      </c>
      <c r="H37" s="626"/>
      <c r="I37" s="576"/>
      <c r="J37" s="574"/>
      <c r="K37" s="575"/>
      <c r="L37" s="483"/>
    </row>
    <row r="38" spans="2:12">
      <c r="B38" s="695">
        <v>109805203</v>
      </c>
      <c r="C38" s="696" t="s">
        <v>2234</v>
      </c>
      <c r="D38" s="697">
        <v>45729</v>
      </c>
      <c r="E38" s="691">
        <v>4275000</v>
      </c>
      <c r="F38" s="730"/>
      <c r="G38" s="624" t="s">
        <v>3141</v>
      </c>
      <c r="H38" s="626"/>
      <c r="I38" s="576"/>
      <c r="J38" s="574"/>
      <c r="K38" s="575"/>
      <c r="L38" s="483"/>
    </row>
    <row r="39" spans="2:12">
      <c r="B39" s="695">
        <v>108532246</v>
      </c>
      <c r="C39" s="696" t="s">
        <v>3175</v>
      </c>
      <c r="D39" s="690">
        <v>46053</v>
      </c>
      <c r="E39" s="691">
        <v>189486</v>
      </c>
      <c r="F39" s="730"/>
      <c r="G39" s="624"/>
      <c r="H39" s="626"/>
      <c r="I39" s="576"/>
      <c r="J39" s="574"/>
      <c r="K39" s="575"/>
      <c r="L39" s="483"/>
    </row>
    <row r="40" spans="2:12">
      <c r="B40" s="695">
        <v>775451475</v>
      </c>
      <c r="C40" s="696" t="s">
        <v>2983</v>
      </c>
      <c r="D40" s="690">
        <v>45947</v>
      </c>
      <c r="E40" s="691">
        <f>7217168-4023891</f>
        <v>3193277</v>
      </c>
      <c r="F40" s="730"/>
      <c r="G40" s="624" t="s">
        <v>3141</v>
      </c>
      <c r="H40" s="626"/>
      <c r="I40" s="576"/>
      <c r="J40" s="574"/>
      <c r="K40" s="575"/>
      <c r="L40" s="483"/>
    </row>
    <row r="41" spans="2:12">
      <c r="B41" s="695">
        <v>968056905</v>
      </c>
      <c r="C41" s="696" t="s">
        <v>3222</v>
      </c>
      <c r="D41" s="690">
        <v>46053</v>
      </c>
      <c r="E41" s="691">
        <v>65450</v>
      </c>
      <c r="F41" s="730"/>
      <c r="G41" s="624"/>
      <c r="H41" s="626"/>
      <c r="I41" s="576"/>
      <c r="J41" s="574"/>
      <c r="K41" s="575"/>
      <c r="L41" s="483"/>
    </row>
    <row r="42" spans="2:12">
      <c r="B42" s="695">
        <v>992250003</v>
      </c>
      <c r="C42" s="696" t="s">
        <v>3178</v>
      </c>
      <c r="D42" s="690">
        <v>46053</v>
      </c>
      <c r="E42" s="691">
        <f>286324</f>
        <v>286324</v>
      </c>
      <c r="F42" s="730"/>
      <c r="G42" s="624"/>
      <c r="H42" s="626"/>
      <c r="I42" s="576"/>
      <c r="J42" s="574"/>
      <c r="K42" s="575"/>
      <c r="L42" s="483"/>
    </row>
    <row r="43" spans="2:12">
      <c r="B43" s="695">
        <v>775706945</v>
      </c>
      <c r="C43" s="696" t="s">
        <v>3177</v>
      </c>
      <c r="D43" s="690">
        <v>46050</v>
      </c>
      <c r="E43" s="691">
        <v>1317343</v>
      </c>
      <c r="F43" s="730"/>
      <c r="G43" s="624"/>
      <c r="H43" s="626"/>
      <c r="I43" s="576"/>
      <c r="J43" s="574"/>
      <c r="K43" s="575"/>
      <c r="L43" s="483"/>
    </row>
    <row r="44" spans="2:12">
      <c r="B44" s="695">
        <v>121704536</v>
      </c>
      <c r="C44" s="696" t="s">
        <v>2725</v>
      </c>
      <c r="D44" s="690">
        <v>45968</v>
      </c>
      <c r="E44" s="691">
        <f>630703-250000</f>
        <v>380703</v>
      </c>
      <c r="F44" s="730"/>
      <c r="G44" s="626" t="s">
        <v>3237</v>
      </c>
      <c r="I44" s="576"/>
      <c r="J44" s="574"/>
      <c r="K44" s="575"/>
      <c r="L44" s="483"/>
    </row>
    <row r="45" spans="2:12">
      <c r="B45" s="695">
        <v>937370008</v>
      </c>
      <c r="C45" s="696" t="s">
        <v>2758</v>
      </c>
      <c r="D45" s="697">
        <v>45868</v>
      </c>
      <c r="E45" s="691">
        <v>109810</v>
      </c>
      <c r="F45" s="730"/>
      <c r="G45" s="711" t="s">
        <v>3137</v>
      </c>
      <c r="H45" s="626"/>
      <c r="I45" s="576"/>
      <c r="J45" s="574"/>
      <c r="K45" s="575"/>
      <c r="L45" s="483"/>
    </row>
    <row r="46" spans="2:12">
      <c r="B46" s="721"/>
      <c r="C46" s="722"/>
      <c r="D46" s="690"/>
      <c r="E46" s="691"/>
      <c r="F46" s="730"/>
      <c r="G46" s="711"/>
      <c r="H46" s="626"/>
      <c r="I46" s="576"/>
      <c r="J46" s="574"/>
      <c r="K46" s="575"/>
      <c r="L46" s="483"/>
    </row>
    <row r="47" spans="2:12">
      <c r="B47" s="846" t="s">
        <v>2425</v>
      </c>
      <c r="C47" s="847"/>
      <c r="D47" s="848"/>
      <c r="E47" s="692">
        <f>SUM(E35:E46)</f>
        <v>30795995</v>
      </c>
      <c r="F47" s="731" t="s">
        <v>2430</v>
      </c>
      <c r="G47" s="326"/>
      <c r="H47" s="539"/>
      <c r="I47" s="539"/>
      <c r="J47" s="539"/>
      <c r="K47" s="539"/>
      <c r="L47" s="539"/>
    </row>
    <row r="48" spans="2:12">
      <c r="B48" s="698"/>
      <c r="C48" s="699"/>
      <c r="D48" s="700"/>
      <c r="E48" s="701"/>
      <c r="F48" s="732"/>
      <c r="G48" s="445"/>
      <c r="H48" s="539"/>
      <c r="I48" s="539"/>
      <c r="J48" s="539"/>
      <c r="K48" s="539"/>
      <c r="L48" s="539"/>
    </row>
    <row r="49" spans="2:12">
      <c r="B49" s="188" t="s">
        <v>19</v>
      </c>
      <c r="C49" s="189"/>
      <c r="D49" s="189"/>
      <c r="E49" s="190"/>
      <c r="F49" s="728"/>
      <c r="H49" s="538"/>
      <c r="I49" s="538"/>
      <c r="J49" s="539"/>
      <c r="K49" s="539"/>
      <c r="L49" s="539"/>
    </row>
    <row r="50" spans="2:12">
      <c r="B50" s="498" t="s">
        <v>255</v>
      </c>
      <c r="C50" s="686" t="s">
        <v>183</v>
      </c>
      <c r="D50" s="498" t="s">
        <v>156</v>
      </c>
      <c r="E50" s="687" t="s">
        <v>185</v>
      </c>
      <c r="F50" s="728"/>
      <c r="H50" s="538"/>
      <c r="I50" s="539"/>
      <c r="J50" s="539"/>
      <c r="K50" s="539"/>
      <c r="L50" s="539"/>
    </row>
    <row r="51" spans="2:12">
      <c r="B51" s="688"/>
      <c r="C51" s="689"/>
      <c r="D51" s="702"/>
      <c r="E51" s="691"/>
      <c r="F51" s="728"/>
      <c r="I51" s="141"/>
    </row>
    <row r="52" spans="2:12">
      <c r="B52" s="846" t="s">
        <v>2424</v>
      </c>
      <c r="C52" s="847"/>
      <c r="D52" s="848"/>
      <c r="E52" s="692">
        <f>SUM(E51:E51)</f>
        <v>0</v>
      </c>
      <c r="F52" s="731" t="s">
        <v>2430</v>
      </c>
    </row>
    <row r="53" spans="2:12">
      <c r="B53" s="693"/>
      <c r="C53" s="693"/>
      <c r="D53" s="693"/>
      <c r="E53" s="694"/>
    </row>
    <row r="54" spans="2:12">
      <c r="B54" s="843" t="s">
        <v>20</v>
      </c>
      <c r="C54" s="844"/>
      <c r="D54" s="844"/>
      <c r="E54" s="845"/>
    </row>
    <row r="55" spans="2:12">
      <c r="B55" s="695" t="s">
        <v>1844</v>
      </c>
      <c r="C55" s="696" t="s">
        <v>3225</v>
      </c>
      <c r="D55" s="690">
        <v>46052</v>
      </c>
      <c r="E55" s="691">
        <f>8683566-9377634</f>
        <v>-694068</v>
      </c>
      <c r="F55" s="730"/>
      <c r="G55" s="624"/>
      <c r="H55" s="626"/>
      <c r="I55" s="576"/>
      <c r="J55" s="574"/>
      <c r="K55" s="575"/>
      <c r="L55" s="483"/>
    </row>
    <row r="56" spans="2:12">
      <c r="B56" s="695" t="s">
        <v>1844</v>
      </c>
      <c r="C56" s="696" t="s">
        <v>3226</v>
      </c>
      <c r="D56" s="690">
        <v>46052</v>
      </c>
      <c r="E56" s="691">
        <f>24099445-23682186</f>
        <v>417259</v>
      </c>
      <c r="F56" s="730"/>
      <c r="G56" s="624"/>
      <c r="H56" s="626"/>
      <c r="I56" s="576"/>
      <c r="J56" s="574"/>
      <c r="K56" s="575"/>
      <c r="L56" s="483"/>
    </row>
    <row r="57" spans="2:12">
      <c r="B57" s="695" t="s">
        <v>1844</v>
      </c>
      <c r="C57" s="696" t="s">
        <v>3227</v>
      </c>
      <c r="D57" s="690">
        <v>46052</v>
      </c>
      <c r="E57" s="691">
        <f>18231074-18106273</f>
        <v>124801</v>
      </c>
      <c r="F57" s="730"/>
      <c r="G57" s="624"/>
      <c r="H57" s="626"/>
      <c r="I57" s="576"/>
      <c r="J57" s="574"/>
      <c r="K57" s="575"/>
      <c r="L57" s="483"/>
    </row>
    <row r="58" spans="2:12">
      <c r="B58" s="695" t="s">
        <v>1844</v>
      </c>
      <c r="C58" s="696" t="s">
        <v>3228</v>
      </c>
      <c r="D58" s="690">
        <v>46052</v>
      </c>
      <c r="E58" s="691">
        <f>6691439-6104081</f>
        <v>587358</v>
      </c>
      <c r="F58" s="730"/>
      <c r="G58" s="624"/>
      <c r="H58" s="626"/>
      <c r="I58" s="576"/>
      <c r="J58" s="574"/>
      <c r="K58" s="575"/>
      <c r="L58" s="483"/>
    </row>
    <row r="59" spans="2:12">
      <c r="B59" s="695" t="s">
        <v>1844</v>
      </c>
      <c r="C59" s="696" t="s">
        <v>3229</v>
      </c>
      <c r="D59" s="690">
        <v>46052</v>
      </c>
      <c r="E59" s="691">
        <f>24524841-24086465</f>
        <v>438376</v>
      </c>
      <c r="F59" s="730"/>
      <c r="G59" s="624"/>
      <c r="H59" s="626"/>
      <c r="I59" s="576"/>
      <c r="J59" s="574"/>
      <c r="K59" s="575"/>
      <c r="L59" s="483"/>
    </row>
    <row r="60" spans="2:12">
      <c r="B60" s="695" t="s">
        <v>1844</v>
      </c>
      <c r="C60" s="696" t="s">
        <v>3230</v>
      </c>
      <c r="D60" s="690">
        <v>46052</v>
      </c>
      <c r="E60" s="691">
        <f>3565952-3555035</f>
        <v>10917</v>
      </c>
      <c r="F60" s="730"/>
      <c r="G60" s="624"/>
      <c r="H60" s="626"/>
      <c r="I60" s="576"/>
      <c r="J60" s="574"/>
      <c r="K60" s="575"/>
      <c r="L60" s="483"/>
    </row>
    <row r="61" spans="2:12">
      <c r="B61" s="695"/>
      <c r="C61" s="696"/>
      <c r="D61" s="690"/>
      <c r="E61" s="691"/>
      <c r="F61" s="730"/>
      <c r="G61" s="624"/>
      <c r="H61" s="626"/>
      <c r="I61" s="576"/>
      <c r="J61" s="574"/>
      <c r="K61" s="575"/>
      <c r="L61" s="483"/>
    </row>
    <row r="62" spans="2:12" ht="14" customHeight="1">
      <c r="B62" s="846" t="s">
        <v>2484</v>
      </c>
      <c r="C62" s="847"/>
      <c r="D62" s="848"/>
      <c r="E62" s="678">
        <f>SUM(E55:E61)</f>
        <v>884643</v>
      </c>
      <c r="F62" s="731" t="s">
        <v>2430</v>
      </c>
    </row>
    <row r="63" spans="2:12">
      <c r="B63" s="200"/>
      <c r="C63" s="200"/>
      <c r="D63" s="200"/>
      <c r="E63" s="571"/>
      <c r="F63" s="733"/>
    </row>
    <row r="64" spans="2:12">
      <c r="E64" s="734"/>
      <c r="F64" s="733"/>
    </row>
  </sheetData>
  <dataConsolidate/>
  <mergeCells count="13">
    <mergeCell ref="B1:E1"/>
    <mergeCell ref="B2:E2"/>
    <mergeCell ref="B3:E3"/>
    <mergeCell ref="B54:E54"/>
    <mergeCell ref="B62:D62"/>
    <mergeCell ref="B15:G15"/>
    <mergeCell ref="B6:G6"/>
    <mergeCell ref="B7:C7"/>
    <mergeCell ref="B13:C13"/>
    <mergeCell ref="B47:D47"/>
    <mergeCell ref="B52:D52"/>
    <mergeCell ref="B26:D26"/>
    <mergeCell ref="B31:D31"/>
  </mergeCells>
  <phoneticPr fontId="40" type="noConversion"/>
  <hyperlinks>
    <hyperlink ref="A1" location="'Balance 8 Columnas'!A1" display="'Balance 8 Columnas'!A1" xr:uid="{81182C88-E5F8-4B14-A55E-0AA655525EA7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ignoredErrors>
    <ignoredError sqref="B36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rgb="FF002060"/>
  </sheetPr>
  <dimension ref="A1:AD1893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4.3984375" style="80" customWidth="1"/>
    <col min="2" max="2" width="26" style="138" customWidth="1"/>
    <col min="3" max="3" width="25.09765625" style="80" customWidth="1"/>
    <col min="4" max="4" width="17.69921875" style="267" bestFit="1" customWidth="1"/>
    <col min="5" max="5" width="13.8984375" style="80" bestFit="1" customWidth="1"/>
    <col min="6" max="6" width="19" style="424" customWidth="1"/>
    <col min="7" max="7" width="15.8984375" style="138" customWidth="1"/>
    <col min="8" max="8" width="26.19921875" style="80" customWidth="1"/>
    <col min="9" max="9" width="17.3984375" style="80" customWidth="1"/>
    <col min="10" max="10" width="13.69921875" style="293" bestFit="1" customWidth="1"/>
    <col min="11" max="11" width="13.69921875" style="293" customWidth="1"/>
    <col min="12" max="15" width="15.09765625" style="293" customWidth="1"/>
    <col min="16" max="19" width="13.296875" style="293" customWidth="1"/>
    <col min="20" max="20" width="13.296875" style="529" customWidth="1"/>
    <col min="21" max="21" width="13.296875" style="80" customWidth="1"/>
    <col min="22" max="30" width="14.3984375" style="80" customWidth="1"/>
    <col min="31" max="16384" width="14.3984375" style="80"/>
  </cols>
  <sheetData>
    <row r="1" spans="1:30" ht="20.95">
      <c r="A1" s="431" t="s">
        <v>590</v>
      </c>
      <c r="B1" s="849" t="s">
        <v>195</v>
      </c>
      <c r="C1" s="849"/>
      <c r="D1" s="849"/>
      <c r="E1" s="849"/>
      <c r="F1" s="849"/>
      <c r="G1" s="849"/>
      <c r="H1" s="849"/>
      <c r="I1" s="849"/>
      <c r="J1" s="532">
        <f ca="1">+C9-'Balance Clasificado'!D15</f>
        <v>-2.249262809753418</v>
      </c>
      <c r="K1" s="532"/>
    </row>
    <row r="2" spans="1:30">
      <c r="B2" s="811" t="s">
        <v>510</v>
      </c>
      <c r="C2" s="811"/>
      <c r="D2" s="811"/>
      <c r="E2" s="811"/>
      <c r="F2" s="811"/>
      <c r="G2" s="811"/>
      <c r="H2" s="811"/>
      <c r="I2" s="811"/>
    </row>
    <row r="3" spans="1:30">
      <c r="B3" s="821" t="str">
        <f>+'Deudores Diversos'!B3:F3</f>
        <v>Al 31 de enero de 2026</v>
      </c>
      <c r="C3" s="821"/>
      <c r="D3" s="821"/>
      <c r="E3" s="821"/>
      <c r="F3" s="821"/>
      <c r="G3" s="821"/>
      <c r="H3" s="821"/>
      <c r="I3" s="821"/>
    </row>
    <row r="4" spans="1:30">
      <c r="B4" s="78"/>
      <c r="C4" s="78"/>
      <c r="D4" s="382"/>
      <c r="E4" s="78"/>
      <c r="F4" s="422"/>
      <c r="G4" s="411"/>
      <c r="H4" s="78"/>
    </row>
    <row r="5" spans="1:30">
      <c r="B5" s="97" t="s">
        <v>511</v>
      </c>
      <c r="C5" s="78"/>
      <c r="D5" s="382"/>
      <c r="E5" s="78"/>
      <c r="F5" s="422"/>
      <c r="G5" s="411"/>
      <c r="H5" s="78"/>
    </row>
    <row r="6" spans="1:30" ht="14">
      <c r="B6" s="72" t="s">
        <v>62</v>
      </c>
      <c r="C6" s="72" t="s">
        <v>153</v>
      </c>
      <c r="D6" s="382"/>
      <c r="E6" s="78"/>
      <c r="F6" s="423"/>
      <c r="G6" s="412"/>
      <c r="H6" s="123"/>
    </row>
    <row r="7" spans="1:30">
      <c r="B7" s="126" t="s">
        <v>21</v>
      </c>
      <c r="C7" s="143">
        <f>+D41+I41</f>
        <v>1608492119</v>
      </c>
      <c r="D7" s="382"/>
      <c r="E7" s="144"/>
      <c r="F7" s="422"/>
      <c r="G7" s="411"/>
      <c r="H7" s="78"/>
    </row>
    <row r="8" spans="1:30">
      <c r="B8" s="126" t="s">
        <v>313</v>
      </c>
      <c r="C8" s="143">
        <f>+I1882</f>
        <v>215667427.7507371</v>
      </c>
      <c r="D8" s="382"/>
      <c r="E8" s="144"/>
      <c r="F8" s="422"/>
      <c r="G8" s="411"/>
      <c r="H8" s="78"/>
    </row>
    <row r="9" spans="1:30">
      <c r="B9" s="128" t="s">
        <v>512</v>
      </c>
      <c r="C9" s="129">
        <f>SUM(C7:C8)</f>
        <v>1824159546.7507372</v>
      </c>
      <c r="D9" s="382"/>
      <c r="E9" s="145"/>
      <c r="F9" s="422"/>
      <c r="G9" s="411"/>
      <c r="H9" s="78"/>
    </row>
    <row r="10" spans="1:30">
      <c r="B10" s="78"/>
      <c r="D10" s="382"/>
      <c r="E10" s="145"/>
      <c r="F10" s="422"/>
      <c r="G10" s="411"/>
      <c r="H10" s="78"/>
    </row>
    <row r="11" spans="1:30">
      <c r="B11" s="97" t="s">
        <v>513</v>
      </c>
      <c r="C11" s="78"/>
      <c r="D11" s="382"/>
      <c r="E11" s="78"/>
      <c r="F11" s="422"/>
      <c r="G11" s="411"/>
      <c r="H11" s="78"/>
    </row>
    <row r="12" spans="1:30">
      <c r="B12" s="97"/>
      <c r="C12" s="78"/>
      <c r="D12" s="382"/>
      <c r="E12" s="78"/>
      <c r="F12" s="422"/>
      <c r="G12" s="411"/>
      <c r="H12" s="78"/>
    </row>
    <row r="13" spans="1:30" ht="15.75" customHeight="1">
      <c r="B13" s="97" t="s">
        <v>3142</v>
      </c>
      <c r="C13" s="78"/>
      <c r="D13" s="382"/>
      <c r="E13" s="78"/>
      <c r="F13" s="422"/>
      <c r="G13" s="97" t="s">
        <v>3143</v>
      </c>
      <c r="H13" s="78"/>
      <c r="I13" s="382"/>
      <c r="J13" s="78"/>
      <c r="K13" s="533"/>
      <c r="L13" s="533"/>
      <c r="M13" s="533"/>
      <c r="N13" s="533"/>
      <c r="O13" s="533"/>
      <c r="P13" s="533"/>
      <c r="Q13" s="533"/>
      <c r="R13" s="533"/>
      <c r="S13" s="533"/>
      <c r="T13" s="530"/>
      <c r="U13" s="375"/>
      <c r="AD13" s="147"/>
    </row>
    <row r="14" spans="1:30" ht="27.8" customHeight="1">
      <c r="B14" s="380" t="s">
        <v>304</v>
      </c>
      <c r="C14" s="303" t="s">
        <v>305</v>
      </c>
      <c r="D14" s="415" t="s">
        <v>432</v>
      </c>
      <c r="E14" s="303" t="s">
        <v>433</v>
      </c>
      <c r="F14" s="741"/>
      <c r="G14" s="380" t="s">
        <v>304</v>
      </c>
      <c r="H14" s="303" t="s">
        <v>305</v>
      </c>
      <c r="I14" s="415" t="s">
        <v>432</v>
      </c>
      <c r="J14" s="303" t="s">
        <v>433</v>
      </c>
      <c r="K14" s="743"/>
      <c r="L14" s="743"/>
    </row>
    <row r="15" spans="1:30" ht="15.75" customHeight="1">
      <c r="B15" s="851" t="s">
        <v>306</v>
      </c>
      <c r="C15" s="246" t="s">
        <v>243</v>
      </c>
      <c r="D15" s="247">
        <f>SUM(D16:D26)</f>
        <v>16184834</v>
      </c>
      <c r="E15" s="247">
        <f>SUM(E16:E26)</f>
        <v>4654</v>
      </c>
      <c r="F15" s="741">
        <f>+D15+I15</f>
        <v>16184834</v>
      </c>
      <c r="G15" s="851" t="s">
        <v>306</v>
      </c>
      <c r="H15" s="246" t="s">
        <v>243</v>
      </c>
      <c r="I15" s="247">
        <f>SUM(I16:I26)</f>
        <v>0</v>
      </c>
      <c r="J15" s="247">
        <f>SUM(J16:J26)</f>
        <v>0</v>
      </c>
      <c r="K15" s="744">
        <f>+E15+J15</f>
        <v>4654</v>
      </c>
      <c r="L15" s="743"/>
    </row>
    <row r="16" spans="1:30">
      <c r="B16" s="852"/>
      <c r="C16" s="242" t="s">
        <v>1348</v>
      </c>
      <c r="D16" s="243">
        <v>534</v>
      </c>
      <c r="E16" s="243">
        <v>-2</v>
      </c>
      <c r="F16" s="742"/>
      <c r="G16" s="852"/>
      <c r="H16" s="242" t="s">
        <v>1348</v>
      </c>
      <c r="I16" s="243">
        <v>0</v>
      </c>
      <c r="J16" s="243">
        <v>0</v>
      </c>
      <c r="K16" s="743"/>
      <c r="L16" s="743"/>
    </row>
    <row r="17" spans="2:12">
      <c r="B17" s="852"/>
      <c r="C17" s="242" t="s">
        <v>1715</v>
      </c>
      <c r="D17" s="243">
        <v>818076</v>
      </c>
      <c r="E17" s="243">
        <v>192</v>
      </c>
      <c r="F17" s="742"/>
      <c r="G17" s="852"/>
      <c r="H17" s="242" t="s">
        <v>1715</v>
      </c>
      <c r="I17" s="243">
        <v>0</v>
      </c>
      <c r="J17" s="243">
        <v>0</v>
      </c>
      <c r="K17" s="743"/>
      <c r="L17" s="743"/>
    </row>
    <row r="18" spans="2:12">
      <c r="B18" s="852"/>
      <c r="C18" s="242" t="s">
        <v>1347</v>
      </c>
      <c r="D18" s="243">
        <v>11975</v>
      </c>
      <c r="E18" s="243">
        <v>12</v>
      </c>
      <c r="F18" s="742"/>
      <c r="G18" s="852"/>
      <c r="H18" s="242" t="s">
        <v>1347</v>
      </c>
      <c r="I18" s="243">
        <v>0</v>
      </c>
      <c r="J18" s="243">
        <v>0</v>
      </c>
      <c r="K18" s="743"/>
      <c r="L18" s="743"/>
    </row>
    <row r="19" spans="2:12">
      <c r="B19" s="852"/>
      <c r="C19" s="242" t="s">
        <v>1343</v>
      </c>
      <c r="D19" s="243">
        <v>659932</v>
      </c>
      <c r="E19" s="243">
        <v>137</v>
      </c>
      <c r="F19" s="742"/>
      <c r="G19" s="852"/>
      <c r="H19" s="242" t="s">
        <v>1343</v>
      </c>
      <c r="I19" s="243">
        <v>0</v>
      </c>
      <c r="J19" s="243">
        <v>0</v>
      </c>
      <c r="K19" s="743"/>
      <c r="L19" s="743"/>
    </row>
    <row r="20" spans="2:12">
      <c r="B20" s="852"/>
      <c r="C20" s="242" t="s">
        <v>1342</v>
      </c>
      <c r="D20" s="243">
        <v>1012610</v>
      </c>
      <c r="E20" s="243">
        <v>191</v>
      </c>
      <c r="F20" s="742"/>
      <c r="G20" s="852"/>
      <c r="H20" s="242" t="s">
        <v>1342</v>
      </c>
      <c r="I20" s="243">
        <v>0</v>
      </c>
      <c r="J20" s="243">
        <v>0</v>
      </c>
      <c r="K20" s="743"/>
      <c r="L20" s="743"/>
    </row>
    <row r="21" spans="2:12">
      <c r="B21" s="852"/>
      <c r="C21" s="242" t="s">
        <v>1345</v>
      </c>
      <c r="D21" s="243">
        <v>940489</v>
      </c>
      <c r="E21" s="243">
        <v>183</v>
      </c>
      <c r="F21" s="742"/>
      <c r="G21" s="852"/>
      <c r="H21" s="242" t="s">
        <v>1345</v>
      </c>
      <c r="I21" s="243">
        <v>0</v>
      </c>
      <c r="J21" s="243">
        <v>0</v>
      </c>
      <c r="K21" s="743"/>
      <c r="L21" s="743"/>
    </row>
    <row r="22" spans="2:12">
      <c r="B22" s="852"/>
      <c r="C22" s="242" t="s">
        <v>1344</v>
      </c>
      <c r="D22" s="243">
        <v>1113035</v>
      </c>
      <c r="E22" s="243">
        <v>309</v>
      </c>
      <c r="F22" s="742"/>
      <c r="G22" s="852"/>
      <c r="H22" s="242" t="s">
        <v>1344</v>
      </c>
      <c r="I22" s="243">
        <v>0</v>
      </c>
      <c r="J22" s="243">
        <v>0</v>
      </c>
      <c r="K22" s="743"/>
      <c r="L22" s="743"/>
    </row>
    <row r="23" spans="2:12">
      <c r="B23" s="852"/>
      <c r="C23" s="242" t="s">
        <v>1920</v>
      </c>
      <c r="D23" s="243">
        <v>1081232</v>
      </c>
      <c r="E23" s="243">
        <v>389</v>
      </c>
      <c r="F23" s="742"/>
      <c r="G23" s="852"/>
      <c r="H23" s="242" t="s">
        <v>1920</v>
      </c>
      <c r="I23" s="243">
        <v>0</v>
      </c>
      <c r="J23" s="243">
        <v>0</v>
      </c>
      <c r="K23" s="743"/>
      <c r="L23" s="743"/>
    </row>
    <row r="24" spans="2:12">
      <c r="B24" s="852"/>
      <c r="C24" s="283" t="s">
        <v>2235</v>
      </c>
      <c r="D24" s="243">
        <v>993136</v>
      </c>
      <c r="E24" s="243">
        <v>315</v>
      </c>
      <c r="F24" s="742"/>
      <c r="G24" s="852"/>
      <c r="H24" s="283" t="s">
        <v>2235</v>
      </c>
      <c r="I24" s="243">
        <v>0</v>
      </c>
      <c r="J24" s="243">
        <v>0</v>
      </c>
      <c r="K24" s="743"/>
      <c r="L24" s="743"/>
    </row>
    <row r="25" spans="2:12">
      <c r="B25" s="852"/>
      <c r="C25" s="283" t="s">
        <v>2344</v>
      </c>
      <c r="D25" s="243">
        <v>658208</v>
      </c>
      <c r="E25" s="243">
        <v>141</v>
      </c>
      <c r="F25" s="742"/>
      <c r="G25" s="852"/>
      <c r="H25" s="283" t="s">
        <v>2344</v>
      </c>
      <c r="I25" s="243">
        <v>0</v>
      </c>
      <c r="J25" s="243">
        <v>0</v>
      </c>
      <c r="K25" s="743"/>
      <c r="L25" s="743"/>
    </row>
    <row r="26" spans="2:12">
      <c r="B26" s="852"/>
      <c r="C26" s="283" t="s">
        <v>1339</v>
      </c>
      <c r="D26" s="243">
        <v>8895607</v>
      </c>
      <c r="E26" s="243">
        <v>2787</v>
      </c>
      <c r="F26" s="742"/>
      <c r="G26" s="852"/>
      <c r="H26" s="283" t="s">
        <v>1339</v>
      </c>
      <c r="I26" s="243">
        <v>0</v>
      </c>
      <c r="J26" s="243">
        <v>0</v>
      </c>
      <c r="K26" s="743"/>
      <c r="L26" s="743"/>
    </row>
    <row r="27" spans="2:12">
      <c r="B27" s="851" t="s">
        <v>307</v>
      </c>
      <c r="C27" s="246" t="s">
        <v>243</v>
      </c>
      <c r="D27" s="282">
        <f>SUM(D28:D39)</f>
        <v>1415676636</v>
      </c>
      <c r="E27" s="282">
        <f>SUM(E28:E39)</f>
        <v>56281</v>
      </c>
      <c r="F27" s="742">
        <f>+D27+I27</f>
        <v>1592307285</v>
      </c>
      <c r="G27" s="851" t="s">
        <v>307</v>
      </c>
      <c r="H27" s="246" t="s">
        <v>243</v>
      </c>
      <c r="I27" s="282">
        <f>SUM(I28:I39)</f>
        <v>176630649</v>
      </c>
      <c r="J27" s="282">
        <f>SUM(J28:J39)</f>
        <v>6855</v>
      </c>
      <c r="K27" s="744">
        <f>+E27+J27</f>
        <v>63136</v>
      </c>
      <c r="L27" s="743"/>
    </row>
    <row r="28" spans="2:12">
      <c r="B28" s="852"/>
      <c r="C28" s="242" t="s">
        <v>1348</v>
      </c>
      <c r="D28" s="243">
        <f>1178946+210996</f>
        <v>1389942</v>
      </c>
      <c r="E28" s="243">
        <f>45+5</f>
        <v>50</v>
      </c>
      <c r="F28" s="742"/>
      <c r="G28" s="852"/>
      <c r="H28" s="242" t="s">
        <v>1348</v>
      </c>
      <c r="I28" s="243">
        <v>0</v>
      </c>
      <c r="J28" s="243">
        <v>0</v>
      </c>
      <c r="K28" s="743"/>
      <c r="L28" s="743"/>
    </row>
    <row r="29" spans="2:12">
      <c r="B29" s="852"/>
      <c r="C29" s="242" t="s">
        <v>1715</v>
      </c>
      <c r="D29" s="243">
        <f>55999974+2481553</f>
        <v>58481527</v>
      </c>
      <c r="E29" s="243">
        <f>2329+62</f>
        <v>2391</v>
      </c>
      <c r="F29" s="742"/>
      <c r="G29" s="852"/>
      <c r="H29" s="242" t="s">
        <v>1715</v>
      </c>
      <c r="I29" s="243">
        <v>13722176</v>
      </c>
      <c r="J29" s="243">
        <v>525</v>
      </c>
      <c r="K29" s="743"/>
      <c r="L29" s="743"/>
    </row>
    <row r="30" spans="2:12">
      <c r="B30" s="852"/>
      <c r="C30" s="242" t="s">
        <v>1347</v>
      </c>
      <c r="D30" s="243">
        <v>-26685</v>
      </c>
      <c r="E30" s="243">
        <v>-1</v>
      </c>
      <c r="F30" s="742"/>
      <c r="G30" s="852"/>
      <c r="H30" s="242" t="s">
        <v>1347</v>
      </c>
      <c r="I30" s="243">
        <v>0</v>
      </c>
      <c r="J30" s="243">
        <v>0</v>
      </c>
      <c r="K30" s="743"/>
      <c r="L30" s="743"/>
    </row>
    <row r="31" spans="2:12">
      <c r="B31" s="852"/>
      <c r="C31" s="242" t="s">
        <v>1343</v>
      </c>
      <c r="D31" s="243">
        <f>58663551+2283236</f>
        <v>60946787</v>
      </c>
      <c r="E31" s="243">
        <f>2443+57</f>
        <v>2500</v>
      </c>
      <c r="F31" s="742"/>
      <c r="G31" s="852"/>
      <c r="H31" s="242" t="s">
        <v>1343</v>
      </c>
      <c r="I31" s="243">
        <v>11634984</v>
      </c>
      <c r="J31" s="243">
        <v>452</v>
      </c>
      <c r="K31" s="743"/>
      <c r="L31" s="743"/>
    </row>
    <row r="32" spans="2:12">
      <c r="B32" s="852"/>
      <c r="C32" s="242" t="s">
        <v>1342</v>
      </c>
      <c r="D32" s="243">
        <f>49733848+1784661</f>
        <v>51518509</v>
      </c>
      <c r="E32" s="243">
        <f>2057+45</f>
        <v>2102</v>
      </c>
      <c r="F32" s="742"/>
      <c r="G32" s="852"/>
      <c r="H32" s="242" t="s">
        <v>1342</v>
      </c>
      <c r="I32" s="243">
        <v>12225594</v>
      </c>
      <c r="J32" s="243">
        <v>472</v>
      </c>
      <c r="K32" s="743"/>
      <c r="L32" s="743"/>
    </row>
    <row r="33" spans="2:20">
      <c r="B33" s="852"/>
      <c r="C33" s="242" t="s">
        <v>1345</v>
      </c>
      <c r="D33" s="243">
        <v>37155879</v>
      </c>
      <c r="E33" s="243">
        <v>1563</v>
      </c>
      <c r="F33" s="742"/>
      <c r="G33" s="852"/>
      <c r="H33" s="242" t="s">
        <v>1345</v>
      </c>
      <c r="I33" s="243">
        <v>5466014</v>
      </c>
      <c r="J33" s="243">
        <v>216</v>
      </c>
      <c r="K33" s="743"/>
      <c r="L33" s="743"/>
    </row>
    <row r="34" spans="2:20">
      <c r="B34" s="852"/>
      <c r="C34" s="242" t="s">
        <v>1341</v>
      </c>
      <c r="D34" s="243">
        <v>149892</v>
      </c>
      <c r="E34" s="243">
        <v>4</v>
      </c>
      <c r="F34" s="742"/>
      <c r="G34" s="852"/>
      <c r="H34" s="242" t="s">
        <v>1341</v>
      </c>
      <c r="I34" s="243">
        <v>0</v>
      </c>
      <c r="J34" s="243">
        <v>0</v>
      </c>
      <c r="K34" s="743"/>
      <c r="L34" s="743"/>
    </row>
    <row r="35" spans="2:20">
      <c r="B35" s="852"/>
      <c r="C35" s="242" t="s">
        <v>1344</v>
      </c>
      <c r="D35" s="243">
        <f>46787856+323196+995465</f>
        <v>48106517</v>
      </c>
      <c r="E35" s="243">
        <f>1977+12+25</f>
        <v>2014</v>
      </c>
      <c r="F35" s="742"/>
      <c r="G35" s="852"/>
      <c r="H35" s="242" t="s">
        <v>1344</v>
      </c>
      <c r="I35" s="243">
        <v>7349559</v>
      </c>
      <c r="J35" s="243">
        <v>295</v>
      </c>
      <c r="K35" s="743"/>
      <c r="L35" s="743"/>
    </row>
    <row r="36" spans="2:20">
      <c r="B36" s="852"/>
      <c r="C36" s="283" t="s">
        <v>1920</v>
      </c>
      <c r="D36" s="243">
        <v>46770973</v>
      </c>
      <c r="E36" s="243">
        <v>1971</v>
      </c>
      <c r="F36" s="742"/>
      <c r="G36" s="852"/>
      <c r="H36" s="283" t="s">
        <v>1920</v>
      </c>
      <c r="I36" s="243">
        <v>5389663</v>
      </c>
      <c r="J36" s="243">
        <v>207</v>
      </c>
      <c r="K36" s="743"/>
      <c r="L36" s="743"/>
    </row>
    <row r="37" spans="2:20">
      <c r="B37" s="852"/>
      <c r="C37" s="283" t="s">
        <v>2235</v>
      </c>
      <c r="D37" s="243">
        <v>40986099</v>
      </c>
      <c r="E37" s="243">
        <v>1703</v>
      </c>
      <c r="F37" s="742"/>
      <c r="G37" s="852"/>
      <c r="H37" s="283" t="s">
        <v>2235</v>
      </c>
      <c r="I37" s="243">
        <v>7149372</v>
      </c>
      <c r="J37" s="243">
        <v>277</v>
      </c>
      <c r="K37" s="743"/>
      <c r="L37" s="743"/>
    </row>
    <row r="38" spans="2:20">
      <c r="B38" s="852"/>
      <c r="C38" s="283" t="s">
        <v>2344</v>
      </c>
      <c r="D38" s="243">
        <v>36689443</v>
      </c>
      <c r="E38" s="243">
        <v>1540</v>
      </c>
      <c r="F38" s="742"/>
      <c r="G38" s="852"/>
      <c r="H38" s="283" t="s">
        <v>2344</v>
      </c>
      <c r="I38" s="243">
        <v>12402944</v>
      </c>
      <c r="J38" s="243">
        <v>474</v>
      </c>
      <c r="K38" s="743"/>
      <c r="L38" s="743"/>
    </row>
    <row r="39" spans="2:20">
      <c r="B39" s="852"/>
      <c r="C39" s="283" t="s">
        <v>1339</v>
      </c>
      <c r="D39" s="243">
        <f>980026016+4+53481733</f>
        <v>1033507753</v>
      </c>
      <c r="E39" s="243">
        <f>39149+4+1291</f>
        <v>40444</v>
      </c>
      <c r="F39" s="742"/>
      <c r="G39" s="852"/>
      <c r="H39" s="283" t="s">
        <v>1339</v>
      </c>
      <c r="I39" s="243">
        <v>101290343</v>
      </c>
      <c r="J39" s="243">
        <v>3937</v>
      </c>
      <c r="K39" s="743"/>
      <c r="L39" s="743"/>
    </row>
    <row r="40" spans="2:20" ht="26.9">
      <c r="B40" s="245" t="s">
        <v>309</v>
      </c>
      <c r="C40" s="246" t="s">
        <v>243</v>
      </c>
      <c r="D40" s="284">
        <v>0</v>
      </c>
      <c r="E40" s="284"/>
      <c r="F40" s="742"/>
      <c r="G40" s="245" t="s">
        <v>309</v>
      </c>
      <c r="H40" s="246" t="s">
        <v>243</v>
      </c>
      <c r="I40" s="284">
        <v>0</v>
      </c>
      <c r="J40" s="284"/>
      <c r="K40" s="743"/>
      <c r="L40" s="743"/>
    </row>
    <row r="41" spans="2:20">
      <c r="B41" s="853" t="s">
        <v>308</v>
      </c>
      <c r="C41" s="854"/>
      <c r="D41" s="244">
        <f>+D15+D27+D40</f>
        <v>1431861470</v>
      </c>
      <c r="E41" s="244">
        <f>+E15+E27+E40</f>
        <v>60935</v>
      </c>
      <c r="F41" s="742">
        <f>+D41+I41</f>
        <v>1608492119</v>
      </c>
      <c r="G41" s="853" t="s">
        <v>308</v>
      </c>
      <c r="H41" s="854"/>
      <c r="I41" s="244">
        <f>+I15+I27+I40</f>
        <v>176630649</v>
      </c>
      <c r="J41" s="244">
        <f>+J15+J27+J40</f>
        <v>6855</v>
      </c>
      <c r="K41" s="744">
        <f>+E41+J41</f>
        <v>67790</v>
      </c>
      <c r="L41" s="743"/>
    </row>
    <row r="42" spans="2:20">
      <c r="D42" s="446">
        <v>996402817</v>
      </c>
      <c r="E42" s="438"/>
    </row>
    <row r="43" spans="2:20">
      <c r="D43" s="446">
        <f>D41-D42</f>
        <v>435458653</v>
      </c>
      <c r="E43" s="448">
        <f>D43/803.3</f>
        <v>542087.20652309223</v>
      </c>
    </row>
    <row r="44" spans="2:20">
      <c r="B44" s="663" t="s">
        <v>3007</v>
      </c>
      <c r="D44" s="446">
        <f>D43/790.47</f>
        <v>550885.74265943049</v>
      </c>
    </row>
    <row r="46" spans="2:20" ht="14">
      <c r="B46" s="269"/>
      <c r="C46" s="269"/>
      <c r="D46" s="416" t="s">
        <v>330</v>
      </c>
      <c r="E46" s="269" t="s">
        <v>308</v>
      </c>
      <c r="F46" s="80"/>
      <c r="G46" s="80"/>
      <c r="H46" s="293"/>
      <c r="I46" s="293"/>
      <c r="N46" s="529"/>
      <c r="O46" s="80"/>
      <c r="P46" s="80"/>
      <c r="Q46" s="80"/>
      <c r="R46" s="80"/>
      <c r="S46" s="80"/>
      <c r="T46" s="80"/>
    </row>
    <row r="47" spans="2:20" ht="14">
      <c r="B47" s="270" t="s">
        <v>331</v>
      </c>
      <c r="C47" s="270" t="s">
        <v>305</v>
      </c>
      <c r="D47" s="417"/>
      <c r="E47" s="270"/>
      <c r="F47" s="80"/>
      <c r="G47" s="438"/>
      <c r="H47" s="438"/>
      <c r="I47" s="438"/>
      <c r="N47" s="529"/>
      <c r="O47" s="80"/>
      <c r="P47" s="80"/>
      <c r="Q47" s="80"/>
      <c r="R47" s="80"/>
      <c r="S47" s="80"/>
      <c r="T47" s="80"/>
    </row>
    <row r="48" spans="2:20" ht="14">
      <c r="B48" s="271" t="s">
        <v>307</v>
      </c>
      <c r="C48" t="s">
        <v>1348</v>
      </c>
      <c r="D48" s="274">
        <f>907-220+2</f>
        <v>689</v>
      </c>
      <c r="E48" s="274">
        <f t="shared" ref="E48:E59" si="0">SUM(D48:D48)</f>
        <v>689</v>
      </c>
      <c r="F48" s="80"/>
      <c r="G48" s="483" t="s">
        <v>1714</v>
      </c>
      <c r="H48" s="438"/>
      <c r="I48" s="438"/>
      <c r="N48" s="529"/>
      <c r="O48" s="80"/>
      <c r="P48" s="80"/>
      <c r="Q48" s="80"/>
      <c r="R48" s="80"/>
      <c r="S48" s="80"/>
      <c r="T48" s="80"/>
    </row>
    <row r="49" spans="2:20" ht="14">
      <c r="B49" s="271"/>
      <c r="C49" t="s">
        <v>1715</v>
      </c>
      <c r="D49" s="274">
        <v>682</v>
      </c>
      <c r="E49" s="274">
        <f t="shared" si="0"/>
        <v>682</v>
      </c>
      <c r="F49" s="80"/>
      <c r="G49" s="483" t="s">
        <v>1340</v>
      </c>
      <c r="H49" s="438"/>
      <c r="I49" s="438"/>
      <c r="N49" s="529"/>
      <c r="O49" s="80"/>
      <c r="P49" s="80"/>
      <c r="Q49" s="80"/>
      <c r="R49" s="80"/>
      <c r="S49" s="80"/>
      <c r="T49" s="80"/>
    </row>
    <row r="50" spans="2:20" ht="14">
      <c r="B50" s="271"/>
      <c r="C50" t="s">
        <v>1347</v>
      </c>
      <c r="D50" s="274">
        <v>0</v>
      </c>
      <c r="E50" s="274">
        <f t="shared" si="0"/>
        <v>0</v>
      </c>
      <c r="F50" s="80"/>
      <c r="G50" s="483" t="s">
        <v>1341</v>
      </c>
      <c r="H50" s="438"/>
      <c r="I50" s="438"/>
      <c r="N50" s="529"/>
      <c r="O50" s="80"/>
      <c r="P50" s="80"/>
      <c r="Q50" s="80"/>
      <c r="R50" s="80"/>
      <c r="S50" s="80"/>
      <c r="T50" s="80"/>
    </row>
    <row r="51" spans="2:20" ht="14">
      <c r="B51" s="271"/>
      <c r="C51" t="s">
        <v>1343</v>
      </c>
      <c r="D51" s="274">
        <v>459</v>
      </c>
      <c r="E51" s="274">
        <f t="shared" si="0"/>
        <v>459</v>
      </c>
      <c r="F51" s="80"/>
      <c r="G51" s="483" t="s">
        <v>1342</v>
      </c>
      <c r="H51" s="438"/>
      <c r="I51" s="438"/>
      <c r="N51" s="529"/>
      <c r="O51" s="80"/>
      <c r="P51" s="80"/>
      <c r="Q51" s="80"/>
      <c r="R51" s="80"/>
      <c r="S51" s="80"/>
      <c r="T51" s="80"/>
    </row>
    <row r="52" spans="2:20" ht="14">
      <c r="B52" s="271"/>
      <c r="C52" t="s">
        <v>1342</v>
      </c>
      <c r="D52" s="274">
        <v>940</v>
      </c>
      <c r="E52" s="274">
        <f t="shared" si="0"/>
        <v>940</v>
      </c>
      <c r="F52" s="80"/>
      <c r="G52" s="483" t="s">
        <v>1716</v>
      </c>
      <c r="H52" s="438"/>
      <c r="I52" s="438"/>
      <c r="N52" s="529"/>
      <c r="O52" s="80"/>
      <c r="P52" s="80"/>
      <c r="Q52" s="80"/>
      <c r="R52" s="80"/>
      <c r="S52" s="80"/>
      <c r="T52" s="80"/>
    </row>
    <row r="53" spans="2:20" ht="14">
      <c r="B53" s="271"/>
      <c r="C53" t="s">
        <v>1345</v>
      </c>
      <c r="D53" s="274">
        <v>442</v>
      </c>
      <c r="E53" s="274">
        <f t="shared" si="0"/>
        <v>442</v>
      </c>
      <c r="F53" s="80"/>
      <c r="G53" s="483" t="s">
        <v>1343</v>
      </c>
      <c r="H53" s="438"/>
      <c r="I53" s="438"/>
      <c r="N53" s="529"/>
      <c r="O53" s="80"/>
      <c r="P53" s="80"/>
      <c r="Q53" s="80"/>
      <c r="R53" s="80"/>
      <c r="S53" s="80"/>
      <c r="T53" s="80"/>
    </row>
    <row r="54" spans="2:20" ht="14">
      <c r="B54" s="271"/>
      <c r="C54" t="s">
        <v>1344</v>
      </c>
      <c r="D54" s="274">
        <v>783</v>
      </c>
      <c r="E54" s="274">
        <f t="shared" si="0"/>
        <v>783</v>
      </c>
      <c r="F54" s="80"/>
      <c r="G54" s="483" t="s">
        <v>1345</v>
      </c>
      <c r="H54" s="438"/>
      <c r="I54" s="438"/>
      <c r="N54" s="529"/>
      <c r="O54" s="80"/>
      <c r="P54" s="80"/>
      <c r="Q54" s="80"/>
      <c r="R54" s="80"/>
      <c r="S54" s="80"/>
      <c r="T54" s="80"/>
    </row>
    <row r="55" spans="2:20" ht="14">
      <c r="B55" s="271"/>
      <c r="C55" t="s">
        <v>1920</v>
      </c>
      <c r="D55" s="274">
        <v>359</v>
      </c>
      <c r="E55" s="274">
        <f t="shared" si="0"/>
        <v>359</v>
      </c>
      <c r="F55" s="80"/>
      <c r="G55" s="483" t="s">
        <v>1715</v>
      </c>
      <c r="H55" s="438"/>
      <c r="I55" s="438"/>
      <c r="N55" s="529"/>
      <c r="O55" s="80"/>
      <c r="P55" s="80"/>
      <c r="Q55" s="80"/>
      <c r="R55" s="80"/>
      <c r="S55" s="80"/>
      <c r="T55" s="80"/>
    </row>
    <row r="56" spans="2:20" ht="14">
      <c r="B56" s="271"/>
      <c r="C56" t="s">
        <v>2235</v>
      </c>
      <c r="D56" s="274">
        <v>352</v>
      </c>
      <c r="E56" s="274">
        <f t="shared" si="0"/>
        <v>352</v>
      </c>
      <c r="F56" s="80"/>
      <c r="G56" s="483" t="s">
        <v>2235</v>
      </c>
      <c r="H56" s="438"/>
      <c r="I56" s="438"/>
      <c r="N56" s="529"/>
      <c r="O56" s="80"/>
      <c r="P56" s="80"/>
      <c r="Q56" s="80"/>
      <c r="R56" s="80"/>
      <c r="S56" s="80"/>
      <c r="T56" s="80"/>
    </row>
    <row r="57" spans="2:20" ht="14">
      <c r="B57" s="271"/>
      <c r="C57" t="s">
        <v>2344</v>
      </c>
      <c r="D57" s="274">
        <v>489</v>
      </c>
      <c r="E57" s="274">
        <f t="shared" si="0"/>
        <v>489</v>
      </c>
      <c r="F57" s="80"/>
      <c r="G57" s="483"/>
      <c r="H57" s="438"/>
      <c r="I57" s="438"/>
      <c r="N57" s="529"/>
      <c r="O57" s="80"/>
      <c r="P57" s="80"/>
      <c r="Q57" s="80"/>
      <c r="R57" s="80"/>
      <c r="S57" s="80"/>
      <c r="T57" s="80"/>
    </row>
    <row r="58" spans="2:20" ht="14">
      <c r="B58" s="271"/>
      <c r="C58" t="s">
        <v>2592</v>
      </c>
      <c r="D58" s="274">
        <v>0</v>
      </c>
      <c r="E58" s="274">
        <f t="shared" si="0"/>
        <v>0</v>
      </c>
      <c r="F58" s="80"/>
      <c r="G58" s="483" t="s">
        <v>1346</v>
      </c>
      <c r="H58" s="438"/>
      <c r="I58" s="438"/>
      <c r="N58" s="529"/>
      <c r="O58" s="80"/>
      <c r="P58" s="80"/>
      <c r="Q58" s="80"/>
      <c r="R58" s="80"/>
      <c r="S58" s="80"/>
      <c r="T58" s="80"/>
    </row>
    <row r="59" spans="2:20" ht="14">
      <c r="B59" s="271"/>
      <c r="C59" t="s">
        <v>2593</v>
      </c>
      <c r="D59" s="274">
        <v>0</v>
      </c>
      <c r="E59" s="274">
        <f t="shared" si="0"/>
        <v>0</v>
      </c>
      <c r="F59" s="80"/>
      <c r="G59" s="483" t="s">
        <v>1346</v>
      </c>
      <c r="H59" s="438"/>
      <c r="I59" s="438"/>
      <c r="N59" s="529"/>
      <c r="O59" s="80"/>
      <c r="P59" s="80"/>
      <c r="Q59" s="80"/>
      <c r="R59" s="80"/>
      <c r="S59" s="80"/>
      <c r="T59" s="80"/>
    </row>
    <row r="60" spans="2:20" ht="14">
      <c r="B60" s="272" t="s">
        <v>332</v>
      </c>
      <c r="C60" s="272"/>
      <c r="D60" s="275">
        <f>SUM(D48:D59)</f>
        <v>5195</v>
      </c>
      <c r="E60" s="275">
        <f>SUM(E48:E59)</f>
        <v>5195</v>
      </c>
      <c r="F60" s="80"/>
      <c r="G60" s="577"/>
      <c r="H60" s="438"/>
      <c r="I60" s="438"/>
      <c r="N60" s="529"/>
      <c r="O60" s="80"/>
      <c r="P60" s="80"/>
      <c r="Q60" s="80"/>
      <c r="R60" s="80"/>
      <c r="S60" s="80"/>
      <c r="T60" s="80"/>
    </row>
    <row r="61" spans="2:20" ht="14">
      <c r="B61" s="271" t="s">
        <v>306</v>
      </c>
      <c r="C61" t="s">
        <v>1348</v>
      </c>
      <c r="D61" s="274">
        <v>14</v>
      </c>
      <c r="E61" s="274">
        <f t="shared" ref="E61:E70" si="1">SUM(D61:D61)</f>
        <v>14</v>
      </c>
      <c r="F61" s="80"/>
      <c r="G61" s="483" t="s">
        <v>1714</v>
      </c>
      <c r="H61" s="438"/>
      <c r="I61" s="438"/>
      <c r="N61" s="529"/>
      <c r="O61" s="80"/>
      <c r="P61" s="80"/>
      <c r="Q61" s="80"/>
      <c r="R61" s="80"/>
      <c r="S61" s="80"/>
      <c r="T61" s="80"/>
    </row>
    <row r="62" spans="2:20" ht="14">
      <c r="B62" s="271"/>
      <c r="C62" t="s">
        <v>1715</v>
      </c>
      <c r="D62" s="274">
        <v>93</v>
      </c>
      <c r="E62" s="274">
        <f t="shared" si="1"/>
        <v>93</v>
      </c>
      <c r="F62" s="80"/>
      <c r="G62" s="483" t="s">
        <v>1340</v>
      </c>
      <c r="H62" s="438"/>
      <c r="I62" s="438"/>
      <c r="N62" s="529"/>
      <c r="O62" s="80"/>
      <c r="P62" s="80"/>
      <c r="Q62" s="80"/>
      <c r="R62" s="80"/>
      <c r="S62" s="80"/>
      <c r="T62" s="80"/>
    </row>
    <row r="63" spans="2:20" ht="14">
      <c r="B63" s="271"/>
      <c r="C63" t="s">
        <v>1347</v>
      </c>
      <c r="D63" s="274">
        <v>0</v>
      </c>
      <c r="E63" s="274">
        <f t="shared" si="1"/>
        <v>0</v>
      </c>
      <c r="F63" s="80"/>
      <c r="G63" s="483" t="s">
        <v>1341</v>
      </c>
      <c r="H63" s="438"/>
      <c r="I63" s="438"/>
      <c r="N63" s="529"/>
      <c r="O63" s="80"/>
      <c r="P63" s="80"/>
      <c r="Q63" s="80"/>
      <c r="R63" s="80"/>
      <c r="S63" s="80"/>
      <c r="T63" s="80"/>
    </row>
    <row r="64" spans="2:20" ht="14">
      <c r="B64" s="271"/>
      <c r="C64" t="s">
        <v>1343</v>
      </c>
      <c r="D64" s="274">
        <v>115</v>
      </c>
      <c r="E64" s="274">
        <f t="shared" si="1"/>
        <v>115</v>
      </c>
      <c r="F64" s="80"/>
      <c r="G64" s="483" t="s">
        <v>1342</v>
      </c>
      <c r="H64" s="438"/>
      <c r="I64" s="438"/>
      <c r="N64" s="529"/>
      <c r="O64" s="80"/>
      <c r="P64" s="80"/>
      <c r="Q64" s="80"/>
      <c r="R64" s="80"/>
      <c r="S64" s="80"/>
      <c r="T64" s="80"/>
    </row>
    <row r="65" spans="2:20" ht="14">
      <c r="B65" s="271"/>
      <c r="C65" t="s">
        <v>1342</v>
      </c>
      <c r="D65" s="484">
        <v>140</v>
      </c>
      <c r="E65" s="274">
        <f t="shared" si="1"/>
        <v>140</v>
      </c>
      <c r="F65" s="80"/>
      <c r="G65" s="483" t="s">
        <v>1716</v>
      </c>
      <c r="H65" s="438"/>
      <c r="I65" s="438"/>
      <c r="N65" s="529"/>
      <c r="O65" s="80"/>
      <c r="P65" s="80"/>
      <c r="Q65" s="80"/>
      <c r="R65" s="80"/>
      <c r="S65" s="80"/>
      <c r="T65" s="80"/>
    </row>
    <row r="66" spans="2:20" ht="14">
      <c r="B66" s="271"/>
      <c r="C66" t="s">
        <v>1345</v>
      </c>
      <c r="D66" s="274">
        <v>65</v>
      </c>
      <c r="E66" s="274">
        <f t="shared" si="1"/>
        <v>65</v>
      </c>
      <c r="F66" s="80"/>
      <c r="G66" s="483" t="s">
        <v>1343</v>
      </c>
      <c r="H66" s="438"/>
      <c r="I66" s="438"/>
      <c r="N66" s="529"/>
      <c r="O66" s="80"/>
      <c r="P66" s="80"/>
      <c r="Q66" s="80"/>
      <c r="R66" s="80"/>
      <c r="S66" s="80"/>
      <c r="T66" s="80"/>
    </row>
    <row r="67" spans="2:20" ht="14">
      <c r="B67" s="271"/>
      <c r="C67" t="s">
        <v>1344</v>
      </c>
      <c r="D67" s="274">
        <v>93</v>
      </c>
      <c r="E67" s="274">
        <f t="shared" si="1"/>
        <v>93</v>
      </c>
      <c r="F67" s="80"/>
      <c r="G67" s="483" t="s">
        <v>1345</v>
      </c>
      <c r="H67" s="438"/>
      <c r="I67" s="438"/>
      <c r="N67" s="529"/>
      <c r="O67" s="80"/>
      <c r="P67" s="80"/>
      <c r="Q67" s="80"/>
      <c r="R67" s="80"/>
      <c r="S67" s="80"/>
      <c r="T67" s="80"/>
    </row>
    <row r="68" spans="2:20" ht="14">
      <c r="B68" s="271"/>
      <c r="C68" t="s">
        <v>1920</v>
      </c>
      <c r="D68" s="274">
        <v>61</v>
      </c>
      <c r="E68" s="274">
        <f t="shared" si="1"/>
        <v>61</v>
      </c>
      <c r="F68" s="80"/>
      <c r="G68" s="483" t="s">
        <v>1715</v>
      </c>
      <c r="H68" s="438"/>
      <c r="I68" s="438"/>
      <c r="N68" s="529"/>
      <c r="O68" s="80"/>
      <c r="P68" s="80"/>
      <c r="Q68" s="80"/>
      <c r="R68" s="80"/>
      <c r="S68" s="80"/>
      <c r="T68" s="80"/>
    </row>
    <row r="69" spans="2:20" ht="14">
      <c r="B69" s="271"/>
      <c r="C69" t="s">
        <v>2235</v>
      </c>
      <c r="D69" s="274">
        <v>216</v>
      </c>
      <c r="E69" s="274">
        <f t="shared" si="1"/>
        <v>216</v>
      </c>
      <c r="F69" s="80"/>
      <c r="G69" s="483" t="s">
        <v>2235</v>
      </c>
      <c r="H69" s="438"/>
      <c r="I69" s="438"/>
      <c r="N69" s="529"/>
      <c r="O69" s="80"/>
      <c r="P69" s="80"/>
      <c r="Q69" s="80"/>
      <c r="R69" s="80"/>
      <c r="S69" s="80"/>
      <c r="T69" s="80"/>
    </row>
    <row r="70" spans="2:20" ht="14">
      <c r="B70" s="271"/>
      <c r="C70" t="s">
        <v>2344</v>
      </c>
      <c r="D70" s="274">
        <v>92</v>
      </c>
      <c r="E70" s="274">
        <f t="shared" si="1"/>
        <v>92</v>
      </c>
      <c r="F70" s="80"/>
      <c r="G70" s="483"/>
      <c r="H70" s="438"/>
      <c r="I70" s="438"/>
      <c r="N70" s="529"/>
      <c r="O70" s="80"/>
      <c r="P70" s="80"/>
      <c r="Q70" s="80"/>
      <c r="R70" s="80"/>
      <c r="S70" s="80"/>
      <c r="T70" s="80"/>
    </row>
    <row r="71" spans="2:20" ht="14">
      <c r="B71" s="272" t="s">
        <v>333</v>
      </c>
      <c r="C71" s="272"/>
      <c r="D71" s="275">
        <f>SUM(D61:D70)</f>
        <v>889</v>
      </c>
      <c r="E71" s="275">
        <f>SUM(E61:E70)</f>
        <v>889</v>
      </c>
      <c r="F71" s="80"/>
      <c r="G71" s="438"/>
      <c r="H71" s="438"/>
      <c r="I71" s="438"/>
      <c r="N71" s="529"/>
      <c r="O71" s="80"/>
      <c r="P71" s="80"/>
      <c r="Q71" s="80"/>
      <c r="R71" s="80"/>
      <c r="S71" s="80"/>
      <c r="T71" s="80"/>
    </row>
    <row r="72" spans="2:20" ht="14">
      <c r="B72" s="273" t="s">
        <v>308</v>
      </c>
      <c r="C72" s="273"/>
      <c r="D72" s="276">
        <f>+D60+D71</f>
        <v>6084</v>
      </c>
      <c r="E72" s="276">
        <f>+E60+E71</f>
        <v>6084</v>
      </c>
      <c r="F72" s="745" t="s">
        <v>2430</v>
      </c>
      <c r="G72" s="80"/>
      <c r="H72" s="293"/>
      <c r="I72" s="293"/>
      <c r="N72" s="529"/>
      <c r="O72" s="80"/>
      <c r="P72" s="80"/>
      <c r="Q72" s="80"/>
      <c r="R72" s="80"/>
      <c r="S72" s="80"/>
      <c r="T72" s="80"/>
    </row>
    <row r="73" spans="2:20" ht="14">
      <c r="E73" s="293"/>
      <c r="F73" s="293"/>
      <c r="G73" s="293"/>
      <c r="H73" s="293"/>
      <c r="I73" s="293"/>
      <c r="J73" s="531"/>
      <c r="K73" s="405"/>
      <c r="L73" s="80"/>
      <c r="M73" s="80"/>
      <c r="N73" s="80"/>
      <c r="O73" s="80"/>
      <c r="P73" s="80"/>
      <c r="Q73" s="80"/>
      <c r="R73" s="80"/>
      <c r="S73" s="80"/>
      <c r="T73" s="274"/>
    </row>
    <row r="74" spans="2:20">
      <c r="B74" s="663" t="s">
        <v>3008</v>
      </c>
      <c r="D74" s="446">
        <f>D73/790.47</f>
        <v>0</v>
      </c>
      <c r="E74" s="293"/>
      <c r="F74" s="293"/>
      <c r="G74" s="293"/>
      <c r="H74" s="293"/>
      <c r="I74" s="293"/>
      <c r="J74" s="529"/>
      <c r="K74" s="80"/>
      <c r="L74" s="80"/>
      <c r="M74" s="80"/>
      <c r="N74" s="80"/>
      <c r="O74" s="80"/>
      <c r="P74" s="80"/>
      <c r="Q74" s="80"/>
      <c r="R74" s="80"/>
      <c r="S74" s="80"/>
      <c r="T74" s="80"/>
    </row>
    <row r="75" spans="2:20">
      <c r="E75" s="293"/>
      <c r="F75" s="293"/>
      <c r="G75" s="293"/>
      <c r="H75" s="293"/>
      <c r="I75" s="293"/>
      <c r="J75" s="529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2:20" ht="14">
      <c r="B76" s="269"/>
      <c r="C76" s="269"/>
      <c r="D76" s="416" t="s">
        <v>330</v>
      </c>
      <c r="E76" s="269" t="s">
        <v>308</v>
      </c>
      <c r="F76" s="80"/>
      <c r="G76" s="80"/>
      <c r="H76" s="293"/>
      <c r="I76" s="293"/>
      <c r="N76" s="529"/>
      <c r="O76" s="80"/>
      <c r="P76" s="80"/>
      <c r="Q76" s="80"/>
      <c r="R76" s="80"/>
      <c r="S76" s="80"/>
      <c r="T76" s="80"/>
    </row>
    <row r="77" spans="2:20" ht="14">
      <c r="B77" s="270" t="s">
        <v>331</v>
      </c>
      <c r="C77" s="270" t="s">
        <v>305</v>
      </c>
      <c r="D77" s="417"/>
      <c r="E77" s="270"/>
      <c r="F77" s="80"/>
      <c r="G77" s="438"/>
      <c r="H77" s="438"/>
      <c r="I77" s="438"/>
      <c r="N77" s="529"/>
      <c r="O77" s="80"/>
      <c r="P77" s="80"/>
      <c r="Q77" s="80"/>
      <c r="R77" s="80"/>
      <c r="S77" s="80"/>
      <c r="T77" s="80"/>
    </row>
    <row r="78" spans="2:20" ht="14">
      <c r="B78" s="271" t="s">
        <v>307</v>
      </c>
      <c r="C78" t="s">
        <v>1348</v>
      </c>
      <c r="D78" s="274">
        <f>16-1</f>
        <v>15</v>
      </c>
      <c r="E78" s="274">
        <f t="shared" ref="E78:E89" si="2">SUM(D78:D78)</f>
        <v>15</v>
      </c>
      <c r="F78" s="80"/>
      <c r="G78" s="483" t="s">
        <v>1714</v>
      </c>
      <c r="H78" s="438"/>
      <c r="I78" s="438"/>
      <c r="N78" s="529"/>
      <c r="O78" s="80"/>
      <c r="P78" s="80"/>
      <c r="Q78" s="80"/>
      <c r="R78" s="80"/>
      <c r="S78" s="80"/>
      <c r="T78" s="80"/>
    </row>
    <row r="79" spans="2:20" ht="14">
      <c r="B79" s="271"/>
      <c r="C79" t="s">
        <v>1715</v>
      </c>
      <c r="D79" s="274">
        <v>61</v>
      </c>
      <c r="E79" s="274">
        <f t="shared" si="2"/>
        <v>61</v>
      </c>
      <c r="F79" s="80"/>
      <c r="G79" s="483" t="s">
        <v>1340</v>
      </c>
      <c r="H79" s="438"/>
      <c r="I79" s="438"/>
      <c r="N79" s="529"/>
      <c r="O79" s="80"/>
      <c r="P79" s="80"/>
      <c r="Q79" s="80"/>
      <c r="R79" s="80"/>
      <c r="S79" s="80"/>
      <c r="T79" s="80"/>
    </row>
    <row r="80" spans="2:20" ht="14">
      <c r="B80" s="271"/>
      <c r="C80" t="s">
        <v>1347</v>
      </c>
      <c r="D80" s="274">
        <v>0</v>
      </c>
      <c r="E80" s="274">
        <f t="shared" si="2"/>
        <v>0</v>
      </c>
      <c r="F80" s="80"/>
      <c r="G80" s="483" t="s">
        <v>1341</v>
      </c>
      <c r="H80" s="438"/>
      <c r="I80" s="438"/>
      <c r="N80" s="529"/>
      <c r="O80" s="80"/>
      <c r="P80" s="80"/>
      <c r="Q80" s="80"/>
      <c r="R80" s="80"/>
      <c r="S80" s="80"/>
      <c r="T80" s="80"/>
    </row>
    <row r="81" spans="2:20" ht="14">
      <c r="B81" s="271"/>
      <c r="C81" t="s">
        <v>1343</v>
      </c>
      <c r="D81" s="274">
        <v>39</v>
      </c>
      <c r="E81" s="274">
        <f t="shared" si="2"/>
        <v>39</v>
      </c>
      <c r="F81" s="80"/>
      <c r="G81" s="483" t="s">
        <v>1342</v>
      </c>
      <c r="H81" s="438"/>
      <c r="I81" s="438"/>
      <c r="N81" s="529"/>
      <c r="O81" s="80"/>
      <c r="P81" s="80"/>
      <c r="Q81" s="80"/>
      <c r="R81" s="80"/>
      <c r="S81" s="80"/>
      <c r="T81" s="80"/>
    </row>
    <row r="82" spans="2:20" ht="14">
      <c r="B82" s="271"/>
      <c r="C82" t="s">
        <v>1342</v>
      </c>
      <c r="D82" s="274">
        <v>114</v>
      </c>
      <c r="E82" s="274">
        <f t="shared" si="2"/>
        <v>114</v>
      </c>
      <c r="F82" s="80"/>
      <c r="G82" s="483" t="s">
        <v>1716</v>
      </c>
      <c r="H82" s="438"/>
      <c r="I82" s="438"/>
      <c r="N82" s="529"/>
      <c r="O82" s="80"/>
      <c r="P82" s="80"/>
      <c r="Q82" s="80"/>
      <c r="R82" s="80"/>
      <c r="S82" s="80"/>
      <c r="T82" s="80"/>
    </row>
    <row r="83" spans="2:20" ht="14">
      <c r="B83" s="271"/>
      <c r="C83" t="s">
        <v>1345</v>
      </c>
      <c r="D83" s="274">
        <v>22</v>
      </c>
      <c r="E83" s="274">
        <f t="shared" si="2"/>
        <v>22</v>
      </c>
      <c r="F83" s="80"/>
      <c r="G83" s="483" t="s">
        <v>1343</v>
      </c>
      <c r="H83" s="438"/>
      <c r="I83" s="438"/>
      <c r="N83" s="529"/>
      <c r="O83" s="80"/>
      <c r="P83" s="80"/>
      <c r="Q83" s="80"/>
      <c r="R83" s="80"/>
      <c r="S83" s="80"/>
      <c r="T83" s="80"/>
    </row>
    <row r="84" spans="2:20" ht="14">
      <c r="B84" s="271"/>
      <c r="C84" t="s">
        <v>1344</v>
      </c>
      <c r="D84" s="274">
        <v>43</v>
      </c>
      <c r="E84" s="274">
        <f t="shared" si="2"/>
        <v>43</v>
      </c>
      <c r="F84" s="80"/>
      <c r="G84" s="483" t="s">
        <v>1345</v>
      </c>
      <c r="H84" s="438"/>
      <c r="I84" s="438"/>
      <c r="N84" s="529"/>
      <c r="O84" s="80"/>
      <c r="P84" s="80"/>
      <c r="Q84" s="80"/>
      <c r="R84" s="80"/>
      <c r="S84" s="80"/>
      <c r="T84" s="80"/>
    </row>
    <row r="85" spans="2:20" ht="14">
      <c r="B85" s="271"/>
      <c r="C85" t="s">
        <v>1920</v>
      </c>
      <c r="D85" s="274">
        <v>19</v>
      </c>
      <c r="E85" s="274">
        <f t="shared" si="2"/>
        <v>19</v>
      </c>
      <c r="F85" s="80"/>
      <c r="G85" s="483" t="s">
        <v>1715</v>
      </c>
      <c r="H85" s="438"/>
      <c r="I85" s="438"/>
      <c r="N85" s="529"/>
      <c r="O85" s="80"/>
      <c r="P85" s="80"/>
      <c r="Q85" s="80"/>
      <c r="R85" s="80"/>
      <c r="S85" s="80"/>
      <c r="T85" s="80"/>
    </row>
    <row r="86" spans="2:20" ht="14">
      <c r="B86" s="271"/>
      <c r="C86" t="s">
        <v>2235</v>
      </c>
      <c r="D86" s="274">
        <v>31</v>
      </c>
      <c r="E86" s="274">
        <f t="shared" si="2"/>
        <v>31</v>
      </c>
      <c r="F86" s="80"/>
      <c r="G86" s="483" t="s">
        <v>2235</v>
      </c>
      <c r="H86" s="438"/>
      <c r="I86" s="438"/>
      <c r="N86" s="529"/>
      <c r="O86" s="80"/>
      <c r="P86" s="80"/>
      <c r="Q86" s="80"/>
      <c r="R86" s="80"/>
      <c r="S86" s="80"/>
      <c r="T86" s="80"/>
    </row>
    <row r="87" spans="2:20" ht="14">
      <c r="B87" s="271"/>
      <c r="C87" t="s">
        <v>2344</v>
      </c>
      <c r="D87" s="274">
        <v>64</v>
      </c>
      <c r="E87" s="274">
        <f t="shared" si="2"/>
        <v>64</v>
      </c>
      <c r="F87" s="80"/>
      <c r="G87" s="483"/>
      <c r="H87" s="438"/>
      <c r="I87" s="438"/>
      <c r="N87" s="529"/>
      <c r="O87" s="80"/>
      <c r="P87" s="80"/>
      <c r="Q87" s="80"/>
      <c r="R87" s="80"/>
      <c r="S87" s="80"/>
      <c r="T87" s="80"/>
    </row>
    <row r="88" spans="2:20" ht="14">
      <c r="B88" s="271"/>
      <c r="C88" t="s">
        <v>2592</v>
      </c>
      <c r="D88" s="274"/>
      <c r="E88" s="274">
        <f t="shared" si="2"/>
        <v>0</v>
      </c>
      <c r="F88" s="80"/>
      <c r="G88" s="483" t="s">
        <v>1346</v>
      </c>
      <c r="H88" s="438"/>
      <c r="I88" s="438"/>
      <c r="N88" s="529"/>
      <c r="O88" s="80"/>
      <c r="P88" s="80"/>
      <c r="Q88" s="80"/>
      <c r="R88" s="80"/>
      <c r="S88" s="80"/>
      <c r="T88" s="80"/>
    </row>
    <row r="89" spans="2:20" ht="14">
      <c r="B89" s="271"/>
      <c r="C89" t="s">
        <v>2593</v>
      </c>
      <c r="D89" s="274">
        <v>0</v>
      </c>
      <c r="E89" s="274">
        <f t="shared" si="2"/>
        <v>0</v>
      </c>
      <c r="F89" s="80"/>
      <c r="G89" s="483" t="s">
        <v>1346</v>
      </c>
      <c r="H89" s="438"/>
      <c r="I89" s="438"/>
      <c r="N89" s="529"/>
      <c r="O89" s="80"/>
      <c r="P89" s="80"/>
      <c r="Q89" s="80"/>
      <c r="R89" s="80"/>
      <c r="S89" s="80"/>
      <c r="T89" s="80"/>
    </row>
    <row r="90" spans="2:20" ht="14">
      <c r="B90" s="272" t="s">
        <v>332</v>
      </c>
      <c r="C90" s="272"/>
      <c r="D90" s="275">
        <f>SUM(D78:D89)</f>
        <v>408</v>
      </c>
      <c r="E90" s="275">
        <f>SUM(E78:E89)</f>
        <v>408</v>
      </c>
      <c r="F90" s="745" t="s">
        <v>2430</v>
      </c>
      <c r="G90" s="577"/>
      <c r="H90" s="438"/>
      <c r="I90" s="438"/>
      <c r="N90" s="529"/>
      <c r="O90" s="80"/>
      <c r="P90" s="80"/>
      <c r="Q90" s="80"/>
      <c r="R90" s="80"/>
      <c r="S90" s="80"/>
      <c r="T90" s="80"/>
    </row>
    <row r="92" spans="2:20">
      <c r="B92" s="252" t="s">
        <v>313</v>
      </c>
    </row>
    <row r="93" spans="2:20">
      <c r="B93" s="253" t="s">
        <v>314</v>
      </c>
      <c r="C93" s="254" t="s">
        <v>315</v>
      </c>
      <c r="D93" s="418" t="s">
        <v>326</v>
      </c>
      <c r="E93" s="400" t="s">
        <v>218</v>
      </c>
      <c r="F93" s="425" t="s">
        <v>219</v>
      </c>
      <c r="G93" s="400" t="s">
        <v>220</v>
      </c>
      <c r="H93" s="400" t="s">
        <v>222</v>
      </c>
      <c r="I93" s="400" t="s">
        <v>221</v>
      </c>
    </row>
    <row r="94" spans="2:20">
      <c r="B94" s="156">
        <v>44895</v>
      </c>
      <c r="C94" s="255" t="s">
        <v>589</v>
      </c>
      <c r="D94" s="419">
        <f>F94*E94</f>
        <v>6633325.3869999992</v>
      </c>
      <c r="E94" s="376">
        <v>860.03</v>
      </c>
      <c r="F94" s="421">
        <v>7712.9</v>
      </c>
      <c r="G94" s="401">
        <v>865.1</v>
      </c>
      <c r="H94" s="402">
        <f t="shared" ref="H94:H144" si="3">+I94-D94</f>
        <v>39104.403000000864</v>
      </c>
      <c r="I94" s="402">
        <f t="shared" ref="I94:I144" si="4">+F94*G94</f>
        <v>6672429.79</v>
      </c>
    </row>
    <row r="95" spans="2:20" hidden="1">
      <c r="B95" s="156">
        <v>44897</v>
      </c>
      <c r="C95" s="255" t="s">
        <v>547</v>
      </c>
      <c r="D95" s="419">
        <f t="shared" ref="D95:D167" si="5">F95*E95</f>
        <v>604166.00160000008</v>
      </c>
      <c r="E95" s="376">
        <v>885.77</v>
      </c>
      <c r="F95" s="421">
        <v>682.08</v>
      </c>
      <c r="G95" s="401">
        <f>+G94</f>
        <v>865.1</v>
      </c>
      <c r="H95" s="402">
        <f t="shared" si="3"/>
        <v>-14098.593600000022</v>
      </c>
      <c r="I95" s="402">
        <f t="shared" si="4"/>
        <v>590067.40800000005</v>
      </c>
    </row>
    <row r="96" spans="2:20" hidden="1">
      <c r="B96" s="156">
        <v>44897</v>
      </c>
      <c r="C96" s="255" t="s">
        <v>548</v>
      </c>
      <c r="D96" s="419">
        <f t="shared" si="5"/>
        <v>755207.50199999998</v>
      </c>
      <c r="E96" s="376">
        <v>885.77</v>
      </c>
      <c r="F96" s="421">
        <v>852.6</v>
      </c>
      <c r="G96" s="401">
        <f t="shared" ref="G96:G168" si="6">+G95</f>
        <v>865.1</v>
      </c>
      <c r="H96" s="402">
        <f t="shared" si="3"/>
        <v>-17623.241999999969</v>
      </c>
      <c r="I96" s="402">
        <f t="shared" si="4"/>
        <v>737584.26</v>
      </c>
    </row>
    <row r="97" spans="2:9" hidden="1">
      <c r="B97" s="156">
        <v>44897</v>
      </c>
      <c r="C97" s="255" t="s">
        <v>549</v>
      </c>
      <c r="D97" s="419">
        <f t="shared" si="5"/>
        <v>755207.50199999998</v>
      </c>
      <c r="E97" s="376">
        <v>885.77</v>
      </c>
      <c r="F97" s="421">
        <v>852.6</v>
      </c>
      <c r="G97" s="401">
        <f t="shared" si="6"/>
        <v>865.1</v>
      </c>
      <c r="H97" s="402">
        <f t="shared" si="3"/>
        <v>-17623.241999999969</v>
      </c>
      <c r="I97" s="402">
        <f t="shared" si="4"/>
        <v>737584.26</v>
      </c>
    </row>
    <row r="98" spans="2:9" hidden="1">
      <c r="B98" s="156">
        <v>44897</v>
      </c>
      <c r="C98" s="255" t="s">
        <v>550</v>
      </c>
      <c r="D98" s="419">
        <f t="shared" si="5"/>
        <v>755207.50199999998</v>
      </c>
      <c r="E98" s="376">
        <v>885.77</v>
      </c>
      <c r="F98" s="421">
        <v>852.6</v>
      </c>
      <c r="G98" s="401">
        <f t="shared" si="6"/>
        <v>865.1</v>
      </c>
      <c r="H98" s="402">
        <f t="shared" si="3"/>
        <v>-17623.241999999969</v>
      </c>
      <c r="I98" s="402">
        <f t="shared" si="4"/>
        <v>737584.26</v>
      </c>
    </row>
    <row r="99" spans="2:9" hidden="1">
      <c r="B99" s="156">
        <v>44897</v>
      </c>
      <c r="C99" s="255" t="s">
        <v>551</v>
      </c>
      <c r="D99" s="419">
        <f t="shared" si="5"/>
        <v>906249.0024</v>
      </c>
      <c r="E99" s="376">
        <v>885.77</v>
      </c>
      <c r="F99" s="421">
        <v>1023.12</v>
      </c>
      <c r="G99" s="401">
        <f t="shared" si="6"/>
        <v>865.1</v>
      </c>
      <c r="H99" s="402">
        <f t="shared" si="3"/>
        <v>-21147.890399999917</v>
      </c>
      <c r="I99" s="402">
        <f t="shared" si="4"/>
        <v>885101.11200000008</v>
      </c>
    </row>
    <row r="100" spans="2:9" hidden="1">
      <c r="B100" s="156">
        <v>44897</v>
      </c>
      <c r="C100" s="255" t="s">
        <v>552</v>
      </c>
      <c r="D100" s="419">
        <f t="shared" si="5"/>
        <v>604166.00160000008</v>
      </c>
      <c r="E100" s="376">
        <v>885.77</v>
      </c>
      <c r="F100" s="421">
        <v>682.08</v>
      </c>
      <c r="G100" s="401">
        <f t="shared" si="6"/>
        <v>865.1</v>
      </c>
      <c r="H100" s="402">
        <f t="shared" si="3"/>
        <v>-14098.593600000022</v>
      </c>
      <c r="I100" s="402">
        <f t="shared" si="4"/>
        <v>590067.40800000005</v>
      </c>
    </row>
    <row r="101" spans="2:9" hidden="1">
      <c r="B101" s="156">
        <v>44897</v>
      </c>
      <c r="C101" s="255" t="s">
        <v>553</v>
      </c>
      <c r="D101" s="419">
        <f t="shared" si="5"/>
        <v>755207.50199999998</v>
      </c>
      <c r="E101" s="376">
        <v>885.77</v>
      </c>
      <c r="F101" s="421">
        <v>852.6</v>
      </c>
      <c r="G101" s="401">
        <f t="shared" si="6"/>
        <v>865.1</v>
      </c>
      <c r="H101" s="402">
        <f t="shared" si="3"/>
        <v>-17623.241999999969</v>
      </c>
      <c r="I101" s="402">
        <f t="shared" si="4"/>
        <v>737584.26</v>
      </c>
    </row>
    <row r="102" spans="2:9" hidden="1">
      <c r="B102" s="156">
        <v>44897</v>
      </c>
      <c r="C102" s="255" t="s">
        <v>554</v>
      </c>
      <c r="D102" s="419">
        <f t="shared" si="5"/>
        <v>2059362.1037999999</v>
      </c>
      <c r="E102" s="376">
        <v>885.77</v>
      </c>
      <c r="F102" s="421">
        <v>2324.94</v>
      </c>
      <c r="G102" s="401">
        <f t="shared" si="6"/>
        <v>865.1</v>
      </c>
      <c r="H102" s="402">
        <f t="shared" si="3"/>
        <v>-48056.509799999883</v>
      </c>
      <c r="I102" s="402">
        <f t="shared" si="4"/>
        <v>2011305.594</v>
      </c>
    </row>
    <row r="103" spans="2:9" hidden="1">
      <c r="B103" s="156">
        <v>44897</v>
      </c>
      <c r="C103" s="255" t="s">
        <v>555</v>
      </c>
      <c r="D103" s="419">
        <f t="shared" si="5"/>
        <v>2792602.5097999997</v>
      </c>
      <c r="E103" s="376">
        <v>885.77</v>
      </c>
      <c r="F103" s="421">
        <v>3152.74</v>
      </c>
      <c r="G103" s="401">
        <f t="shared" si="6"/>
        <v>865.1</v>
      </c>
      <c r="H103" s="402">
        <f t="shared" si="3"/>
        <v>-65167.135799999814</v>
      </c>
      <c r="I103" s="402">
        <f t="shared" si="4"/>
        <v>2727435.3739999998</v>
      </c>
    </row>
    <row r="104" spans="2:9" hidden="1">
      <c r="B104" s="156">
        <v>44897</v>
      </c>
      <c r="C104" s="255" t="s">
        <v>556</v>
      </c>
      <c r="D104" s="419">
        <f t="shared" si="5"/>
        <v>2792602.5097999997</v>
      </c>
      <c r="E104" s="376">
        <v>885.77</v>
      </c>
      <c r="F104" s="421">
        <v>3152.74</v>
      </c>
      <c r="G104" s="401">
        <f t="shared" si="6"/>
        <v>865.1</v>
      </c>
      <c r="H104" s="402">
        <f t="shared" si="3"/>
        <v>-65167.135799999814</v>
      </c>
      <c r="I104" s="402">
        <f t="shared" si="4"/>
        <v>2727435.3739999998</v>
      </c>
    </row>
    <row r="105" spans="2:9" hidden="1">
      <c r="B105" s="156">
        <v>44897</v>
      </c>
      <c r="C105" s="255" t="s">
        <v>557</v>
      </c>
      <c r="D105" s="419">
        <f t="shared" si="5"/>
        <v>2792602.5097999997</v>
      </c>
      <c r="E105" s="376">
        <v>885.77</v>
      </c>
      <c r="F105" s="421">
        <v>3152.74</v>
      </c>
      <c r="G105" s="401">
        <f t="shared" si="6"/>
        <v>865.1</v>
      </c>
      <c r="H105" s="402">
        <f t="shared" si="3"/>
        <v>-65167.135799999814</v>
      </c>
      <c r="I105" s="402">
        <f t="shared" si="4"/>
        <v>2727435.3739999998</v>
      </c>
    </row>
    <row r="106" spans="2:9" hidden="1">
      <c r="B106" s="156">
        <v>44897</v>
      </c>
      <c r="C106" s="255" t="s">
        <v>558</v>
      </c>
      <c r="D106" s="419">
        <f t="shared" si="5"/>
        <v>3683775.7068000003</v>
      </c>
      <c r="E106" s="376">
        <v>885.77</v>
      </c>
      <c r="F106" s="421">
        <v>4158.84</v>
      </c>
      <c r="G106" s="401">
        <f t="shared" si="6"/>
        <v>865.1</v>
      </c>
      <c r="H106" s="402">
        <f t="shared" si="3"/>
        <v>-85963.222800000105</v>
      </c>
      <c r="I106" s="402">
        <f t="shared" si="4"/>
        <v>3597812.4840000002</v>
      </c>
    </row>
    <row r="107" spans="2:9" hidden="1">
      <c r="B107" s="156">
        <v>44897</v>
      </c>
      <c r="C107" s="255" t="s">
        <v>559</v>
      </c>
      <c r="D107" s="419">
        <f t="shared" si="5"/>
        <v>3065047.6464</v>
      </c>
      <c r="E107" s="376">
        <v>885.77</v>
      </c>
      <c r="F107" s="421">
        <v>3460.32</v>
      </c>
      <c r="G107" s="401">
        <f t="shared" si="6"/>
        <v>865.1</v>
      </c>
      <c r="H107" s="402">
        <f t="shared" si="3"/>
        <v>-71524.814399999566</v>
      </c>
      <c r="I107" s="402">
        <f t="shared" si="4"/>
        <v>2993522.8320000004</v>
      </c>
    </row>
    <row r="108" spans="2:9" hidden="1">
      <c r="B108" s="156">
        <v>44897</v>
      </c>
      <c r="C108" s="255" t="s">
        <v>560</v>
      </c>
      <c r="D108" s="419">
        <f t="shared" si="5"/>
        <v>2009634.976</v>
      </c>
      <c r="E108" s="376">
        <v>885.77</v>
      </c>
      <c r="F108" s="421">
        <v>2268.8000000000002</v>
      </c>
      <c r="G108" s="401">
        <f t="shared" si="6"/>
        <v>865.1</v>
      </c>
      <c r="H108" s="402">
        <f t="shared" si="3"/>
        <v>-46896.095999999903</v>
      </c>
      <c r="I108" s="402">
        <f t="shared" si="4"/>
        <v>1962738.8800000001</v>
      </c>
    </row>
    <row r="109" spans="2:9" hidden="1">
      <c r="B109" s="156">
        <v>44897</v>
      </c>
      <c r="C109" s="255" t="s">
        <v>561</v>
      </c>
      <c r="D109" s="419">
        <f t="shared" si="5"/>
        <v>2929312.2516000001</v>
      </c>
      <c r="E109" s="376">
        <v>885.77</v>
      </c>
      <c r="F109" s="421">
        <v>3307.08</v>
      </c>
      <c r="G109" s="401">
        <f t="shared" si="6"/>
        <v>865.1</v>
      </c>
      <c r="H109" s="402">
        <f t="shared" si="3"/>
        <v>-68357.343600000255</v>
      </c>
      <c r="I109" s="402">
        <f t="shared" si="4"/>
        <v>2860954.9079999998</v>
      </c>
    </row>
    <row r="110" spans="2:9" ht="5.25" hidden="1" customHeight="1">
      <c r="B110" s="156">
        <v>44897</v>
      </c>
      <c r="C110" s="255" t="s">
        <v>562</v>
      </c>
      <c r="D110" s="419">
        <f t="shared" si="5"/>
        <v>2792602.5097999997</v>
      </c>
      <c r="E110" s="376">
        <v>885.77</v>
      </c>
      <c r="F110" s="421">
        <v>3152.74</v>
      </c>
      <c r="G110" s="401">
        <f t="shared" si="6"/>
        <v>865.1</v>
      </c>
      <c r="H110" s="402">
        <f t="shared" si="3"/>
        <v>-65167.135799999814</v>
      </c>
      <c r="I110" s="402">
        <f t="shared" si="4"/>
        <v>2727435.3739999998</v>
      </c>
    </row>
    <row r="111" spans="2:9" hidden="1">
      <c r="B111" s="156">
        <v>44897</v>
      </c>
      <c r="C111" s="255" t="s">
        <v>563</v>
      </c>
      <c r="D111" s="419">
        <f t="shared" si="5"/>
        <v>738661.31839999999</v>
      </c>
      <c r="E111" s="376">
        <v>885.77</v>
      </c>
      <c r="F111" s="421">
        <v>833.92</v>
      </c>
      <c r="G111" s="401">
        <f t="shared" si="6"/>
        <v>865.1</v>
      </c>
      <c r="H111" s="402">
        <f t="shared" si="3"/>
        <v>-17237.12639999995</v>
      </c>
      <c r="I111" s="402">
        <f t="shared" si="4"/>
        <v>721424.19200000004</v>
      </c>
    </row>
    <row r="112" spans="2:9" hidden="1">
      <c r="B112" s="156">
        <v>44902</v>
      </c>
      <c r="C112" s="255" t="s">
        <v>564</v>
      </c>
      <c r="D112" s="419">
        <f t="shared" si="5"/>
        <v>493047.90719999996</v>
      </c>
      <c r="E112" s="376">
        <v>884.74</v>
      </c>
      <c r="F112" s="421">
        <v>557.28</v>
      </c>
      <c r="G112" s="401">
        <f t="shared" si="6"/>
        <v>865.1</v>
      </c>
      <c r="H112" s="402">
        <f t="shared" si="3"/>
        <v>-10944.979199999943</v>
      </c>
      <c r="I112" s="402">
        <f t="shared" si="4"/>
        <v>482102.92800000001</v>
      </c>
    </row>
    <row r="113" spans="2:9" hidden="1">
      <c r="B113" s="156">
        <v>44902</v>
      </c>
      <c r="C113" s="255" t="s">
        <v>565</v>
      </c>
      <c r="D113" s="419">
        <f t="shared" si="5"/>
        <v>340164.83520000003</v>
      </c>
      <c r="E113" s="376">
        <v>884.74</v>
      </c>
      <c r="F113" s="421">
        <v>384.48</v>
      </c>
      <c r="G113" s="401">
        <f t="shared" si="6"/>
        <v>865.1</v>
      </c>
      <c r="H113" s="402">
        <f t="shared" si="3"/>
        <v>-7551.1871999999858</v>
      </c>
      <c r="I113" s="402">
        <f t="shared" si="4"/>
        <v>332613.64800000004</v>
      </c>
    </row>
    <row r="114" spans="2:9" hidden="1">
      <c r="B114" s="156">
        <v>44902</v>
      </c>
      <c r="C114" s="255" t="s">
        <v>566</v>
      </c>
      <c r="D114" s="419">
        <f t="shared" si="5"/>
        <v>739571.86080000002</v>
      </c>
      <c r="E114" s="376">
        <v>884.74</v>
      </c>
      <c r="F114" s="421">
        <v>835.92</v>
      </c>
      <c r="G114" s="401">
        <f t="shared" si="6"/>
        <v>865.1</v>
      </c>
      <c r="H114" s="402">
        <f t="shared" si="3"/>
        <v>-16417.468800000031</v>
      </c>
      <c r="I114" s="402">
        <f t="shared" si="4"/>
        <v>723154.39199999999</v>
      </c>
    </row>
    <row r="115" spans="2:9" hidden="1">
      <c r="B115" s="156">
        <v>44902</v>
      </c>
      <c r="C115" s="255" t="s">
        <v>567</v>
      </c>
      <c r="D115" s="419">
        <f t="shared" si="5"/>
        <v>739571.86080000002</v>
      </c>
      <c r="E115" s="376">
        <v>884.74</v>
      </c>
      <c r="F115" s="421">
        <v>835.92</v>
      </c>
      <c r="G115" s="401">
        <f t="shared" si="6"/>
        <v>865.1</v>
      </c>
      <c r="H115" s="402">
        <f t="shared" si="3"/>
        <v>-16417.468800000031</v>
      </c>
      <c r="I115" s="402">
        <f t="shared" si="4"/>
        <v>723154.39199999999</v>
      </c>
    </row>
    <row r="116" spans="2:9" hidden="1">
      <c r="B116" s="156">
        <v>44902</v>
      </c>
      <c r="C116" s="255" t="s">
        <v>568</v>
      </c>
      <c r="D116" s="419">
        <f t="shared" si="5"/>
        <v>340164.83520000003</v>
      </c>
      <c r="E116" s="376">
        <v>884.74</v>
      </c>
      <c r="F116" s="421">
        <v>384.48</v>
      </c>
      <c r="G116" s="401">
        <f t="shared" si="6"/>
        <v>865.1</v>
      </c>
      <c r="H116" s="402">
        <f t="shared" si="3"/>
        <v>-7551.1871999999858</v>
      </c>
      <c r="I116" s="402">
        <f t="shared" si="4"/>
        <v>332613.64800000004</v>
      </c>
    </row>
    <row r="117" spans="2:9" hidden="1">
      <c r="B117" s="156">
        <v>44902</v>
      </c>
      <c r="C117" s="255" t="s">
        <v>569</v>
      </c>
      <c r="D117" s="419">
        <f t="shared" si="5"/>
        <v>739571.86080000002</v>
      </c>
      <c r="E117" s="376">
        <v>884.74</v>
      </c>
      <c r="F117" s="421">
        <v>835.92</v>
      </c>
      <c r="G117" s="401">
        <f t="shared" si="6"/>
        <v>865.1</v>
      </c>
      <c r="H117" s="402">
        <f t="shared" si="3"/>
        <v>-16417.468800000031</v>
      </c>
      <c r="I117" s="402">
        <f t="shared" si="4"/>
        <v>723154.39199999999</v>
      </c>
    </row>
    <row r="118" spans="2:9" hidden="1">
      <c r="B118" s="156">
        <v>44902</v>
      </c>
      <c r="C118" s="255" t="s">
        <v>570</v>
      </c>
      <c r="D118" s="419">
        <f t="shared" si="5"/>
        <v>493047.90719999996</v>
      </c>
      <c r="E118" s="376">
        <v>884.74</v>
      </c>
      <c r="F118" s="421">
        <v>557.28</v>
      </c>
      <c r="G118" s="401">
        <f t="shared" si="6"/>
        <v>865.1</v>
      </c>
      <c r="H118" s="402">
        <f t="shared" si="3"/>
        <v>-10944.979199999943</v>
      </c>
      <c r="I118" s="402">
        <f t="shared" si="4"/>
        <v>482102.92800000001</v>
      </c>
    </row>
    <row r="119" spans="2:9" hidden="1">
      <c r="B119" s="156">
        <v>44902</v>
      </c>
      <c r="C119" s="255" t="s">
        <v>571</v>
      </c>
      <c r="D119" s="419">
        <f t="shared" si="5"/>
        <v>493047.90719999996</v>
      </c>
      <c r="E119" s="376">
        <v>884.74</v>
      </c>
      <c r="F119" s="421">
        <v>557.28</v>
      </c>
      <c r="G119" s="401">
        <f t="shared" si="6"/>
        <v>865.1</v>
      </c>
      <c r="H119" s="402">
        <f t="shared" si="3"/>
        <v>-10944.979199999943</v>
      </c>
      <c r="I119" s="402">
        <f t="shared" si="4"/>
        <v>482102.92800000001</v>
      </c>
    </row>
    <row r="120" spans="2:9" hidden="1">
      <c r="B120" s="156">
        <v>44902</v>
      </c>
      <c r="C120" s="255" t="s">
        <v>572</v>
      </c>
      <c r="D120" s="419">
        <f t="shared" si="5"/>
        <v>340164.83520000003</v>
      </c>
      <c r="E120" s="376">
        <v>884.74</v>
      </c>
      <c r="F120" s="421">
        <v>384.48</v>
      </c>
      <c r="G120" s="401">
        <f t="shared" si="6"/>
        <v>865.1</v>
      </c>
      <c r="H120" s="402">
        <f t="shared" si="3"/>
        <v>-7551.1871999999858</v>
      </c>
      <c r="I120" s="402">
        <f t="shared" si="4"/>
        <v>332613.64800000004</v>
      </c>
    </row>
    <row r="121" spans="2:9" hidden="1">
      <c r="B121" s="156">
        <v>44902</v>
      </c>
      <c r="C121" s="255" t="s">
        <v>573</v>
      </c>
      <c r="D121" s="419">
        <f t="shared" si="5"/>
        <v>739571.86080000002</v>
      </c>
      <c r="E121" s="376">
        <v>884.74</v>
      </c>
      <c r="F121" s="421">
        <v>835.92</v>
      </c>
      <c r="G121" s="401">
        <f t="shared" si="6"/>
        <v>865.1</v>
      </c>
      <c r="H121" s="402">
        <f t="shared" si="3"/>
        <v>-16417.468800000031</v>
      </c>
      <c r="I121" s="402">
        <f t="shared" si="4"/>
        <v>723154.39199999999</v>
      </c>
    </row>
    <row r="122" spans="2:9" hidden="1">
      <c r="B122" s="156">
        <v>44902</v>
      </c>
      <c r="C122" s="255" t="s">
        <v>574</v>
      </c>
      <c r="D122" s="419">
        <f t="shared" si="5"/>
        <v>340164.83520000003</v>
      </c>
      <c r="E122" s="376">
        <v>884.74</v>
      </c>
      <c r="F122" s="421">
        <v>384.48</v>
      </c>
      <c r="G122" s="401">
        <f t="shared" si="6"/>
        <v>865.1</v>
      </c>
      <c r="H122" s="402">
        <f t="shared" si="3"/>
        <v>-7551.1871999999858</v>
      </c>
      <c r="I122" s="402">
        <f t="shared" si="4"/>
        <v>332613.64800000004</v>
      </c>
    </row>
    <row r="123" spans="2:9" hidden="1">
      <c r="B123" s="156">
        <v>44902</v>
      </c>
      <c r="C123" s="255" t="s">
        <v>575</v>
      </c>
      <c r="D123" s="419">
        <f t="shared" si="5"/>
        <v>739571.86080000002</v>
      </c>
      <c r="E123" s="376">
        <v>884.74</v>
      </c>
      <c r="F123" s="421">
        <v>835.92</v>
      </c>
      <c r="G123" s="401">
        <f t="shared" si="6"/>
        <v>865.1</v>
      </c>
      <c r="H123" s="402">
        <f t="shared" si="3"/>
        <v>-16417.468800000031</v>
      </c>
      <c r="I123" s="402">
        <f t="shared" si="4"/>
        <v>723154.39199999999</v>
      </c>
    </row>
    <row r="124" spans="2:9" hidden="1">
      <c r="B124" s="156">
        <v>44902</v>
      </c>
      <c r="C124" s="255" t="s">
        <v>576</v>
      </c>
      <c r="D124" s="419">
        <f t="shared" si="5"/>
        <v>493047.90719999996</v>
      </c>
      <c r="E124" s="376">
        <v>884.74</v>
      </c>
      <c r="F124" s="421">
        <v>557.28</v>
      </c>
      <c r="G124" s="401">
        <f t="shared" si="6"/>
        <v>865.1</v>
      </c>
      <c r="H124" s="402">
        <f t="shared" si="3"/>
        <v>-10944.979199999943</v>
      </c>
      <c r="I124" s="402">
        <f t="shared" si="4"/>
        <v>482102.92800000001</v>
      </c>
    </row>
    <row r="125" spans="2:9" hidden="1">
      <c r="B125" s="156">
        <v>44902</v>
      </c>
      <c r="C125" s="255" t="s">
        <v>577</v>
      </c>
      <c r="D125" s="419">
        <f t="shared" si="5"/>
        <v>493047.90719999996</v>
      </c>
      <c r="E125" s="376">
        <v>884.74</v>
      </c>
      <c r="F125" s="421">
        <v>557.28</v>
      </c>
      <c r="G125" s="401">
        <f t="shared" si="6"/>
        <v>865.1</v>
      </c>
      <c r="H125" s="402">
        <f t="shared" si="3"/>
        <v>-10944.979199999943</v>
      </c>
      <c r="I125" s="402">
        <f t="shared" si="4"/>
        <v>482102.92800000001</v>
      </c>
    </row>
    <row r="126" spans="2:9" hidden="1">
      <c r="B126" s="156">
        <v>44902</v>
      </c>
      <c r="C126" s="255" t="s">
        <v>578</v>
      </c>
      <c r="D126" s="419">
        <f t="shared" si="5"/>
        <v>739571.86080000002</v>
      </c>
      <c r="E126" s="376">
        <v>884.74</v>
      </c>
      <c r="F126" s="421">
        <v>835.92</v>
      </c>
      <c r="G126" s="401">
        <f t="shared" si="6"/>
        <v>865.1</v>
      </c>
      <c r="H126" s="402">
        <f t="shared" si="3"/>
        <v>-16417.468800000031</v>
      </c>
      <c r="I126" s="402">
        <f t="shared" si="4"/>
        <v>723154.39199999999</v>
      </c>
    </row>
    <row r="127" spans="2:9" hidden="1">
      <c r="B127" s="156">
        <v>44902</v>
      </c>
      <c r="C127" s="255" t="s">
        <v>579</v>
      </c>
      <c r="D127" s="419">
        <f t="shared" si="5"/>
        <v>739571.86080000002</v>
      </c>
      <c r="E127" s="376">
        <v>884.74</v>
      </c>
      <c r="F127" s="421">
        <v>835.92</v>
      </c>
      <c r="G127" s="401">
        <f t="shared" si="6"/>
        <v>865.1</v>
      </c>
      <c r="H127" s="402">
        <f t="shared" si="3"/>
        <v>-16417.468800000031</v>
      </c>
      <c r="I127" s="402">
        <f t="shared" si="4"/>
        <v>723154.39199999999</v>
      </c>
    </row>
    <row r="128" spans="2:9" hidden="1">
      <c r="B128" s="156">
        <v>44902</v>
      </c>
      <c r="C128" s="255" t="s">
        <v>580</v>
      </c>
      <c r="D128" s="419">
        <f t="shared" si="5"/>
        <v>493047.90719999996</v>
      </c>
      <c r="E128" s="376">
        <v>884.74</v>
      </c>
      <c r="F128" s="421">
        <v>557.28</v>
      </c>
      <c r="G128" s="401">
        <f t="shared" si="6"/>
        <v>865.1</v>
      </c>
      <c r="H128" s="402">
        <f t="shared" si="3"/>
        <v>-10944.979199999943</v>
      </c>
      <c r="I128" s="402">
        <f t="shared" si="4"/>
        <v>482102.92800000001</v>
      </c>
    </row>
    <row r="129" spans="2:20" hidden="1">
      <c r="B129" s="156">
        <v>44902</v>
      </c>
      <c r="C129" s="255" t="s">
        <v>581</v>
      </c>
      <c r="D129" s="419">
        <f t="shared" si="5"/>
        <v>739571.86080000002</v>
      </c>
      <c r="E129" s="376">
        <v>884.74</v>
      </c>
      <c r="F129" s="421">
        <v>835.92</v>
      </c>
      <c r="G129" s="401">
        <f t="shared" si="6"/>
        <v>865.1</v>
      </c>
      <c r="H129" s="402">
        <f t="shared" si="3"/>
        <v>-16417.468800000031</v>
      </c>
      <c r="I129" s="402">
        <f t="shared" si="4"/>
        <v>723154.39199999999</v>
      </c>
    </row>
    <row r="130" spans="2:20" s="293" customFormat="1" hidden="1">
      <c r="B130" s="426">
        <v>44908</v>
      </c>
      <c r="C130" s="427" t="s">
        <v>588</v>
      </c>
      <c r="D130" s="428">
        <f t="shared" si="5"/>
        <v>-6633325.3869999992</v>
      </c>
      <c r="E130" s="429">
        <v>860.03</v>
      </c>
      <c r="F130" s="430">
        <v>-7712.9</v>
      </c>
      <c r="G130" s="401">
        <f t="shared" si="6"/>
        <v>865.1</v>
      </c>
      <c r="H130" s="428">
        <f t="shared" si="3"/>
        <v>-39104.403000000864</v>
      </c>
      <c r="I130" s="428">
        <f t="shared" si="4"/>
        <v>-6672429.79</v>
      </c>
      <c r="T130" s="529"/>
    </row>
    <row r="131" spans="2:20" hidden="1">
      <c r="B131" s="156">
        <v>44925</v>
      </c>
      <c r="C131" s="255" t="s">
        <v>582</v>
      </c>
      <c r="D131" s="419">
        <f t="shared" si="5"/>
        <v>5858317.0187999997</v>
      </c>
      <c r="E131" s="376">
        <v>859.51</v>
      </c>
      <c r="F131" s="421">
        <v>6815.88</v>
      </c>
      <c r="G131" s="401">
        <f t="shared" si="6"/>
        <v>865.1</v>
      </c>
      <c r="H131" s="402">
        <f t="shared" si="3"/>
        <v>38100.769200000912</v>
      </c>
      <c r="I131" s="402">
        <f t="shared" si="4"/>
        <v>5896417.7880000006</v>
      </c>
    </row>
    <row r="132" spans="2:20" hidden="1">
      <c r="B132" s="156">
        <v>44925</v>
      </c>
      <c r="C132" s="255" t="s">
        <v>583</v>
      </c>
      <c r="D132" s="419">
        <f t="shared" si="5"/>
        <v>6259948.8515999997</v>
      </c>
      <c r="E132" s="376">
        <v>859.51</v>
      </c>
      <c r="F132" s="421">
        <v>7283.16</v>
      </c>
      <c r="G132" s="401">
        <f t="shared" si="6"/>
        <v>865.1</v>
      </c>
      <c r="H132" s="402">
        <f t="shared" si="3"/>
        <v>40712.864400000311</v>
      </c>
      <c r="I132" s="402">
        <f t="shared" si="4"/>
        <v>6300661.716</v>
      </c>
    </row>
    <row r="133" spans="2:20" hidden="1">
      <c r="B133" s="156">
        <v>44925</v>
      </c>
      <c r="C133" s="255" t="s">
        <v>584</v>
      </c>
      <c r="D133" s="419">
        <f t="shared" si="5"/>
        <v>5789315.5559999999</v>
      </c>
      <c r="E133" s="376">
        <v>859.51</v>
      </c>
      <c r="F133" s="421">
        <v>6735.6</v>
      </c>
      <c r="G133" s="401">
        <f t="shared" si="6"/>
        <v>865.1</v>
      </c>
      <c r="H133" s="402">
        <f t="shared" si="3"/>
        <v>37652.004000000656</v>
      </c>
      <c r="I133" s="402">
        <f t="shared" si="4"/>
        <v>5826967.5600000005</v>
      </c>
    </row>
    <row r="134" spans="2:20" hidden="1">
      <c r="B134" s="156">
        <v>44925</v>
      </c>
      <c r="C134" s="255" t="s">
        <v>585</v>
      </c>
      <c r="D134" s="419">
        <f t="shared" si="5"/>
        <v>6269265.9399999995</v>
      </c>
      <c r="E134" s="376">
        <v>859.51</v>
      </c>
      <c r="F134" s="421">
        <v>7294</v>
      </c>
      <c r="G134" s="401">
        <f t="shared" si="6"/>
        <v>865.1</v>
      </c>
      <c r="H134" s="402">
        <f t="shared" si="3"/>
        <v>40773.460000000894</v>
      </c>
      <c r="I134" s="402">
        <f t="shared" si="4"/>
        <v>6310039.4000000004</v>
      </c>
    </row>
    <row r="135" spans="2:20" hidden="1">
      <c r="B135" s="156">
        <v>44925</v>
      </c>
      <c r="C135" s="255" t="s">
        <v>586</v>
      </c>
      <c r="D135" s="419">
        <f t="shared" si="5"/>
        <v>4208986.0895999996</v>
      </c>
      <c r="E135" s="376">
        <v>859.51</v>
      </c>
      <c r="F135" s="421">
        <v>4896.96</v>
      </c>
      <c r="G135" s="401">
        <f t="shared" si="6"/>
        <v>865.1</v>
      </c>
      <c r="H135" s="402">
        <f t="shared" si="3"/>
        <v>27374.006400000304</v>
      </c>
      <c r="I135" s="402">
        <f t="shared" si="4"/>
        <v>4236360.0959999999</v>
      </c>
    </row>
    <row r="136" spans="2:20" hidden="1">
      <c r="B136" s="156">
        <v>44926</v>
      </c>
      <c r="C136" s="255" t="s">
        <v>780</v>
      </c>
      <c r="D136" s="419">
        <v>1825850.0999999999</v>
      </c>
      <c r="E136" s="376">
        <v>798.5</v>
      </c>
      <c r="F136" s="421">
        <v>2286.6</v>
      </c>
      <c r="G136" s="401">
        <v>855.86</v>
      </c>
      <c r="H136" s="402">
        <f t="shared" si="3"/>
        <v>131159.37600000016</v>
      </c>
      <c r="I136" s="402">
        <f t="shared" si="4"/>
        <v>1957009.476</v>
      </c>
    </row>
    <row r="137" spans="2:20" hidden="1">
      <c r="B137" s="156">
        <v>44926</v>
      </c>
      <c r="C137" s="255" t="s">
        <v>781</v>
      </c>
      <c r="D137" s="419">
        <v>294785.53200000001</v>
      </c>
      <c r="E137" s="376">
        <v>778.62</v>
      </c>
      <c r="F137" s="421">
        <v>378.6</v>
      </c>
      <c r="G137" s="401">
        <v>855.86</v>
      </c>
      <c r="H137" s="402">
        <f t="shared" si="3"/>
        <v>29243.064000000013</v>
      </c>
      <c r="I137" s="402">
        <f t="shared" si="4"/>
        <v>324028.59600000002</v>
      </c>
    </row>
    <row r="138" spans="2:20" hidden="1">
      <c r="B138" s="156">
        <v>44926</v>
      </c>
      <c r="C138" s="255" t="s">
        <v>782</v>
      </c>
      <c r="D138" s="419">
        <v>1734885.9720000001</v>
      </c>
      <c r="E138" s="376">
        <v>794.58</v>
      </c>
      <c r="F138" s="421">
        <v>2183.4</v>
      </c>
      <c r="G138" s="401">
        <v>855.86</v>
      </c>
      <c r="H138" s="402">
        <f t="shared" si="3"/>
        <v>133798.75200000009</v>
      </c>
      <c r="I138" s="402">
        <f t="shared" si="4"/>
        <v>1868684.7240000002</v>
      </c>
    </row>
    <row r="139" spans="2:20" hidden="1">
      <c r="B139" s="156">
        <v>44926</v>
      </c>
      <c r="C139" s="255" t="s">
        <v>783</v>
      </c>
      <c r="D139" s="419">
        <v>1745433.6900000002</v>
      </c>
      <c r="E139" s="376">
        <v>850.85</v>
      </c>
      <c r="F139" s="421">
        <v>2051.4</v>
      </c>
      <c r="G139" s="401">
        <v>855.86</v>
      </c>
      <c r="H139" s="402">
        <f t="shared" si="3"/>
        <v>10277.513999999966</v>
      </c>
      <c r="I139" s="402">
        <f t="shared" si="4"/>
        <v>1755711.2040000001</v>
      </c>
    </row>
    <row r="140" spans="2:20" hidden="1">
      <c r="B140" s="156">
        <v>44926</v>
      </c>
      <c r="C140" s="255" t="s">
        <v>784</v>
      </c>
      <c r="D140" s="419">
        <v>1497251.352</v>
      </c>
      <c r="E140" s="376">
        <v>867.67</v>
      </c>
      <c r="F140" s="421">
        <v>1725.6</v>
      </c>
      <c r="G140" s="401">
        <v>855.86</v>
      </c>
      <c r="H140" s="402">
        <f t="shared" si="3"/>
        <v>-20379.335999999894</v>
      </c>
      <c r="I140" s="402">
        <f t="shared" si="4"/>
        <v>1476872.0160000001</v>
      </c>
    </row>
    <row r="141" spans="2:20" hidden="1">
      <c r="B141" s="156">
        <v>44926</v>
      </c>
      <c r="C141" s="255" t="s">
        <v>785</v>
      </c>
      <c r="D141" s="419">
        <v>3070112.6940000001</v>
      </c>
      <c r="E141" s="376">
        <v>929.83</v>
      </c>
      <c r="F141" s="421">
        <v>3301.8</v>
      </c>
      <c r="G141" s="401">
        <v>855.86</v>
      </c>
      <c r="H141" s="402">
        <f t="shared" si="3"/>
        <v>-244234.14599999972</v>
      </c>
      <c r="I141" s="402">
        <f t="shared" si="4"/>
        <v>2825878.5480000004</v>
      </c>
    </row>
    <row r="142" spans="2:20" hidden="1">
      <c r="B142" s="156">
        <v>44926</v>
      </c>
      <c r="C142" s="255" t="s">
        <v>786</v>
      </c>
      <c r="D142" s="419">
        <v>1322776.1580000001</v>
      </c>
      <c r="E142" s="376">
        <v>929.83</v>
      </c>
      <c r="F142" s="421">
        <v>1422.6</v>
      </c>
      <c r="G142" s="401">
        <v>855.86</v>
      </c>
      <c r="H142" s="402">
        <f t="shared" si="3"/>
        <v>-105229.72200000007</v>
      </c>
      <c r="I142" s="402">
        <f t="shared" si="4"/>
        <v>1217546.436</v>
      </c>
    </row>
    <row r="143" spans="2:20" hidden="1">
      <c r="B143" s="156">
        <v>44926</v>
      </c>
      <c r="C143" s="255" t="s">
        <v>787</v>
      </c>
      <c r="D143" s="419">
        <v>1741757.5560000001</v>
      </c>
      <c r="E143" s="376">
        <v>929.83</v>
      </c>
      <c r="F143" s="421">
        <v>1873.2</v>
      </c>
      <c r="G143" s="401">
        <v>855.86</v>
      </c>
      <c r="H143" s="402">
        <f t="shared" si="3"/>
        <v>-138560.60400000005</v>
      </c>
      <c r="I143" s="402">
        <f t="shared" si="4"/>
        <v>1603196.952</v>
      </c>
    </row>
    <row r="144" spans="2:20" hidden="1">
      <c r="B144" s="156">
        <v>44926</v>
      </c>
      <c r="C144" s="255" t="s">
        <v>788</v>
      </c>
      <c r="D144" s="419">
        <v>1629414.432</v>
      </c>
      <c r="E144" s="376">
        <v>927.49</v>
      </c>
      <c r="F144" s="421">
        <v>1756.8</v>
      </c>
      <c r="G144" s="401">
        <v>855.86</v>
      </c>
      <c r="H144" s="402">
        <f t="shared" si="3"/>
        <v>-125839.58400000003</v>
      </c>
      <c r="I144" s="402">
        <f t="shared" si="4"/>
        <v>1503574.848</v>
      </c>
    </row>
    <row r="145" spans="2:9" hidden="1">
      <c r="B145" s="156">
        <v>44938</v>
      </c>
      <c r="C145" s="255" t="s">
        <v>595</v>
      </c>
      <c r="D145" s="419">
        <f t="shared" si="5"/>
        <v>1655402.2963999999</v>
      </c>
      <c r="E145" s="376">
        <v>825.67</v>
      </c>
      <c r="F145" s="421">
        <v>2004.92</v>
      </c>
      <c r="G145" s="401">
        <f>+G135</f>
        <v>865.1</v>
      </c>
      <c r="H145" s="402">
        <f t="shared" ref="H145:H208" si="7">+I145-D145</f>
        <v>79053.995600000257</v>
      </c>
      <c r="I145" s="402">
        <f t="shared" ref="I145:I208" si="8">+F145*G145</f>
        <v>1734456.2920000001</v>
      </c>
    </row>
    <row r="146" spans="2:9" hidden="1">
      <c r="B146" s="156">
        <v>44938</v>
      </c>
      <c r="C146" s="255" t="s">
        <v>596</v>
      </c>
      <c r="D146" s="419">
        <f t="shared" si="5"/>
        <v>1655402.2963999999</v>
      </c>
      <c r="E146" s="376">
        <v>825.67</v>
      </c>
      <c r="F146" s="421">
        <v>2004.92</v>
      </c>
      <c r="G146" s="401">
        <f t="shared" si="6"/>
        <v>865.1</v>
      </c>
      <c r="H146" s="402">
        <f t="shared" si="7"/>
        <v>79053.995600000257</v>
      </c>
      <c r="I146" s="402">
        <f t="shared" si="8"/>
        <v>1734456.2920000001</v>
      </c>
    </row>
    <row r="147" spans="2:9" hidden="1">
      <c r="B147" s="156">
        <v>44938</v>
      </c>
      <c r="C147" s="255" t="s">
        <v>597</v>
      </c>
      <c r="D147" s="419">
        <f t="shared" si="5"/>
        <v>1655402.2963999999</v>
      </c>
      <c r="E147" s="376">
        <v>825.67</v>
      </c>
      <c r="F147" s="421">
        <v>2004.92</v>
      </c>
      <c r="G147" s="401">
        <f t="shared" si="6"/>
        <v>865.1</v>
      </c>
      <c r="H147" s="402">
        <f t="shared" si="7"/>
        <v>79053.995600000257</v>
      </c>
      <c r="I147" s="402">
        <f t="shared" si="8"/>
        <v>1734456.2920000001</v>
      </c>
    </row>
    <row r="148" spans="2:9" hidden="1">
      <c r="B148" s="156">
        <v>44938</v>
      </c>
      <c r="C148" s="255" t="s">
        <v>598</v>
      </c>
      <c r="D148" s="419">
        <f t="shared" si="5"/>
        <v>2610537.3523999997</v>
      </c>
      <c r="E148" s="376">
        <v>825.67</v>
      </c>
      <c r="F148" s="421">
        <v>3161.72</v>
      </c>
      <c r="G148" s="401">
        <f t="shared" si="6"/>
        <v>865.1</v>
      </c>
      <c r="H148" s="402">
        <f t="shared" si="7"/>
        <v>124666.61960000033</v>
      </c>
      <c r="I148" s="402">
        <f t="shared" si="8"/>
        <v>2735203.9720000001</v>
      </c>
    </row>
    <row r="149" spans="2:9" hidden="1">
      <c r="B149" s="156">
        <v>44938</v>
      </c>
      <c r="C149" s="255" t="s">
        <v>599</v>
      </c>
      <c r="D149" s="419">
        <f t="shared" si="5"/>
        <v>1227573.1291999999</v>
      </c>
      <c r="E149" s="376">
        <v>825.67</v>
      </c>
      <c r="F149" s="421">
        <v>1486.76</v>
      </c>
      <c r="G149" s="401">
        <f t="shared" si="6"/>
        <v>865.1</v>
      </c>
      <c r="H149" s="402">
        <f t="shared" si="7"/>
        <v>58622.946800000267</v>
      </c>
      <c r="I149" s="402">
        <f t="shared" si="8"/>
        <v>1286196.0760000001</v>
      </c>
    </row>
    <row r="150" spans="2:9" hidden="1">
      <c r="B150" s="156">
        <v>44938</v>
      </c>
      <c r="C150" s="255" t="s">
        <v>600</v>
      </c>
      <c r="D150" s="419">
        <f t="shared" si="5"/>
        <v>2610537.3523999997</v>
      </c>
      <c r="E150" s="376">
        <v>825.67</v>
      </c>
      <c r="F150" s="421">
        <v>3161.72</v>
      </c>
      <c r="G150" s="401">
        <f t="shared" si="6"/>
        <v>865.1</v>
      </c>
      <c r="H150" s="402">
        <f t="shared" si="7"/>
        <v>124666.61960000033</v>
      </c>
      <c r="I150" s="402">
        <f t="shared" si="8"/>
        <v>2735203.9720000001</v>
      </c>
    </row>
    <row r="151" spans="2:9" hidden="1">
      <c r="B151" s="156">
        <v>44938</v>
      </c>
      <c r="C151" s="255" t="s">
        <v>601</v>
      </c>
      <c r="D151" s="419">
        <f t="shared" si="5"/>
        <v>2610537.3523999997</v>
      </c>
      <c r="E151" s="376">
        <v>825.67</v>
      </c>
      <c r="F151" s="421">
        <v>3161.72</v>
      </c>
      <c r="G151" s="401">
        <f t="shared" si="6"/>
        <v>865.1</v>
      </c>
      <c r="H151" s="402">
        <f t="shared" si="7"/>
        <v>124666.61960000033</v>
      </c>
      <c r="I151" s="402">
        <f t="shared" si="8"/>
        <v>2735203.9720000001</v>
      </c>
    </row>
    <row r="152" spans="2:9" hidden="1">
      <c r="B152" s="156">
        <v>44938</v>
      </c>
      <c r="C152" s="255" t="s">
        <v>602</v>
      </c>
      <c r="D152" s="419">
        <f t="shared" si="5"/>
        <v>5861200.1424000002</v>
      </c>
      <c r="E152" s="376">
        <v>825.67</v>
      </c>
      <c r="F152" s="421">
        <v>7098.72</v>
      </c>
      <c r="G152" s="401">
        <f t="shared" si="6"/>
        <v>865.1</v>
      </c>
      <c r="H152" s="402">
        <f t="shared" si="7"/>
        <v>279902.52960000001</v>
      </c>
      <c r="I152" s="402">
        <f t="shared" si="8"/>
        <v>6141102.6720000003</v>
      </c>
    </row>
    <row r="153" spans="2:9" hidden="1">
      <c r="B153" s="156">
        <v>44938</v>
      </c>
      <c r="C153" s="255" t="s">
        <v>603</v>
      </c>
      <c r="D153" s="419">
        <f t="shared" si="5"/>
        <v>2610537.3523999997</v>
      </c>
      <c r="E153" s="376">
        <v>825.67</v>
      </c>
      <c r="F153" s="421">
        <v>3161.72</v>
      </c>
      <c r="G153" s="401">
        <f t="shared" si="6"/>
        <v>865.1</v>
      </c>
      <c r="H153" s="402">
        <f t="shared" si="7"/>
        <v>124666.61960000033</v>
      </c>
      <c r="I153" s="402">
        <f t="shared" si="8"/>
        <v>2735203.9720000001</v>
      </c>
    </row>
    <row r="154" spans="2:9" hidden="1">
      <c r="B154" s="156">
        <v>44938</v>
      </c>
      <c r="C154" s="255" t="s">
        <v>604</v>
      </c>
      <c r="D154" s="419">
        <f t="shared" si="5"/>
        <v>1655402.2963999999</v>
      </c>
      <c r="E154" s="376">
        <v>825.67</v>
      </c>
      <c r="F154" s="421">
        <v>2004.92</v>
      </c>
      <c r="G154" s="401">
        <f t="shared" si="6"/>
        <v>865.1</v>
      </c>
      <c r="H154" s="402">
        <f t="shared" si="7"/>
        <v>79053.995600000257</v>
      </c>
      <c r="I154" s="402">
        <f t="shared" si="8"/>
        <v>1734456.2920000001</v>
      </c>
    </row>
    <row r="155" spans="2:9" hidden="1">
      <c r="B155" s="156">
        <v>44938</v>
      </c>
      <c r="C155" s="255" t="s">
        <v>605</v>
      </c>
      <c r="D155" s="419">
        <f t="shared" si="5"/>
        <v>1227573.1291999999</v>
      </c>
      <c r="E155" s="376">
        <v>825.67</v>
      </c>
      <c r="F155" s="421">
        <v>1486.76</v>
      </c>
      <c r="G155" s="401">
        <f t="shared" si="6"/>
        <v>865.1</v>
      </c>
      <c r="H155" s="402">
        <f t="shared" si="7"/>
        <v>58622.946800000267</v>
      </c>
      <c r="I155" s="402">
        <f t="shared" si="8"/>
        <v>1286196.0760000001</v>
      </c>
    </row>
    <row r="156" spans="2:9" hidden="1">
      <c r="B156" s="156">
        <v>44938</v>
      </c>
      <c r="C156" s="255" t="s">
        <v>606</v>
      </c>
      <c r="D156" s="419">
        <f t="shared" si="5"/>
        <v>2415018.6963999998</v>
      </c>
      <c r="E156" s="376">
        <v>825.67</v>
      </c>
      <c r="F156" s="421">
        <v>2924.92</v>
      </c>
      <c r="G156" s="401">
        <f t="shared" si="6"/>
        <v>865.1</v>
      </c>
      <c r="H156" s="402">
        <f t="shared" si="7"/>
        <v>115329.59560000012</v>
      </c>
      <c r="I156" s="402">
        <f t="shared" si="8"/>
        <v>2530348.2919999999</v>
      </c>
    </row>
    <row r="157" spans="2:9" hidden="1">
      <c r="B157" s="156">
        <v>44938</v>
      </c>
      <c r="C157" s="255" t="s">
        <v>607</v>
      </c>
      <c r="D157" s="419">
        <f t="shared" si="5"/>
        <v>1227573.1291999999</v>
      </c>
      <c r="E157" s="376">
        <v>825.67</v>
      </c>
      <c r="F157" s="421">
        <v>1486.76</v>
      </c>
      <c r="G157" s="401">
        <f t="shared" si="6"/>
        <v>865.1</v>
      </c>
      <c r="H157" s="402">
        <f t="shared" si="7"/>
        <v>58622.946800000267</v>
      </c>
      <c r="I157" s="402">
        <f t="shared" si="8"/>
        <v>1286196.0760000001</v>
      </c>
    </row>
    <row r="158" spans="2:9" hidden="1">
      <c r="B158" s="156">
        <v>44938</v>
      </c>
      <c r="C158" s="255" t="s">
        <v>608</v>
      </c>
      <c r="D158" s="419">
        <f t="shared" si="5"/>
        <v>3438618.3088000002</v>
      </c>
      <c r="E158" s="376">
        <v>825.67</v>
      </c>
      <c r="F158" s="421">
        <v>4164.6400000000003</v>
      </c>
      <c r="G158" s="401">
        <f t="shared" si="6"/>
        <v>865.1</v>
      </c>
      <c r="H158" s="402">
        <f t="shared" si="7"/>
        <v>164211.75520000001</v>
      </c>
      <c r="I158" s="402">
        <f t="shared" si="8"/>
        <v>3602830.0640000002</v>
      </c>
    </row>
    <row r="159" spans="2:9" hidden="1">
      <c r="B159" s="156">
        <v>44938</v>
      </c>
      <c r="C159" s="255" t="s">
        <v>609</v>
      </c>
      <c r="D159" s="419">
        <f t="shared" si="5"/>
        <v>2130823.0823999997</v>
      </c>
      <c r="E159" s="376">
        <v>825.67</v>
      </c>
      <c r="F159" s="421">
        <v>2580.7199999999998</v>
      </c>
      <c r="G159" s="401">
        <f t="shared" si="6"/>
        <v>865.1</v>
      </c>
      <c r="H159" s="402">
        <f t="shared" si="7"/>
        <v>101757.78960000025</v>
      </c>
      <c r="I159" s="402">
        <f t="shared" si="8"/>
        <v>2232580.872</v>
      </c>
    </row>
    <row r="160" spans="2:9" hidden="1">
      <c r="B160" s="156">
        <v>44938</v>
      </c>
      <c r="C160" s="255" t="s">
        <v>610</v>
      </c>
      <c r="D160" s="419">
        <f t="shared" si="5"/>
        <v>2130823.0823999997</v>
      </c>
      <c r="E160" s="376">
        <v>825.67</v>
      </c>
      <c r="F160" s="421">
        <v>2580.7199999999998</v>
      </c>
      <c r="G160" s="401">
        <f t="shared" si="6"/>
        <v>865.1</v>
      </c>
      <c r="H160" s="402">
        <f t="shared" si="7"/>
        <v>101757.78960000025</v>
      </c>
      <c r="I160" s="402">
        <f t="shared" si="8"/>
        <v>2232580.872</v>
      </c>
    </row>
    <row r="161" spans="2:9" hidden="1">
      <c r="B161" s="156">
        <v>44938</v>
      </c>
      <c r="C161" s="255" t="s">
        <v>611</v>
      </c>
      <c r="D161" s="419">
        <f t="shared" si="5"/>
        <v>4469814.0852000006</v>
      </c>
      <c r="E161" s="376">
        <v>825.67</v>
      </c>
      <c r="F161" s="421">
        <v>5413.56</v>
      </c>
      <c r="G161" s="401">
        <f t="shared" si="6"/>
        <v>865.1</v>
      </c>
      <c r="H161" s="402">
        <f t="shared" si="7"/>
        <v>213456.6707999995</v>
      </c>
      <c r="I161" s="402">
        <f t="shared" si="8"/>
        <v>4683270.7560000001</v>
      </c>
    </row>
    <row r="162" spans="2:9" hidden="1">
      <c r="B162" s="156">
        <v>44938</v>
      </c>
      <c r="C162" s="255" t="s">
        <v>612</v>
      </c>
      <c r="D162" s="419">
        <f t="shared" si="5"/>
        <v>2130823.0823999997</v>
      </c>
      <c r="E162" s="376">
        <v>825.67</v>
      </c>
      <c r="F162" s="421">
        <v>2580.7199999999998</v>
      </c>
      <c r="G162" s="401">
        <f t="shared" si="6"/>
        <v>865.1</v>
      </c>
      <c r="H162" s="402">
        <f t="shared" si="7"/>
        <v>101757.78960000025</v>
      </c>
      <c r="I162" s="402">
        <f t="shared" si="8"/>
        <v>2232580.872</v>
      </c>
    </row>
    <row r="163" spans="2:9" hidden="1">
      <c r="B163" s="156">
        <v>44938</v>
      </c>
      <c r="C163" s="255" t="s">
        <v>613</v>
      </c>
      <c r="D163" s="419">
        <f t="shared" si="5"/>
        <v>2130823.0823999997</v>
      </c>
      <c r="E163" s="376">
        <v>825.67</v>
      </c>
      <c r="F163" s="421">
        <v>2580.7199999999998</v>
      </c>
      <c r="G163" s="401">
        <f t="shared" si="6"/>
        <v>865.1</v>
      </c>
      <c r="H163" s="402">
        <f t="shared" si="7"/>
        <v>101757.78960000025</v>
      </c>
      <c r="I163" s="402">
        <f t="shared" si="8"/>
        <v>2232580.872</v>
      </c>
    </row>
    <row r="164" spans="2:9" hidden="1">
      <c r="B164" s="156">
        <v>44938</v>
      </c>
      <c r="C164" s="255" t="s">
        <v>614</v>
      </c>
      <c r="D164" s="419">
        <f t="shared" si="5"/>
        <v>2130823.0823999997</v>
      </c>
      <c r="E164" s="376">
        <v>825.67</v>
      </c>
      <c r="F164" s="421">
        <v>2580.7199999999998</v>
      </c>
      <c r="G164" s="401">
        <f t="shared" si="6"/>
        <v>865.1</v>
      </c>
      <c r="H164" s="402">
        <f t="shared" si="7"/>
        <v>101757.78960000025</v>
      </c>
      <c r="I164" s="402">
        <f t="shared" si="8"/>
        <v>2232580.872</v>
      </c>
    </row>
    <row r="165" spans="2:9" hidden="1">
      <c r="B165" s="156">
        <v>44938</v>
      </c>
      <c r="C165" s="255" t="s">
        <v>615</v>
      </c>
      <c r="D165" s="419">
        <f t="shared" si="5"/>
        <v>2130823.0823999997</v>
      </c>
      <c r="E165" s="376">
        <v>825.67</v>
      </c>
      <c r="F165" s="421">
        <v>2580.7199999999998</v>
      </c>
      <c r="G165" s="401">
        <f t="shared" si="6"/>
        <v>865.1</v>
      </c>
      <c r="H165" s="402">
        <f t="shared" si="7"/>
        <v>101757.78960000025</v>
      </c>
      <c r="I165" s="402">
        <f t="shared" si="8"/>
        <v>2232580.872</v>
      </c>
    </row>
    <row r="166" spans="2:9" hidden="1">
      <c r="B166" s="156">
        <v>44938</v>
      </c>
      <c r="C166" s="255" t="s">
        <v>616</v>
      </c>
      <c r="D166" s="419">
        <f t="shared" si="5"/>
        <v>4469814.0852000006</v>
      </c>
      <c r="E166" s="376">
        <v>825.67</v>
      </c>
      <c r="F166" s="421">
        <v>5413.56</v>
      </c>
      <c r="G166" s="401">
        <f t="shared" si="6"/>
        <v>865.1</v>
      </c>
      <c r="H166" s="402">
        <f t="shared" si="7"/>
        <v>213456.6707999995</v>
      </c>
      <c r="I166" s="402">
        <f t="shared" si="8"/>
        <v>4683270.7560000001</v>
      </c>
    </row>
    <row r="167" spans="2:9" hidden="1">
      <c r="B167" s="156">
        <v>44938</v>
      </c>
      <c r="C167" s="255" t="s">
        <v>617</v>
      </c>
      <c r="D167" s="419">
        <f t="shared" si="5"/>
        <v>3438618.3088000002</v>
      </c>
      <c r="E167" s="376">
        <v>825.67</v>
      </c>
      <c r="F167" s="421">
        <v>4164.6400000000003</v>
      </c>
      <c r="G167" s="401">
        <f t="shared" si="6"/>
        <v>865.1</v>
      </c>
      <c r="H167" s="402">
        <f t="shared" si="7"/>
        <v>164211.75520000001</v>
      </c>
      <c r="I167" s="402">
        <f t="shared" si="8"/>
        <v>3602830.0640000002</v>
      </c>
    </row>
    <row r="168" spans="2:9" hidden="1">
      <c r="B168" s="156">
        <v>44938</v>
      </c>
      <c r="C168" s="255" t="s">
        <v>618</v>
      </c>
      <c r="D168" s="419">
        <f t="shared" ref="D168:D220" si="9">F168*E168</f>
        <v>2130823.0823999997</v>
      </c>
      <c r="E168" s="376">
        <v>825.67</v>
      </c>
      <c r="F168" s="421">
        <v>2580.7199999999998</v>
      </c>
      <c r="G168" s="401">
        <f t="shared" si="6"/>
        <v>865.1</v>
      </c>
      <c r="H168" s="402">
        <f t="shared" si="7"/>
        <v>101757.78960000025</v>
      </c>
      <c r="I168" s="402">
        <f t="shared" si="8"/>
        <v>2232580.872</v>
      </c>
    </row>
    <row r="169" spans="2:9" hidden="1">
      <c r="B169" s="156">
        <v>44938</v>
      </c>
      <c r="C169" s="255" t="s">
        <v>619</v>
      </c>
      <c r="D169" s="419">
        <f t="shared" si="9"/>
        <v>2130823.0823999997</v>
      </c>
      <c r="E169" s="376">
        <v>825.67</v>
      </c>
      <c r="F169" s="421">
        <v>2580.7199999999998</v>
      </c>
      <c r="G169" s="401">
        <f t="shared" ref="G169:G220" si="10">+G168</f>
        <v>865.1</v>
      </c>
      <c r="H169" s="402">
        <f t="shared" si="7"/>
        <v>101757.78960000025</v>
      </c>
      <c r="I169" s="402">
        <f t="shared" si="8"/>
        <v>2232580.872</v>
      </c>
    </row>
    <row r="170" spans="2:9" hidden="1">
      <c r="B170" s="156">
        <v>44938</v>
      </c>
      <c r="C170" s="255" t="s">
        <v>620</v>
      </c>
      <c r="D170" s="419">
        <f t="shared" si="9"/>
        <v>2130823.0823999997</v>
      </c>
      <c r="E170" s="376">
        <v>825.67</v>
      </c>
      <c r="F170" s="421">
        <v>2580.7199999999998</v>
      </c>
      <c r="G170" s="401">
        <f t="shared" si="10"/>
        <v>865.1</v>
      </c>
      <c r="H170" s="402">
        <f t="shared" si="7"/>
        <v>101757.78960000025</v>
      </c>
      <c r="I170" s="402">
        <f t="shared" si="8"/>
        <v>2232580.872</v>
      </c>
    </row>
    <row r="171" spans="2:9" hidden="1">
      <c r="B171" s="156">
        <v>44938</v>
      </c>
      <c r="C171" s="255" t="s">
        <v>621</v>
      </c>
      <c r="D171" s="419">
        <f t="shared" si="9"/>
        <v>3007420.4079999998</v>
      </c>
      <c r="E171" s="376">
        <v>825.67</v>
      </c>
      <c r="F171" s="421">
        <v>3642.4</v>
      </c>
      <c r="G171" s="401">
        <f t="shared" si="10"/>
        <v>865.1</v>
      </c>
      <c r="H171" s="402">
        <f t="shared" si="7"/>
        <v>143619.8320000004</v>
      </c>
      <c r="I171" s="402">
        <f t="shared" si="8"/>
        <v>3151040.24</v>
      </c>
    </row>
    <row r="172" spans="2:9" hidden="1">
      <c r="B172" s="156">
        <v>44938</v>
      </c>
      <c r="C172" s="255" t="s">
        <v>622</v>
      </c>
      <c r="D172" s="419">
        <f t="shared" si="9"/>
        <v>2130823.0823999997</v>
      </c>
      <c r="E172" s="376">
        <v>825.67</v>
      </c>
      <c r="F172" s="421">
        <v>2580.7199999999998</v>
      </c>
      <c r="G172" s="401">
        <f t="shared" si="10"/>
        <v>865.1</v>
      </c>
      <c r="H172" s="402">
        <f t="shared" si="7"/>
        <v>101757.78960000025</v>
      </c>
      <c r="I172" s="402">
        <f t="shared" si="8"/>
        <v>2232580.872</v>
      </c>
    </row>
    <row r="173" spans="2:9" hidden="1">
      <c r="B173" s="156">
        <v>44938</v>
      </c>
      <c r="C173" s="255" t="s">
        <v>623</v>
      </c>
      <c r="D173" s="419">
        <f t="shared" si="9"/>
        <v>4469814.0852000006</v>
      </c>
      <c r="E173" s="376">
        <v>825.67</v>
      </c>
      <c r="F173" s="421">
        <v>5413.56</v>
      </c>
      <c r="G173" s="401">
        <f t="shared" si="10"/>
        <v>865.1</v>
      </c>
      <c r="H173" s="402">
        <f t="shared" si="7"/>
        <v>213456.6707999995</v>
      </c>
      <c r="I173" s="402">
        <f t="shared" si="8"/>
        <v>4683270.7560000001</v>
      </c>
    </row>
    <row r="174" spans="2:9" hidden="1">
      <c r="B174" s="156">
        <v>44938</v>
      </c>
      <c r="C174" s="255" t="s">
        <v>624</v>
      </c>
      <c r="D174" s="419">
        <f t="shared" si="9"/>
        <v>2130823.0823999997</v>
      </c>
      <c r="E174" s="376">
        <v>825.67</v>
      </c>
      <c r="F174" s="421">
        <v>2580.7199999999998</v>
      </c>
      <c r="G174" s="401">
        <f t="shared" si="10"/>
        <v>865.1</v>
      </c>
      <c r="H174" s="402">
        <f t="shared" si="7"/>
        <v>101757.78960000025</v>
      </c>
      <c r="I174" s="402">
        <f t="shared" si="8"/>
        <v>2232580.872</v>
      </c>
    </row>
    <row r="175" spans="2:9" hidden="1">
      <c r="B175" s="156">
        <v>44938</v>
      </c>
      <c r="C175" s="255" t="s">
        <v>625</v>
      </c>
      <c r="D175" s="419">
        <f t="shared" si="9"/>
        <v>2130823.0823999997</v>
      </c>
      <c r="E175" s="376">
        <v>825.67</v>
      </c>
      <c r="F175" s="421">
        <v>2580.7199999999998</v>
      </c>
      <c r="G175" s="401">
        <f t="shared" si="10"/>
        <v>865.1</v>
      </c>
      <c r="H175" s="402">
        <f t="shared" si="7"/>
        <v>101757.78960000025</v>
      </c>
      <c r="I175" s="402">
        <f t="shared" si="8"/>
        <v>2232580.872</v>
      </c>
    </row>
    <row r="176" spans="2:9" hidden="1">
      <c r="B176" s="156">
        <v>44938</v>
      </c>
      <c r="C176" s="255" t="s">
        <v>626</v>
      </c>
      <c r="D176" s="419">
        <f t="shared" si="9"/>
        <v>2130823.0823999997</v>
      </c>
      <c r="E176" s="376">
        <v>825.67</v>
      </c>
      <c r="F176" s="421">
        <v>2580.7199999999998</v>
      </c>
      <c r="G176" s="401">
        <f t="shared" si="10"/>
        <v>865.1</v>
      </c>
      <c r="H176" s="402">
        <f t="shared" si="7"/>
        <v>101757.78960000025</v>
      </c>
      <c r="I176" s="402">
        <f t="shared" si="8"/>
        <v>2232580.872</v>
      </c>
    </row>
    <row r="177" spans="2:9" hidden="1">
      <c r="B177" s="156">
        <v>44938</v>
      </c>
      <c r="C177" s="255" t="s">
        <v>627</v>
      </c>
      <c r="D177" s="419">
        <f t="shared" si="9"/>
        <v>3438618.3088000002</v>
      </c>
      <c r="E177" s="376">
        <v>825.67</v>
      </c>
      <c r="F177" s="421">
        <v>4164.6400000000003</v>
      </c>
      <c r="G177" s="401">
        <f t="shared" si="10"/>
        <v>865.1</v>
      </c>
      <c r="H177" s="402">
        <f t="shared" si="7"/>
        <v>164211.75520000001</v>
      </c>
      <c r="I177" s="402">
        <f t="shared" si="8"/>
        <v>3602830.0640000002</v>
      </c>
    </row>
    <row r="178" spans="2:9" hidden="1">
      <c r="B178" s="156">
        <v>44938</v>
      </c>
      <c r="C178" s="255" t="s">
        <v>628</v>
      </c>
      <c r="D178" s="419">
        <f t="shared" si="9"/>
        <v>3438618.3088000002</v>
      </c>
      <c r="E178" s="376">
        <v>825.67</v>
      </c>
      <c r="F178" s="421">
        <v>4164.6400000000003</v>
      </c>
      <c r="G178" s="401">
        <f t="shared" si="10"/>
        <v>865.1</v>
      </c>
      <c r="H178" s="402">
        <f t="shared" si="7"/>
        <v>164211.75520000001</v>
      </c>
      <c r="I178" s="402">
        <f t="shared" si="8"/>
        <v>3602830.0640000002</v>
      </c>
    </row>
    <row r="179" spans="2:9" hidden="1">
      <c r="B179" s="156">
        <v>44938</v>
      </c>
      <c r="C179" s="255" t="s">
        <v>629</v>
      </c>
      <c r="D179" s="419">
        <f t="shared" si="9"/>
        <v>3438618.3088000002</v>
      </c>
      <c r="E179" s="376">
        <v>825.67</v>
      </c>
      <c r="F179" s="421">
        <v>4164.6400000000003</v>
      </c>
      <c r="G179" s="401">
        <f t="shared" si="10"/>
        <v>865.1</v>
      </c>
      <c r="H179" s="402">
        <f t="shared" si="7"/>
        <v>164211.75520000001</v>
      </c>
      <c r="I179" s="402">
        <f t="shared" si="8"/>
        <v>3602830.0640000002</v>
      </c>
    </row>
    <row r="180" spans="2:9" hidden="1">
      <c r="B180" s="156">
        <v>44938</v>
      </c>
      <c r="C180" s="255" t="s">
        <v>630</v>
      </c>
      <c r="D180" s="419">
        <f t="shared" si="9"/>
        <v>4469814.0852000006</v>
      </c>
      <c r="E180" s="376">
        <v>825.67</v>
      </c>
      <c r="F180" s="421">
        <v>5413.56</v>
      </c>
      <c r="G180" s="401">
        <f t="shared" si="10"/>
        <v>865.1</v>
      </c>
      <c r="H180" s="402">
        <f t="shared" si="7"/>
        <v>213456.6707999995</v>
      </c>
      <c r="I180" s="402">
        <f t="shared" si="8"/>
        <v>4683270.7560000001</v>
      </c>
    </row>
    <row r="181" spans="2:9" hidden="1">
      <c r="B181" s="156">
        <v>44938</v>
      </c>
      <c r="C181" s="255" t="s">
        <v>631</v>
      </c>
      <c r="D181" s="419">
        <f t="shared" si="9"/>
        <v>4537139.2170000002</v>
      </c>
      <c r="E181" s="376">
        <v>825.67</v>
      </c>
      <c r="F181" s="421">
        <v>5495.1</v>
      </c>
      <c r="G181" s="401">
        <f t="shared" si="10"/>
        <v>865.1</v>
      </c>
      <c r="H181" s="402">
        <f t="shared" si="7"/>
        <v>216671.79300000053</v>
      </c>
      <c r="I181" s="402">
        <f t="shared" si="8"/>
        <v>4753811.0100000007</v>
      </c>
    </row>
    <row r="182" spans="2:9" hidden="1">
      <c r="B182" s="156">
        <v>44938</v>
      </c>
      <c r="C182" s="255" t="s">
        <v>632</v>
      </c>
      <c r="D182" s="419">
        <f t="shared" si="9"/>
        <v>7700925.0095999986</v>
      </c>
      <c r="E182" s="376">
        <v>825.67</v>
      </c>
      <c r="F182" s="421">
        <v>9326.8799999999992</v>
      </c>
      <c r="G182" s="401">
        <f t="shared" si="10"/>
        <v>865.1</v>
      </c>
      <c r="H182" s="402">
        <f t="shared" si="7"/>
        <v>367758.87840000074</v>
      </c>
      <c r="I182" s="402">
        <f t="shared" si="8"/>
        <v>8068683.8879999993</v>
      </c>
    </row>
    <row r="183" spans="2:9" hidden="1">
      <c r="B183" s="156">
        <v>44938</v>
      </c>
      <c r="C183" s="255" t="s">
        <v>633</v>
      </c>
      <c r="D183" s="419">
        <f t="shared" si="9"/>
        <v>1721356.8160000001</v>
      </c>
      <c r="E183" s="376">
        <v>825.67</v>
      </c>
      <c r="F183" s="421">
        <v>2084.8000000000002</v>
      </c>
      <c r="G183" s="401">
        <f t="shared" si="10"/>
        <v>865.1</v>
      </c>
      <c r="H183" s="402">
        <f t="shared" si="7"/>
        <v>82203.664000000106</v>
      </c>
      <c r="I183" s="402">
        <f t="shared" si="8"/>
        <v>1803560.4800000002</v>
      </c>
    </row>
    <row r="184" spans="2:9" hidden="1">
      <c r="B184" s="156">
        <v>44938</v>
      </c>
      <c r="C184" s="255" t="s">
        <v>634</v>
      </c>
      <c r="D184" s="419">
        <f t="shared" si="9"/>
        <v>3927613.1096000001</v>
      </c>
      <c r="E184" s="376">
        <v>825.67</v>
      </c>
      <c r="F184" s="421">
        <v>4756.88</v>
      </c>
      <c r="G184" s="401">
        <f t="shared" si="10"/>
        <v>865.1</v>
      </c>
      <c r="H184" s="402">
        <f t="shared" si="7"/>
        <v>187563.77840000018</v>
      </c>
      <c r="I184" s="402">
        <f t="shared" si="8"/>
        <v>4115176.8880000003</v>
      </c>
    </row>
    <row r="185" spans="2:9" hidden="1">
      <c r="B185" s="156">
        <v>44938</v>
      </c>
      <c r="C185" s="255" t="s">
        <v>635</v>
      </c>
      <c r="D185" s="419">
        <f t="shared" si="9"/>
        <v>4909516.3870000001</v>
      </c>
      <c r="E185" s="376">
        <v>825.67</v>
      </c>
      <c r="F185" s="421">
        <v>5946.1</v>
      </c>
      <c r="G185" s="401">
        <f t="shared" si="10"/>
        <v>865.1</v>
      </c>
      <c r="H185" s="402">
        <f t="shared" si="7"/>
        <v>234454.72300000023</v>
      </c>
      <c r="I185" s="402">
        <f t="shared" si="8"/>
        <v>5143971.1100000003</v>
      </c>
    </row>
    <row r="186" spans="2:9" hidden="1">
      <c r="B186" s="156">
        <v>44938</v>
      </c>
      <c r="C186" s="255" t="s">
        <v>636</v>
      </c>
      <c r="D186" s="419">
        <f t="shared" si="9"/>
        <v>4909516.3870000001</v>
      </c>
      <c r="E186" s="376">
        <v>825.67</v>
      </c>
      <c r="F186" s="421">
        <v>5946.1</v>
      </c>
      <c r="G186" s="401">
        <f t="shared" si="10"/>
        <v>865.1</v>
      </c>
      <c r="H186" s="402">
        <f t="shared" si="7"/>
        <v>234454.72300000023</v>
      </c>
      <c r="I186" s="402">
        <f t="shared" si="8"/>
        <v>5143971.1100000003</v>
      </c>
    </row>
    <row r="187" spans="2:9" hidden="1">
      <c r="B187" s="156">
        <v>44938</v>
      </c>
      <c r="C187" s="255" t="s">
        <v>637</v>
      </c>
      <c r="D187" s="419">
        <f t="shared" si="9"/>
        <v>4909516.3870000001</v>
      </c>
      <c r="E187" s="376">
        <v>825.67</v>
      </c>
      <c r="F187" s="421">
        <v>5946.1</v>
      </c>
      <c r="G187" s="401">
        <f t="shared" si="10"/>
        <v>865.1</v>
      </c>
      <c r="H187" s="402">
        <f t="shared" si="7"/>
        <v>234454.72300000023</v>
      </c>
      <c r="I187" s="402">
        <f t="shared" si="8"/>
        <v>5143971.1100000003</v>
      </c>
    </row>
    <row r="188" spans="2:9" hidden="1">
      <c r="B188" s="156">
        <v>44938</v>
      </c>
      <c r="C188" s="255" t="s">
        <v>638</v>
      </c>
      <c r="D188" s="419">
        <f t="shared" si="9"/>
        <v>714270.60360000003</v>
      </c>
      <c r="E188" s="376">
        <v>825.67</v>
      </c>
      <c r="F188" s="421">
        <v>865.08</v>
      </c>
      <c r="G188" s="401">
        <f t="shared" si="10"/>
        <v>865.1</v>
      </c>
      <c r="H188" s="402">
        <f t="shared" si="7"/>
        <v>34110.104400000069</v>
      </c>
      <c r="I188" s="402">
        <f t="shared" si="8"/>
        <v>748380.7080000001</v>
      </c>
    </row>
    <row r="189" spans="2:9" hidden="1">
      <c r="B189" s="156">
        <v>44938</v>
      </c>
      <c r="C189" s="255" t="s">
        <v>639</v>
      </c>
      <c r="D189" s="419">
        <f t="shared" si="9"/>
        <v>12023340.486399999</v>
      </c>
      <c r="E189" s="376">
        <v>825.67</v>
      </c>
      <c r="F189" s="421">
        <v>14561.92</v>
      </c>
      <c r="G189" s="401">
        <f t="shared" si="10"/>
        <v>865.1</v>
      </c>
      <c r="H189" s="402">
        <f t="shared" si="7"/>
        <v>574176.50560000166</v>
      </c>
      <c r="I189" s="402">
        <f t="shared" si="8"/>
        <v>12597516.992000001</v>
      </c>
    </row>
    <row r="190" spans="2:9" hidden="1">
      <c r="B190" s="156">
        <v>44938</v>
      </c>
      <c r="C190" s="255" t="s">
        <v>640</v>
      </c>
      <c r="D190" s="419">
        <f t="shared" si="9"/>
        <v>4170492.1967999996</v>
      </c>
      <c r="E190" s="376">
        <v>825.67</v>
      </c>
      <c r="F190" s="421">
        <v>5051.04</v>
      </c>
      <c r="G190" s="401">
        <f t="shared" si="10"/>
        <v>865.1</v>
      </c>
      <c r="H190" s="402">
        <f t="shared" si="7"/>
        <v>199162.50720000034</v>
      </c>
      <c r="I190" s="402">
        <f t="shared" si="8"/>
        <v>4369654.7039999999</v>
      </c>
    </row>
    <row r="191" spans="2:9" hidden="1">
      <c r="B191" s="156">
        <v>44938</v>
      </c>
      <c r="C191" s="255" t="s">
        <v>641</v>
      </c>
      <c r="D191" s="419">
        <f t="shared" si="9"/>
        <v>5027075.2815999994</v>
      </c>
      <c r="E191" s="376">
        <v>825.67</v>
      </c>
      <c r="F191" s="421">
        <v>6088.48</v>
      </c>
      <c r="G191" s="401">
        <f t="shared" si="10"/>
        <v>865.1</v>
      </c>
      <c r="H191" s="402">
        <f t="shared" si="7"/>
        <v>240068.76640000008</v>
      </c>
      <c r="I191" s="402">
        <f t="shared" si="8"/>
        <v>5267144.0479999995</v>
      </c>
    </row>
    <row r="192" spans="2:9" hidden="1">
      <c r="B192" s="156">
        <v>44938</v>
      </c>
      <c r="C192" s="255" t="s">
        <v>642</v>
      </c>
      <c r="D192" s="419">
        <f t="shared" si="9"/>
        <v>348052.93180000002</v>
      </c>
      <c r="E192" s="376">
        <v>825.67</v>
      </c>
      <c r="F192" s="421">
        <v>421.54</v>
      </c>
      <c r="G192" s="401">
        <f t="shared" si="10"/>
        <v>865.1</v>
      </c>
      <c r="H192" s="402">
        <f t="shared" si="7"/>
        <v>16621.322199999995</v>
      </c>
      <c r="I192" s="402">
        <f t="shared" si="8"/>
        <v>364674.25400000002</v>
      </c>
    </row>
    <row r="193" spans="2:9" hidden="1">
      <c r="B193" s="156">
        <v>44938</v>
      </c>
      <c r="C193" s="255" t="s">
        <v>643</v>
      </c>
      <c r="D193" s="419">
        <f t="shared" si="9"/>
        <v>161699.21280000001</v>
      </c>
      <c r="E193" s="376">
        <v>825.67</v>
      </c>
      <c r="F193" s="421">
        <v>195.84</v>
      </c>
      <c r="G193" s="401">
        <f t="shared" si="10"/>
        <v>865.1</v>
      </c>
      <c r="H193" s="402">
        <f t="shared" si="7"/>
        <v>7721.9712</v>
      </c>
      <c r="I193" s="402">
        <f t="shared" si="8"/>
        <v>169421.18400000001</v>
      </c>
    </row>
    <row r="194" spans="2:9" hidden="1">
      <c r="B194" s="156">
        <v>44938</v>
      </c>
      <c r="C194" s="255" t="s">
        <v>644</v>
      </c>
      <c r="D194" s="419">
        <f t="shared" si="9"/>
        <v>397774.77919999999</v>
      </c>
      <c r="E194" s="376">
        <v>825.67</v>
      </c>
      <c r="F194" s="421">
        <v>481.76</v>
      </c>
      <c r="G194" s="401">
        <f t="shared" si="10"/>
        <v>865.1</v>
      </c>
      <c r="H194" s="402">
        <f t="shared" si="7"/>
        <v>18995.796800000011</v>
      </c>
      <c r="I194" s="402">
        <f t="shared" si="8"/>
        <v>416770.576</v>
      </c>
    </row>
    <row r="195" spans="2:9" hidden="1">
      <c r="B195" s="156">
        <v>44938</v>
      </c>
      <c r="C195" s="255" t="s">
        <v>645</v>
      </c>
      <c r="D195" s="419">
        <f t="shared" si="9"/>
        <v>6143876.5236</v>
      </c>
      <c r="E195" s="376">
        <v>825.67</v>
      </c>
      <c r="F195" s="421">
        <v>7441.08</v>
      </c>
      <c r="G195" s="401">
        <f t="shared" si="10"/>
        <v>865.1</v>
      </c>
      <c r="H195" s="402">
        <f t="shared" si="7"/>
        <v>293401.78440000024</v>
      </c>
      <c r="I195" s="402">
        <f t="shared" si="8"/>
        <v>6437278.3080000002</v>
      </c>
    </row>
    <row r="196" spans="2:9" hidden="1">
      <c r="B196" s="156">
        <v>44938</v>
      </c>
      <c r="C196" s="255" t="s">
        <v>646</v>
      </c>
      <c r="D196" s="419">
        <f t="shared" si="9"/>
        <v>646384.01619999995</v>
      </c>
      <c r="E196" s="376">
        <v>825.67</v>
      </c>
      <c r="F196" s="421">
        <v>782.86</v>
      </c>
      <c r="G196" s="401">
        <f t="shared" si="10"/>
        <v>865.1</v>
      </c>
      <c r="H196" s="402">
        <f t="shared" si="7"/>
        <v>30868.169800000032</v>
      </c>
      <c r="I196" s="402">
        <f t="shared" si="8"/>
        <v>677252.18599999999</v>
      </c>
    </row>
    <row r="197" spans="2:9" hidden="1">
      <c r="B197" s="156">
        <v>44938</v>
      </c>
      <c r="C197" s="255" t="s">
        <v>647</v>
      </c>
      <c r="D197" s="419">
        <f t="shared" si="9"/>
        <v>7400645.3440000005</v>
      </c>
      <c r="E197" s="376">
        <v>825.67</v>
      </c>
      <c r="F197" s="421">
        <v>8963.2000000000007</v>
      </c>
      <c r="G197" s="401">
        <f t="shared" si="10"/>
        <v>865.1</v>
      </c>
      <c r="H197" s="402">
        <f t="shared" si="7"/>
        <v>353418.97600000072</v>
      </c>
      <c r="I197" s="402">
        <f t="shared" si="8"/>
        <v>7754064.3200000012</v>
      </c>
    </row>
    <row r="198" spans="2:9" hidden="1">
      <c r="B198" s="156">
        <v>44938</v>
      </c>
      <c r="C198" s="255" t="s">
        <v>648</v>
      </c>
      <c r="D198" s="419">
        <f t="shared" si="9"/>
        <v>447496.62660000002</v>
      </c>
      <c r="E198" s="376">
        <v>825.67</v>
      </c>
      <c r="F198" s="421">
        <v>541.98</v>
      </c>
      <c r="G198" s="401">
        <f t="shared" si="10"/>
        <v>865.1</v>
      </c>
      <c r="H198" s="402">
        <f t="shared" si="7"/>
        <v>21370.271400000027</v>
      </c>
      <c r="I198" s="402">
        <f t="shared" si="8"/>
        <v>468866.89800000004</v>
      </c>
    </row>
    <row r="199" spans="2:9" hidden="1">
      <c r="B199" s="156">
        <v>44938</v>
      </c>
      <c r="C199" s="255" t="s">
        <v>649</v>
      </c>
      <c r="D199" s="419">
        <f t="shared" si="9"/>
        <v>7486713.1847999999</v>
      </c>
      <c r="E199" s="376">
        <v>825.67</v>
      </c>
      <c r="F199" s="421">
        <v>9067.44</v>
      </c>
      <c r="G199" s="401">
        <f t="shared" si="10"/>
        <v>865.1</v>
      </c>
      <c r="H199" s="402">
        <f t="shared" si="7"/>
        <v>357529.15920000058</v>
      </c>
      <c r="I199" s="402">
        <f t="shared" si="8"/>
        <v>7844242.3440000005</v>
      </c>
    </row>
    <row r="200" spans="2:9" hidden="1">
      <c r="B200" s="156">
        <v>44938</v>
      </c>
      <c r="C200" s="255" t="s">
        <v>650</v>
      </c>
      <c r="D200" s="419">
        <f t="shared" si="9"/>
        <v>546940.3213999999</v>
      </c>
      <c r="E200" s="376">
        <v>825.67</v>
      </c>
      <c r="F200" s="421">
        <v>662.42</v>
      </c>
      <c r="G200" s="401">
        <f t="shared" si="10"/>
        <v>865.1</v>
      </c>
      <c r="H200" s="402">
        <f t="shared" si="7"/>
        <v>26119.220600000117</v>
      </c>
      <c r="I200" s="402">
        <f t="shared" si="8"/>
        <v>573059.54200000002</v>
      </c>
    </row>
    <row r="201" spans="2:9" hidden="1">
      <c r="B201" s="156">
        <v>44938</v>
      </c>
      <c r="C201" s="255" t="s">
        <v>651</v>
      </c>
      <c r="D201" s="419">
        <f t="shared" si="9"/>
        <v>7486713.1847999999</v>
      </c>
      <c r="E201" s="376">
        <v>825.67</v>
      </c>
      <c r="F201" s="421">
        <v>9067.44</v>
      </c>
      <c r="G201" s="401">
        <f t="shared" si="10"/>
        <v>865.1</v>
      </c>
      <c r="H201" s="402">
        <f t="shared" si="7"/>
        <v>357529.15920000058</v>
      </c>
      <c r="I201" s="402">
        <f t="shared" si="8"/>
        <v>7844242.3440000005</v>
      </c>
    </row>
    <row r="202" spans="2:9" hidden="1">
      <c r="B202" s="156">
        <v>44938</v>
      </c>
      <c r="C202" s="255" t="s">
        <v>652</v>
      </c>
      <c r="D202" s="419">
        <f t="shared" si="9"/>
        <v>5579217.324</v>
      </c>
      <c r="E202" s="376">
        <v>825.67</v>
      </c>
      <c r="F202" s="421">
        <v>6757.2</v>
      </c>
      <c r="G202" s="401">
        <f t="shared" si="10"/>
        <v>865.1</v>
      </c>
      <c r="H202" s="402">
        <f t="shared" si="7"/>
        <v>266436.39599999972</v>
      </c>
      <c r="I202" s="402">
        <f t="shared" si="8"/>
        <v>5845653.7199999997</v>
      </c>
    </row>
    <row r="203" spans="2:9" hidden="1">
      <c r="B203" s="156">
        <v>44938</v>
      </c>
      <c r="C203" s="255" t="s">
        <v>653</v>
      </c>
      <c r="D203" s="419">
        <f t="shared" si="9"/>
        <v>4999894.2252000002</v>
      </c>
      <c r="E203" s="376">
        <v>825.67</v>
      </c>
      <c r="F203" s="421">
        <v>6055.56</v>
      </c>
      <c r="G203" s="401">
        <f t="shared" si="10"/>
        <v>865.1</v>
      </c>
      <c r="H203" s="402">
        <f t="shared" si="7"/>
        <v>238770.73080000002</v>
      </c>
      <c r="I203" s="402">
        <f t="shared" si="8"/>
        <v>5238664.9560000002</v>
      </c>
    </row>
    <row r="204" spans="2:9" hidden="1">
      <c r="B204" s="156">
        <v>44938</v>
      </c>
      <c r="C204" s="255" t="s">
        <v>654</v>
      </c>
      <c r="D204" s="419">
        <f t="shared" si="9"/>
        <v>14163146.8584</v>
      </c>
      <c r="E204" s="376">
        <v>825.67</v>
      </c>
      <c r="F204" s="421">
        <v>17153.52</v>
      </c>
      <c r="G204" s="401">
        <f t="shared" si="10"/>
        <v>865.1</v>
      </c>
      <c r="H204" s="402">
        <f t="shared" si="7"/>
        <v>676363.29360000044</v>
      </c>
      <c r="I204" s="402">
        <f t="shared" si="8"/>
        <v>14839510.152000001</v>
      </c>
    </row>
    <row r="205" spans="2:9" hidden="1">
      <c r="B205" s="156">
        <v>44938</v>
      </c>
      <c r="C205" s="255" t="s">
        <v>655</v>
      </c>
      <c r="D205" s="419">
        <f t="shared" si="9"/>
        <v>238090.20120000001</v>
      </c>
      <c r="E205" s="376">
        <v>825.67</v>
      </c>
      <c r="F205" s="421">
        <v>288.36</v>
      </c>
      <c r="G205" s="401">
        <f t="shared" si="10"/>
        <v>865.1</v>
      </c>
      <c r="H205" s="402">
        <f t="shared" si="7"/>
        <v>11370.034799999994</v>
      </c>
      <c r="I205" s="402">
        <f t="shared" si="8"/>
        <v>249460.236</v>
      </c>
    </row>
    <row r="206" spans="2:9" hidden="1">
      <c r="B206" s="156">
        <v>44938</v>
      </c>
      <c r="C206" s="255" t="s">
        <v>656</v>
      </c>
      <c r="D206" s="419">
        <f t="shared" si="9"/>
        <v>1778691.3407999997</v>
      </c>
      <c r="E206" s="376">
        <v>825.67</v>
      </c>
      <c r="F206" s="421">
        <v>2154.2399999999998</v>
      </c>
      <c r="G206" s="401">
        <f t="shared" si="10"/>
        <v>865.1</v>
      </c>
      <c r="H206" s="402">
        <f t="shared" si="7"/>
        <v>84941.68320000032</v>
      </c>
      <c r="I206" s="402">
        <f t="shared" si="8"/>
        <v>1863633.024</v>
      </c>
    </row>
    <row r="207" spans="2:9" hidden="1">
      <c r="B207" s="156">
        <v>44939</v>
      </c>
      <c r="C207" s="255" t="s">
        <v>657</v>
      </c>
      <c r="D207" s="419">
        <f t="shared" si="9"/>
        <v>2180792.64</v>
      </c>
      <c r="E207" s="376">
        <v>822.32</v>
      </c>
      <c r="F207" s="421">
        <v>2652</v>
      </c>
      <c r="G207" s="401">
        <f t="shared" si="10"/>
        <v>865.1</v>
      </c>
      <c r="H207" s="402">
        <f t="shared" si="7"/>
        <v>113452.56000000006</v>
      </c>
      <c r="I207" s="402">
        <f t="shared" si="8"/>
        <v>2294245.2000000002</v>
      </c>
    </row>
    <row r="208" spans="2:9" hidden="1">
      <c r="B208" s="156">
        <v>44939</v>
      </c>
      <c r="C208" s="255" t="s">
        <v>658</v>
      </c>
      <c r="D208" s="419">
        <f t="shared" si="9"/>
        <v>1489846.4832000001</v>
      </c>
      <c r="E208" s="376">
        <v>822.32</v>
      </c>
      <c r="F208" s="421">
        <v>1811.76</v>
      </c>
      <c r="G208" s="401">
        <f t="shared" si="10"/>
        <v>865.1</v>
      </c>
      <c r="H208" s="402">
        <f t="shared" si="7"/>
        <v>77507.092799999984</v>
      </c>
      <c r="I208" s="402">
        <f t="shared" si="8"/>
        <v>1567353.5760000001</v>
      </c>
    </row>
    <row r="209" spans="2:9" hidden="1">
      <c r="B209" s="156">
        <v>44939</v>
      </c>
      <c r="C209" s="255" t="s">
        <v>659</v>
      </c>
      <c r="D209" s="419">
        <f t="shared" si="9"/>
        <v>5867516.3424000004</v>
      </c>
      <c r="E209" s="376">
        <v>822.32</v>
      </c>
      <c r="F209" s="421">
        <v>7135.32</v>
      </c>
      <c r="G209" s="401">
        <f t="shared" si="10"/>
        <v>865.1</v>
      </c>
      <c r="H209" s="402">
        <f t="shared" ref="H209:H220" si="11">+I209-D209</f>
        <v>305248.98959999904</v>
      </c>
      <c r="I209" s="402">
        <f t="shared" ref="I209:I220" si="12">+F209*G209</f>
        <v>6172765.3319999995</v>
      </c>
    </row>
    <row r="210" spans="2:9" hidden="1">
      <c r="B210" s="156">
        <v>44939</v>
      </c>
      <c r="C210" s="255" t="s">
        <v>660</v>
      </c>
      <c r="D210" s="419">
        <f t="shared" si="9"/>
        <v>3911677.5616000001</v>
      </c>
      <c r="E210" s="376">
        <v>822.32</v>
      </c>
      <c r="F210" s="421">
        <v>4756.88</v>
      </c>
      <c r="G210" s="401">
        <f t="shared" si="10"/>
        <v>865.1</v>
      </c>
      <c r="H210" s="402">
        <f t="shared" si="11"/>
        <v>203499.32640000014</v>
      </c>
      <c r="I210" s="402">
        <f t="shared" si="12"/>
        <v>4115176.8880000003</v>
      </c>
    </row>
    <row r="211" spans="2:9" hidden="1">
      <c r="B211" s="156">
        <v>44939</v>
      </c>
      <c r="C211" s="255" t="s">
        <v>661</v>
      </c>
      <c r="D211" s="419">
        <f t="shared" si="9"/>
        <v>4889596.9520000005</v>
      </c>
      <c r="E211" s="376">
        <v>822.32</v>
      </c>
      <c r="F211" s="421">
        <v>5946.1</v>
      </c>
      <c r="G211" s="401">
        <f t="shared" si="10"/>
        <v>865.1</v>
      </c>
      <c r="H211" s="402">
        <f t="shared" si="11"/>
        <v>254374.15799999982</v>
      </c>
      <c r="I211" s="402">
        <f t="shared" si="12"/>
        <v>5143971.1100000003</v>
      </c>
    </row>
    <row r="212" spans="2:9" hidden="1">
      <c r="B212" s="156">
        <v>44939</v>
      </c>
      <c r="C212" s="255" t="s">
        <v>662</v>
      </c>
      <c r="D212" s="419">
        <f t="shared" si="9"/>
        <v>7456337.2608000012</v>
      </c>
      <c r="E212" s="376">
        <v>822.32</v>
      </c>
      <c r="F212" s="421">
        <v>9067.44</v>
      </c>
      <c r="G212" s="401">
        <f t="shared" si="10"/>
        <v>865.1</v>
      </c>
      <c r="H212" s="402">
        <f t="shared" si="11"/>
        <v>387905.0831999993</v>
      </c>
      <c r="I212" s="402">
        <f t="shared" si="12"/>
        <v>7844242.3440000005</v>
      </c>
    </row>
    <row r="213" spans="2:9" hidden="1">
      <c r="B213" s="156">
        <v>44939</v>
      </c>
      <c r="C213" s="255" t="s">
        <v>663</v>
      </c>
      <c r="D213" s="419">
        <f t="shared" si="9"/>
        <v>594241.32480000006</v>
      </c>
      <c r="E213" s="376">
        <v>822.32</v>
      </c>
      <c r="F213" s="421">
        <v>722.64</v>
      </c>
      <c r="G213" s="401">
        <f t="shared" si="10"/>
        <v>865.1</v>
      </c>
      <c r="H213" s="402">
        <f t="shared" si="11"/>
        <v>30914.539199999999</v>
      </c>
      <c r="I213" s="402">
        <f t="shared" si="12"/>
        <v>625155.86400000006</v>
      </c>
    </row>
    <row r="214" spans="2:9" hidden="1">
      <c r="B214" s="156">
        <v>44939</v>
      </c>
      <c r="C214" s="255" t="s">
        <v>664</v>
      </c>
      <c r="D214" s="419">
        <f t="shared" si="9"/>
        <v>7370618.6240000008</v>
      </c>
      <c r="E214" s="376">
        <v>822.32</v>
      </c>
      <c r="F214" s="421">
        <v>8963.2000000000007</v>
      </c>
      <c r="G214" s="401">
        <f t="shared" si="10"/>
        <v>865.1</v>
      </c>
      <c r="H214" s="402">
        <f t="shared" si="11"/>
        <v>383445.69600000046</v>
      </c>
      <c r="I214" s="402">
        <f t="shared" si="12"/>
        <v>7754064.3200000012</v>
      </c>
    </row>
    <row r="215" spans="2:9" hidden="1">
      <c r="B215" s="156">
        <v>44939</v>
      </c>
      <c r="C215" s="255" t="s">
        <v>665</v>
      </c>
      <c r="D215" s="419">
        <f t="shared" si="9"/>
        <v>495201.10400000005</v>
      </c>
      <c r="E215" s="376">
        <v>822.32</v>
      </c>
      <c r="F215" s="421">
        <v>602.20000000000005</v>
      </c>
      <c r="G215" s="401">
        <f t="shared" si="10"/>
        <v>865.1</v>
      </c>
      <c r="H215" s="402">
        <f t="shared" si="11"/>
        <v>25762.11599999998</v>
      </c>
      <c r="I215" s="402">
        <f t="shared" si="12"/>
        <v>520963.22000000003</v>
      </c>
    </row>
    <row r="216" spans="2:9" hidden="1">
      <c r="B216" s="156">
        <v>44939</v>
      </c>
      <c r="C216" s="255" t="s">
        <v>666</v>
      </c>
      <c r="D216" s="419">
        <f t="shared" si="9"/>
        <v>7456337.2608000012</v>
      </c>
      <c r="E216" s="376">
        <v>822.32</v>
      </c>
      <c r="F216" s="421">
        <v>9067.44</v>
      </c>
      <c r="G216" s="401">
        <f t="shared" si="10"/>
        <v>865.1</v>
      </c>
      <c r="H216" s="402">
        <f t="shared" si="11"/>
        <v>387905.0831999993</v>
      </c>
      <c r="I216" s="402">
        <f t="shared" si="12"/>
        <v>7844242.3440000005</v>
      </c>
    </row>
    <row r="217" spans="2:9" hidden="1">
      <c r="B217" s="156">
        <v>44939</v>
      </c>
      <c r="C217" s="255" t="s">
        <v>667</v>
      </c>
      <c r="D217" s="419">
        <f t="shared" si="9"/>
        <v>4451678.6592000006</v>
      </c>
      <c r="E217" s="376">
        <v>822.32</v>
      </c>
      <c r="F217" s="421">
        <v>5413.56</v>
      </c>
      <c r="G217" s="401">
        <f t="shared" si="10"/>
        <v>865.1</v>
      </c>
      <c r="H217" s="402">
        <f t="shared" si="11"/>
        <v>231592.09679999948</v>
      </c>
      <c r="I217" s="402">
        <f t="shared" si="12"/>
        <v>4683270.7560000001</v>
      </c>
    </row>
    <row r="218" spans="2:9" hidden="1">
      <c r="B218" s="156">
        <v>44939</v>
      </c>
      <c r="C218" s="255" t="s">
        <v>668</v>
      </c>
      <c r="D218" s="419">
        <f t="shared" si="9"/>
        <v>4451678.6592000006</v>
      </c>
      <c r="E218" s="376">
        <v>822.32</v>
      </c>
      <c r="F218" s="421">
        <v>5413.56</v>
      </c>
      <c r="G218" s="401">
        <f t="shared" si="10"/>
        <v>865.1</v>
      </c>
      <c r="H218" s="402">
        <f t="shared" si="11"/>
        <v>231592.09679999948</v>
      </c>
      <c r="I218" s="402">
        <f t="shared" si="12"/>
        <v>4683270.7560000001</v>
      </c>
    </row>
    <row r="219" spans="2:9" hidden="1">
      <c r="B219" s="156">
        <v>44939</v>
      </c>
      <c r="C219" s="255" t="s">
        <v>669</v>
      </c>
      <c r="D219" s="419">
        <f t="shared" si="9"/>
        <v>4451678.6592000006</v>
      </c>
      <c r="E219" s="376">
        <v>822.32</v>
      </c>
      <c r="F219" s="421">
        <v>5413.56</v>
      </c>
      <c r="G219" s="401">
        <f t="shared" si="10"/>
        <v>865.1</v>
      </c>
      <c r="H219" s="402">
        <f t="shared" si="11"/>
        <v>231592.09679999948</v>
      </c>
      <c r="I219" s="402">
        <f t="shared" si="12"/>
        <v>4683270.7560000001</v>
      </c>
    </row>
    <row r="220" spans="2:9" hidden="1">
      <c r="B220" s="156">
        <v>44939</v>
      </c>
      <c r="C220" s="255" t="s">
        <v>670</v>
      </c>
      <c r="D220" s="419">
        <f t="shared" si="9"/>
        <v>429448.39680000005</v>
      </c>
      <c r="E220" s="376">
        <v>822.32</v>
      </c>
      <c r="F220" s="421">
        <v>522.24</v>
      </c>
      <c r="G220" s="401">
        <f t="shared" si="10"/>
        <v>865.1</v>
      </c>
      <c r="H220" s="402">
        <f t="shared" si="11"/>
        <v>22341.427199999976</v>
      </c>
      <c r="I220" s="402">
        <f t="shared" si="12"/>
        <v>451789.82400000002</v>
      </c>
    </row>
    <row r="221" spans="2:9" hidden="1">
      <c r="B221" s="156">
        <v>44956</v>
      </c>
      <c r="C221" s="255" t="s">
        <v>671</v>
      </c>
      <c r="D221" s="419">
        <f t="shared" ref="D221:D284" si="13">F221*E221</f>
        <v>191131.25719999999</v>
      </c>
      <c r="E221" s="376">
        <v>803.14</v>
      </c>
      <c r="F221" s="421">
        <v>237.98</v>
      </c>
      <c r="G221" s="401">
        <f>+G219</f>
        <v>865.1</v>
      </c>
      <c r="H221" s="402">
        <f>+I221-D221</f>
        <v>14745.2408</v>
      </c>
      <c r="I221" s="402">
        <f>+F221*G221</f>
        <v>205876.49799999999</v>
      </c>
    </row>
    <row r="222" spans="2:9" hidden="1">
      <c r="B222" s="156">
        <v>44956</v>
      </c>
      <c r="C222" s="255" t="s">
        <v>673</v>
      </c>
      <c r="D222" s="419">
        <f t="shared" si="13"/>
        <v>-94727093.049999997</v>
      </c>
      <c r="E222" s="376">
        <v>804.28</v>
      </c>
      <c r="F222" s="421">
        <v>-117778.75</v>
      </c>
      <c r="G222" s="401">
        <f>+G219</f>
        <v>865.1</v>
      </c>
      <c r="H222" s="402">
        <f>+I222-D222</f>
        <v>-7163303.575000003</v>
      </c>
      <c r="I222" s="402">
        <f>+F222*G222</f>
        <v>-101890396.625</v>
      </c>
    </row>
    <row r="223" spans="2:9" hidden="1">
      <c r="B223" s="156">
        <v>44973</v>
      </c>
      <c r="C223" s="255" t="s">
        <v>679</v>
      </c>
      <c r="D223" s="419">
        <f t="shared" si="13"/>
        <v>4006218.5279999999</v>
      </c>
      <c r="E223" s="376">
        <v>792.62</v>
      </c>
      <c r="F223" s="421">
        <v>5054.3999999999996</v>
      </c>
      <c r="G223" s="401">
        <f t="shared" ref="G223:G286" si="14">+G220</f>
        <v>865.1</v>
      </c>
      <c r="H223" s="402">
        <f t="shared" ref="H223:H286" si="15">+I223-D223</f>
        <v>366342.91199999955</v>
      </c>
      <c r="I223" s="402">
        <f t="shared" ref="I223:I286" si="16">+F223*G223</f>
        <v>4372561.4399999995</v>
      </c>
    </row>
    <row r="224" spans="2:9" hidden="1">
      <c r="B224" s="156">
        <v>44973</v>
      </c>
      <c r="C224" s="255" t="s">
        <v>680</v>
      </c>
      <c r="D224" s="419">
        <f t="shared" si="13"/>
        <v>4058008.3188</v>
      </c>
      <c r="E224" s="376">
        <v>792.62</v>
      </c>
      <c r="F224" s="421">
        <v>5119.74</v>
      </c>
      <c r="G224" s="401">
        <f t="shared" si="14"/>
        <v>865.1</v>
      </c>
      <c r="H224" s="402">
        <f t="shared" si="15"/>
        <v>371078.75520000001</v>
      </c>
      <c r="I224" s="402">
        <f t="shared" si="16"/>
        <v>4429087.074</v>
      </c>
    </row>
    <row r="225" spans="2:9" hidden="1">
      <c r="B225" s="156">
        <v>44973</v>
      </c>
      <c r="C225" s="255" t="s">
        <v>681</v>
      </c>
      <c r="D225" s="419">
        <f t="shared" si="13"/>
        <v>5815421.2352</v>
      </c>
      <c r="E225" s="376">
        <v>792.62</v>
      </c>
      <c r="F225" s="421">
        <v>7336.96</v>
      </c>
      <c r="G225" s="401">
        <f t="shared" si="14"/>
        <v>865.1</v>
      </c>
      <c r="H225" s="402">
        <f t="shared" si="15"/>
        <v>531782.86079999991</v>
      </c>
      <c r="I225" s="402">
        <f t="shared" si="16"/>
        <v>6347204.0959999999</v>
      </c>
    </row>
    <row r="226" spans="2:9" hidden="1">
      <c r="B226" s="156">
        <v>44973</v>
      </c>
      <c r="C226" s="255" t="s">
        <v>682</v>
      </c>
      <c r="D226" s="419">
        <f t="shared" si="13"/>
        <v>206968.9344</v>
      </c>
      <c r="E226" s="376">
        <v>792.62</v>
      </c>
      <c r="F226" s="421">
        <v>261.12</v>
      </c>
      <c r="G226" s="401">
        <f t="shared" si="14"/>
        <v>865.1</v>
      </c>
      <c r="H226" s="402">
        <f t="shared" si="15"/>
        <v>18925.977600000013</v>
      </c>
      <c r="I226" s="402">
        <f t="shared" si="16"/>
        <v>225894.91200000001</v>
      </c>
    </row>
    <row r="227" spans="2:9" hidden="1">
      <c r="B227" s="156">
        <v>44973</v>
      </c>
      <c r="C227" s="255" t="s">
        <v>683</v>
      </c>
      <c r="D227" s="419">
        <f t="shared" si="13"/>
        <v>258711.16799999998</v>
      </c>
      <c r="E227" s="376">
        <v>792.62</v>
      </c>
      <c r="F227" s="421">
        <v>326.39999999999998</v>
      </c>
      <c r="G227" s="401">
        <f t="shared" si="14"/>
        <v>865.1</v>
      </c>
      <c r="H227" s="402">
        <f t="shared" si="15"/>
        <v>23657.472000000038</v>
      </c>
      <c r="I227" s="402">
        <f t="shared" si="16"/>
        <v>282368.64000000001</v>
      </c>
    </row>
    <row r="228" spans="2:9" hidden="1">
      <c r="B228" s="156">
        <v>44973</v>
      </c>
      <c r="C228" s="255" t="s">
        <v>684</v>
      </c>
      <c r="D228" s="419">
        <f t="shared" si="13"/>
        <v>206968.9344</v>
      </c>
      <c r="E228" s="376">
        <v>792.62</v>
      </c>
      <c r="F228" s="421">
        <v>261.12</v>
      </c>
      <c r="G228" s="401">
        <f t="shared" si="14"/>
        <v>865.1</v>
      </c>
      <c r="H228" s="402">
        <f t="shared" si="15"/>
        <v>18925.977600000013</v>
      </c>
      <c r="I228" s="402">
        <f t="shared" si="16"/>
        <v>225894.91200000001</v>
      </c>
    </row>
    <row r="229" spans="2:9" hidden="1">
      <c r="B229" s="156">
        <v>44973</v>
      </c>
      <c r="C229" s="255" t="s">
        <v>685</v>
      </c>
      <c r="D229" s="419">
        <f t="shared" si="13"/>
        <v>155226.70079999999</v>
      </c>
      <c r="E229" s="376">
        <v>792.62</v>
      </c>
      <c r="F229" s="421">
        <v>195.84</v>
      </c>
      <c r="G229" s="401">
        <f t="shared" si="14"/>
        <v>865.1</v>
      </c>
      <c r="H229" s="402">
        <f t="shared" si="15"/>
        <v>14194.483200000017</v>
      </c>
      <c r="I229" s="402">
        <f t="shared" si="16"/>
        <v>169421.18400000001</v>
      </c>
    </row>
    <row r="230" spans="2:9" hidden="1">
      <c r="B230" s="156">
        <v>44973</v>
      </c>
      <c r="C230" s="255" t="s">
        <v>686</v>
      </c>
      <c r="D230" s="419">
        <f t="shared" si="13"/>
        <v>197330.6752</v>
      </c>
      <c r="E230" s="376">
        <v>792.62</v>
      </c>
      <c r="F230" s="421">
        <v>248.96</v>
      </c>
      <c r="G230" s="401">
        <f t="shared" si="14"/>
        <v>865.1</v>
      </c>
      <c r="H230" s="402">
        <f t="shared" si="15"/>
        <v>18044.620800000004</v>
      </c>
      <c r="I230" s="402">
        <f t="shared" si="16"/>
        <v>215375.296</v>
      </c>
    </row>
    <row r="231" spans="2:9" hidden="1">
      <c r="B231" s="156">
        <v>44973</v>
      </c>
      <c r="C231" s="255" t="s">
        <v>687</v>
      </c>
      <c r="D231" s="419">
        <f t="shared" si="13"/>
        <v>197330.6752</v>
      </c>
      <c r="E231" s="376">
        <v>792.62</v>
      </c>
      <c r="F231" s="421">
        <v>248.96</v>
      </c>
      <c r="G231" s="401">
        <f t="shared" si="14"/>
        <v>865.1</v>
      </c>
      <c r="H231" s="402">
        <f t="shared" si="15"/>
        <v>18044.620800000004</v>
      </c>
      <c r="I231" s="402">
        <f t="shared" si="16"/>
        <v>215375.296</v>
      </c>
    </row>
    <row r="232" spans="2:9" hidden="1">
      <c r="B232" s="156">
        <v>44973</v>
      </c>
      <c r="C232" s="255" t="s">
        <v>688</v>
      </c>
      <c r="D232" s="419">
        <f t="shared" si="13"/>
        <v>12530371.056</v>
      </c>
      <c r="E232" s="376">
        <v>792.62</v>
      </c>
      <c r="F232" s="421">
        <v>15808.8</v>
      </c>
      <c r="G232" s="401">
        <f t="shared" si="14"/>
        <v>865.1</v>
      </c>
      <c r="H232" s="402">
        <f t="shared" si="15"/>
        <v>1145821.8239999991</v>
      </c>
      <c r="I232" s="402">
        <f t="shared" si="16"/>
        <v>13676192.879999999</v>
      </c>
    </row>
    <row r="233" spans="2:9" hidden="1">
      <c r="B233" s="156">
        <v>44973</v>
      </c>
      <c r="C233" s="255" t="s">
        <v>689</v>
      </c>
      <c r="D233" s="419">
        <f t="shared" si="13"/>
        <v>310453.40159999998</v>
      </c>
      <c r="E233" s="376">
        <v>792.62</v>
      </c>
      <c r="F233" s="421">
        <v>391.68</v>
      </c>
      <c r="G233" s="401">
        <f t="shared" si="14"/>
        <v>865.1</v>
      </c>
      <c r="H233" s="402">
        <f t="shared" si="15"/>
        <v>28388.966400000034</v>
      </c>
      <c r="I233" s="402">
        <f t="shared" si="16"/>
        <v>338842.36800000002</v>
      </c>
    </row>
    <row r="234" spans="2:9" hidden="1">
      <c r="B234" s="156">
        <v>44973</v>
      </c>
      <c r="C234" s="255" t="s">
        <v>690</v>
      </c>
      <c r="D234" s="419">
        <f t="shared" si="13"/>
        <v>246663.34399999998</v>
      </c>
      <c r="E234" s="376">
        <v>792.62</v>
      </c>
      <c r="F234" s="421">
        <v>311.2</v>
      </c>
      <c r="G234" s="401">
        <f t="shared" si="14"/>
        <v>865.1</v>
      </c>
      <c r="H234" s="402">
        <f t="shared" si="15"/>
        <v>22555.776000000013</v>
      </c>
      <c r="I234" s="402">
        <f t="shared" si="16"/>
        <v>269219.12</v>
      </c>
    </row>
    <row r="235" spans="2:9" hidden="1">
      <c r="B235" s="156">
        <v>44973</v>
      </c>
      <c r="C235" s="255" t="s">
        <v>691</v>
      </c>
      <c r="D235" s="419">
        <f t="shared" si="13"/>
        <v>246663.34399999998</v>
      </c>
      <c r="E235" s="376">
        <v>792.62</v>
      </c>
      <c r="F235" s="421">
        <v>311.2</v>
      </c>
      <c r="G235" s="401">
        <f t="shared" si="14"/>
        <v>865.1</v>
      </c>
      <c r="H235" s="402">
        <f t="shared" si="15"/>
        <v>22555.776000000013</v>
      </c>
      <c r="I235" s="402">
        <f t="shared" si="16"/>
        <v>269219.12</v>
      </c>
    </row>
    <row r="236" spans="2:9" hidden="1">
      <c r="B236" s="156">
        <v>44973</v>
      </c>
      <c r="C236" s="255" t="s">
        <v>692</v>
      </c>
      <c r="D236" s="419">
        <f t="shared" si="13"/>
        <v>155226.70079999999</v>
      </c>
      <c r="E236" s="376">
        <v>792.62</v>
      </c>
      <c r="F236" s="421">
        <v>195.84</v>
      </c>
      <c r="G236" s="401">
        <f t="shared" si="14"/>
        <v>865.1</v>
      </c>
      <c r="H236" s="402">
        <f t="shared" si="15"/>
        <v>14194.483200000017</v>
      </c>
      <c r="I236" s="402">
        <f t="shared" si="16"/>
        <v>169421.18400000001</v>
      </c>
    </row>
    <row r="237" spans="2:9" hidden="1">
      <c r="B237" s="156">
        <v>44973</v>
      </c>
      <c r="C237" s="255" t="s">
        <v>693</v>
      </c>
      <c r="D237" s="419">
        <f t="shared" si="13"/>
        <v>206968.9344</v>
      </c>
      <c r="E237" s="376">
        <v>792.62</v>
      </c>
      <c r="F237" s="421">
        <v>261.12</v>
      </c>
      <c r="G237" s="401">
        <f t="shared" si="14"/>
        <v>865.1</v>
      </c>
      <c r="H237" s="402">
        <f t="shared" si="15"/>
        <v>18925.977600000013</v>
      </c>
      <c r="I237" s="402">
        <f t="shared" si="16"/>
        <v>225894.91200000001</v>
      </c>
    </row>
    <row r="238" spans="2:9" hidden="1">
      <c r="B238" s="156">
        <v>44973</v>
      </c>
      <c r="C238" s="255" t="s">
        <v>694</v>
      </c>
      <c r="D238" s="419">
        <f t="shared" si="13"/>
        <v>739990.03200000001</v>
      </c>
      <c r="E238" s="376">
        <v>792.62</v>
      </c>
      <c r="F238" s="421">
        <v>933.6</v>
      </c>
      <c r="G238" s="401">
        <f t="shared" si="14"/>
        <v>865.1</v>
      </c>
      <c r="H238" s="402">
        <f t="shared" si="15"/>
        <v>67667.32799999998</v>
      </c>
      <c r="I238" s="402">
        <f t="shared" si="16"/>
        <v>807657.36</v>
      </c>
    </row>
    <row r="239" spans="2:9" hidden="1">
      <c r="B239" s="156">
        <v>44973</v>
      </c>
      <c r="C239" s="255" t="s">
        <v>695</v>
      </c>
      <c r="D239" s="419">
        <f t="shared" si="13"/>
        <v>147998.00640000001</v>
      </c>
      <c r="E239" s="376">
        <v>792.62</v>
      </c>
      <c r="F239" s="421">
        <v>186.72</v>
      </c>
      <c r="G239" s="401">
        <f t="shared" si="14"/>
        <v>865.1</v>
      </c>
      <c r="H239" s="402">
        <f t="shared" si="15"/>
        <v>13533.465599999996</v>
      </c>
      <c r="I239" s="402">
        <f t="shared" si="16"/>
        <v>161531.47200000001</v>
      </c>
    </row>
    <row r="240" spans="2:9" hidden="1">
      <c r="B240" s="156">
        <v>44973</v>
      </c>
      <c r="C240" s="255" t="s">
        <v>696</v>
      </c>
      <c r="D240" s="419">
        <f t="shared" si="13"/>
        <v>295996.01280000003</v>
      </c>
      <c r="E240" s="376">
        <v>792.62</v>
      </c>
      <c r="F240" s="421">
        <v>373.44</v>
      </c>
      <c r="G240" s="401">
        <f t="shared" si="14"/>
        <v>865.1</v>
      </c>
      <c r="H240" s="402">
        <f t="shared" si="15"/>
        <v>27066.931199999992</v>
      </c>
      <c r="I240" s="402">
        <f t="shared" si="16"/>
        <v>323062.94400000002</v>
      </c>
    </row>
    <row r="241" spans="2:9" hidden="1">
      <c r="B241" s="156">
        <v>44973</v>
      </c>
      <c r="C241" s="255" t="s">
        <v>697</v>
      </c>
      <c r="D241" s="419">
        <f t="shared" si="13"/>
        <v>197330.6752</v>
      </c>
      <c r="E241" s="376">
        <v>792.62</v>
      </c>
      <c r="F241" s="421">
        <v>248.96</v>
      </c>
      <c r="G241" s="401">
        <f t="shared" si="14"/>
        <v>865.1</v>
      </c>
      <c r="H241" s="402">
        <f t="shared" si="15"/>
        <v>18044.620800000004</v>
      </c>
      <c r="I241" s="402">
        <f t="shared" si="16"/>
        <v>215375.296</v>
      </c>
    </row>
    <row r="242" spans="2:9" hidden="1">
      <c r="B242" s="156">
        <v>44973</v>
      </c>
      <c r="C242" s="255" t="s">
        <v>698</v>
      </c>
      <c r="D242" s="419">
        <f t="shared" si="13"/>
        <v>258711.16799999998</v>
      </c>
      <c r="E242" s="376">
        <v>792.62</v>
      </c>
      <c r="F242" s="421">
        <v>326.39999999999998</v>
      </c>
      <c r="G242" s="401">
        <f t="shared" si="14"/>
        <v>865.1</v>
      </c>
      <c r="H242" s="402">
        <f t="shared" si="15"/>
        <v>23657.472000000038</v>
      </c>
      <c r="I242" s="402">
        <f t="shared" si="16"/>
        <v>282368.64000000001</v>
      </c>
    </row>
    <row r="243" spans="2:9" hidden="1">
      <c r="B243" s="156">
        <v>44973</v>
      </c>
      <c r="C243" s="255" t="s">
        <v>699</v>
      </c>
      <c r="D243" s="419">
        <f t="shared" si="13"/>
        <v>246663.34399999998</v>
      </c>
      <c r="E243" s="376">
        <v>792.62</v>
      </c>
      <c r="F243" s="421">
        <v>311.2</v>
      </c>
      <c r="G243" s="401">
        <f t="shared" si="14"/>
        <v>865.1</v>
      </c>
      <c r="H243" s="402">
        <f t="shared" si="15"/>
        <v>22555.776000000013</v>
      </c>
      <c r="I243" s="402">
        <f t="shared" si="16"/>
        <v>269219.12</v>
      </c>
    </row>
    <row r="244" spans="2:9" hidden="1">
      <c r="B244" s="156">
        <v>44973</v>
      </c>
      <c r="C244" s="255" t="s">
        <v>700</v>
      </c>
      <c r="D244" s="419">
        <f t="shared" si="13"/>
        <v>1293476.578</v>
      </c>
      <c r="E244" s="376">
        <v>792.62</v>
      </c>
      <c r="F244" s="421">
        <v>1631.9</v>
      </c>
      <c r="G244" s="401">
        <f t="shared" si="14"/>
        <v>865.1</v>
      </c>
      <c r="H244" s="402">
        <f t="shared" si="15"/>
        <v>118280.1120000002</v>
      </c>
      <c r="I244" s="402">
        <f t="shared" si="16"/>
        <v>1411756.6900000002</v>
      </c>
    </row>
    <row r="245" spans="2:9" hidden="1">
      <c r="B245" s="156">
        <v>44973</v>
      </c>
      <c r="C245" s="255" t="s">
        <v>701</v>
      </c>
      <c r="D245" s="419">
        <f t="shared" si="13"/>
        <v>3349548.7104000002</v>
      </c>
      <c r="E245" s="376">
        <v>792.62</v>
      </c>
      <c r="F245" s="421">
        <v>4225.92</v>
      </c>
      <c r="G245" s="401">
        <f t="shared" si="14"/>
        <v>865.1</v>
      </c>
      <c r="H245" s="402">
        <f t="shared" si="15"/>
        <v>306294.68159999978</v>
      </c>
      <c r="I245" s="402">
        <f t="shared" si="16"/>
        <v>3655843.392</v>
      </c>
    </row>
    <row r="246" spans="2:9" hidden="1">
      <c r="B246" s="156">
        <v>44973</v>
      </c>
      <c r="C246" s="255" t="s">
        <v>702</v>
      </c>
      <c r="D246" s="419">
        <f t="shared" si="13"/>
        <v>1552171.8936000001</v>
      </c>
      <c r="E246" s="376">
        <v>792.62</v>
      </c>
      <c r="F246" s="421">
        <v>1958.28</v>
      </c>
      <c r="G246" s="401">
        <f t="shared" si="14"/>
        <v>865.1</v>
      </c>
      <c r="H246" s="402">
        <f t="shared" si="15"/>
        <v>141936.13439999986</v>
      </c>
      <c r="I246" s="402">
        <f t="shared" si="16"/>
        <v>1694108.0279999999</v>
      </c>
    </row>
    <row r="247" spans="2:9" hidden="1">
      <c r="B247" s="156">
        <v>44973</v>
      </c>
      <c r="C247" s="255" t="s">
        <v>703</v>
      </c>
      <c r="D247" s="419">
        <f t="shared" si="13"/>
        <v>1034781.2624</v>
      </c>
      <c r="E247" s="376">
        <v>792.62</v>
      </c>
      <c r="F247" s="421">
        <v>1305.52</v>
      </c>
      <c r="G247" s="401">
        <f t="shared" si="14"/>
        <v>865.1</v>
      </c>
      <c r="H247" s="402">
        <f t="shared" si="15"/>
        <v>94624.089599999948</v>
      </c>
      <c r="I247" s="402">
        <f t="shared" si="16"/>
        <v>1129405.352</v>
      </c>
    </row>
    <row r="248" spans="2:9" hidden="1">
      <c r="B248" s="156">
        <v>44973</v>
      </c>
      <c r="C248" s="255" t="s">
        <v>704</v>
      </c>
      <c r="D248" s="419">
        <f t="shared" si="13"/>
        <v>441568.60200000001</v>
      </c>
      <c r="E248" s="376">
        <v>792.62</v>
      </c>
      <c r="F248" s="421">
        <v>557.1</v>
      </c>
      <c r="G248" s="401">
        <f t="shared" si="14"/>
        <v>865.1</v>
      </c>
      <c r="H248" s="402">
        <f t="shared" si="15"/>
        <v>40378.608000000007</v>
      </c>
      <c r="I248" s="402">
        <f t="shared" si="16"/>
        <v>481947.21</v>
      </c>
    </row>
    <row r="249" spans="2:9" hidden="1">
      <c r="B249" s="156">
        <v>44973</v>
      </c>
      <c r="C249" s="255" t="s">
        <v>705</v>
      </c>
      <c r="D249" s="419">
        <f t="shared" si="13"/>
        <v>3217625.0375999999</v>
      </c>
      <c r="E249" s="376">
        <v>792.62</v>
      </c>
      <c r="F249" s="421">
        <v>4059.48</v>
      </c>
      <c r="G249" s="401">
        <f t="shared" si="14"/>
        <v>865.1</v>
      </c>
      <c r="H249" s="402">
        <f t="shared" si="15"/>
        <v>294231.11040000012</v>
      </c>
      <c r="I249" s="402">
        <f t="shared" si="16"/>
        <v>3511856.148</v>
      </c>
    </row>
    <row r="250" spans="2:9" hidden="1">
      <c r="B250" s="156">
        <v>44980</v>
      </c>
      <c r="C250" s="255" t="s">
        <v>706</v>
      </c>
      <c r="D250" s="419">
        <f t="shared" si="13"/>
        <v>1090296.3672</v>
      </c>
      <c r="E250" s="376">
        <v>792.62</v>
      </c>
      <c r="F250" s="421">
        <v>1375.56</v>
      </c>
      <c r="G250" s="401">
        <f t="shared" si="14"/>
        <v>865.1</v>
      </c>
      <c r="H250" s="402">
        <f t="shared" si="15"/>
        <v>99700.588800000027</v>
      </c>
      <c r="I250" s="402">
        <f t="shared" si="16"/>
        <v>1189996.956</v>
      </c>
    </row>
    <row r="251" spans="2:9" hidden="1">
      <c r="B251" s="156">
        <v>44973</v>
      </c>
      <c r="C251" s="255" t="s">
        <v>707</v>
      </c>
      <c r="D251" s="419">
        <f t="shared" si="13"/>
        <v>1034781.2624</v>
      </c>
      <c r="E251" s="376">
        <v>792.62</v>
      </c>
      <c r="F251" s="421">
        <v>1305.52</v>
      </c>
      <c r="G251" s="401">
        <f t="shared" si="14"/>
        <v>865.1</v>
      </c>
      <c r="H251" s="402">
        <f t="shared" si="15"/>
        <v>94624.089599999948</v>
      </c>
      <c r="I251" s="402">
        <f t="shared" si="16"/>
        <v>1129405.352</v>
      </c>
    </row>
    <row r="252" spans="2:9" hidden="1">
      <c r="B252" s="156">
        <v>44973</v>
      </c>
      <c r="C252" s="255" t="s">
        <v>708</v>
      </c>
      <c r="D252" s="419">
        <f t="shared" si="13"/>
        <v>1293476.578</v>
      </c>
      <c r="E252" s="376">
        <v>792.62</v>
      </c>
      <c r="F252" s="421">
        <v>1631.9</v>
      </c>
      <c r="G252" s="401">
        <f t="shared" si="14"/>
        <v>865.1</v>
      </c>
      <c r="H252" s="402">
        <f t="shared" si="15"/>
        <v>118280.1120000002</v>
      </c>
      <c r="I252" s="402">
        <f t="shared" si="16"/>
        <v>1411756.6900000002</v>
      </c>
    </row>
    <row r="253" spans="2:9" hidden="1">
      <c r="B253" s="156">
        <v>44973</v>
      </c>
      <c r="C253" s="255" t="s">
        <v>709</v>
      </c>
      <c r="D253" s="419">
        <f t="shared" si="13"/>
        <v>1293476.578</v>
      </c>
      <c r="E253" s="376">
        <v>792.62</v>
      </c>
      <c r="F253" s="421">
        <v>1631.9</v>
      </c>
      <c r="G253" s="401">
        <f t="shared" si="14"/>
        <v>865.1</v>
      </c>
      <c r="H253" s="402">
        <f t="shared" si="15"/>
        <v>118280.1120000002</v>
      </c>
      <c r="I253" s="402">
        <f t="shared" si="16"/>
        <v>1411756.6900000002</v>
      </c>
    </row>
    <row r="254" spans="2:9" hidden="1">
      <c r="B254" s="156">
        <v>44973</v>
      </c>
      <c r="C254" s="255" t="s">
        <v>710</v>
      </c>
      <c r="D254" s="419">
        <f t="shared" si="13"/>
        <v>1293476.578</v>
      </c>
      <c r="E254" s="376">
        <v>792.62</v>
      </c>
      <c r="F254" s="421">
        <v>1631.9</v>
      </c>
      <c r="G254" s="401">
        <f t="shared" si="14"/>
        <v>865.1</v>
      </c>
      <c r="H254" s="402">
        <f t="shared" si="15"/>
        <v>118280.1120000002</v>
      </c>
      <c r="I254" s="402">
        <f t="shared" si="16"/>
        <v>1411756.6900000002</v>
      </c>
    </row>
    <row r="255" spans="2:9" hidden="1">
      <c r="B255" s="156">
        <v>44973</v>
      </c>
      <c r="C255" s="255" t="s">
        <v>711</v>
      </c>
      <c r="D255" s="419">
        <f t="shared" si="13"/>
        <v>2681354.1979999999</v>
      </c>
      <c r="E255" s="376">
        <v>792.62</v>
      </c>
      <c r="F255" s="421">
        <v>3382.9</v>
      </c>
      <c r="G255" s="401">
        <f t="shared" si="14"/>
        <v>865.1</v>
      </c>
      <c r="H255" s="402">
        <f t="shared" si="15"/>
        <v>245192.59200000018</v>
      </c>
      <c r="I255" s="402">
        <f t="shared" si="16"/>
        <v>2926546.79</v>
      </c>
    </row>
    <row r="256" spans="2:9" hidden="1">
      <c r="B256" s="156">
        <v>44973</v>
      </c>
      <c r="C256" s="255" t="s">
        <v>712</v>
      </c>
      <c r="D256" s="419">
        <f t="shared" si="13"/>
        <v>2565520.7112000003</v>
      </c>
      <c r="E256" s="376">
        <v>792.62</v>
      </c>
      <c r="F256" s="421">
        <v>3236.76</v>
      </c>
      <c r="G256" s="401">
        <f t="shared" si="14"/>
        <v>865.1</v>
      </c>
      <c r="H256" s="402">
        <f t="shared" si="15"/>
        <v>234600.3648000001</v>
      </c>
      <c r="I256" s="402">
        <f t="shared" si="16"/>
        <v>2800121.0760000004</v>
      </c>
    </row>
    <row r="257" spans="2:9" hidden="1">
      <c r="B257" s="156">
        <v>44973</v>
      </c>
      <c r="C257" s="255" t="s">
        <v>713</v>
      </c>
      <c r="D257" s="419">
        <f t="shared" si="13"/>
        <v>3217625.0375999999</v>
      </c>
      <c r="E257" s="376">
        <v>792.62</v>
      </c>
      <c r="F257" s="421">
        <v>4059.48</v>
      </c>
      <c r="G257" s="401">
        <f t="shared" si="14"/>
        <v>865.1</v>
      </c>
      <c r="H257" s="402">
        <f t="shared" si="15"/>
        <v>294231.11040000012</v>
      </c>
      <c r="I257" s="402">
        <f t="shared" si="16"/>
        <v>3511856.148</v>
      </c>
    </row>
    <row r="258" spans="2:9" hidden="1">
      <c r="B258" s="156">
        <v>44973</v>
      </c>
      <c r="C258" s="255" t="s">
        <v>714</v>
      </c>
      <c r="D258" s="419">
        <f t="shared" si="13"/>
        <v>3217625.0375999999</v>
      </c>
      <c r="E258" s="376">
        <v>792.62</v>
      </c>
      <c r="F258" s="421">
        <v>4059.48</v>
      </c>
      <c r="G258" s="401">
        <f t="shared" si="14"/>
        <v>865.1</v>
      </c>
      <c r="H258" s="402">
        <f t="shared" si="15"/>
        <v>294231.11040000012</v>
      </c>
      <c r="I258" s="402">
        <f t="shared" si="16"/>
        <v>3511856.148</v>
      </c>
    </row>
    <row r="259" spans="2:9" hidden="1">
      <c r="B259" s="156">
        <v>44973</v>
      </c>
      <c r="C259" s="255" t="s">
        <v>715</v>
      </c>
      <c r="D259" s="419">
        <f t="shared" si="13"/>
        <v>4234493.0879999995</v>
      </c>
      <c r="E259" s="376">
        <v>792.62</v>
      </c>
      <c r="F259" s="421">
        <v>5342.4</v>
      </c>
      <c r="G259" s="401">
        <f t="shared" si="14"/>
        <v>865.1</v>
      </c>
      <c r="H259" s="402">
        <f t="shared" si="15"/>
        <v>387217.1520000007</v>
      </c>
      <c r="I259" s="402">
        <f t="shared" si="16"/>
        <v>4621710.24</v>
      </c>
    </row>
    <row r="260" spans="2:9" hidden="1">
      <c r="B260" s="156">
        <v>44973</v>
      </c>
      <c r="C260" s="255" t="s">
        <v>716</v>
      </c>
      <c r="D260" s="419">
        <f t="shared" si="13"/>
        <v>3217625.0375999999</v>
      </c>
      <c r="E260" s="376">
        <v>792.62</v>
      </c>
      <c r="F260" s="421">
        <v>4059.48</v>
      </c>
      <c r="G260" s="401">
        <f t="shared" si="14"/>
        <v>865.1</v>
      </c>
      <c r="H260" s="402">
        <f t="shared" si="15"/>
        <v>294231.11040000012</v>
      </c>
      <c r="I260" s="402">
        <f t="shared" si="16"/>
        <v>3511856.148</v>
      </c>
    </row>
    <row r="261" spans="2:9" hidden="1">
      <c r="B261" s="156">
        <v>44973</v>
      </c>
      <c r="C261" s="255" t="s">
        <v>717</v>
      </c>
      <c r="D261" s="419">
        <f t="shared" si="13"/>
        <v>5579600.9327999996</v>
      </c>
      <c r="E261" s="376">
        <v>792.62</v>
      </c>
      <c r="F261" s="421">
        <v>7039.44</v>
      </c>
      <c r="G261" s="401">
        <f t="shared" si="14"/>
        <v>865.1</v>
      </c>
      <c r="H261" s="402">
        <f t="shared" si="15"/>
        <v>510218.61120000016</v>
      </c>
      <c r="I261" s="402">
        <f t="shared" si="16"/>
        <v>6089819.5439999998</v>
      </c>
    </row>
    <row r="262" spans="2:9" hidden="1">
      <c r="B262" s="156">
        <v>44973</v>
      </c>
      <c r="C262" s="255" t="s">
        <v>718</v>
      </c>
      <c r="D262" s="419">
        <f t="shared" si="13"/>
        <v>6072531.3108000001</v>
      </c>
      <c r="E262" s="376">
        <v>792.62</v>
      </c>
      <c r="F262" s="421">
        <v>7661.34</v>
      </c>
      <c r="G262" s="401">
        <f t="shared" si="14"/>
        <v>865.1</v>
      </c>
      <c r="H262" s="402">
        <f t="shared" si="15"/>
        <v>555293.92320000008</v>
      </c>
      <c r="I262" s="402">
        <f t="shared" si="16"/>
        <v>6627825.2340000002</v>
      </c>
    </row>
    <row r="263" spans="2:9" hidden="1">
      <c r="B263" s="156">
        <v>44973</v>
      </c>
      <c r="C263" s="255" t="s">
        <v>719</v>
      </c>
      <c r="D263" s="419">
        <f t="shared" si="13"/>
        <v>2145083.3584000003</v>
      </c>
      <c r="E263" s="376">
        <v>792.62</v>
      </c>
      <c r="F263" s="421">
        <v>2706.32</v>
      </c>
      <c r="G263" s="401">
        <f t="shared" si="14"/>
        <v>865.1</v>
      </c>
      <c r="H263" s="402">
        <f t="shared" si="15"/>
        <v>196154.07359999977</v>
      </c>
      <c r="I263" s="402">
        <f t="shared" si="16"/>
        <v>2341237.432</v>
      </c>
    </row>
    <row r="264" spans="2:9" hidden="1">
      <c r="B264" s="156">
        <v>44973</v>
      </c>
      <c r="C264" s="255" t="s">
        <v>720</v>
      </c>
      <c r="D264" s="419">
        <f t="shared" si="13"/>
        <v>3217625.0375999999</v>
      </c>
      <c r="E264" s="376">
        <v>792.62</v>
      </c>
      <c r="F264" s="421">
        <v>4059.48</v>
      </c>
      <c r="G264" s="401">
        <f t="shared" si="14"/>
        <v>865.1</v>
      </c>
      <c r="H264" s="402">
        <f t="shared" si="15"/>
        <v>294231.11040000012</v>
      </c>
      <c r="I264" s="402">
        <f t="shared" si="16"/>
        <v>3511856.148</v>
      </c>
    </row>
    <row r="265" spans="2:9" hidden="1">
      <c r="B265" s="156">
        <v>44973</v>
      </c>
      <c r="C265" s="255" t="s">
        <v>721</v>
      </c>
      <c r="D265" s="419">
        <f t="shared" si="13"/>
        <v>2392888.0751999998</v>
      </c>
      <c r="E265" s="376">
        <v>792.62</v>
      </c>
      <c r="F265" s="421">
        <v>3018.96</v>
      </c>
      <c r="G265" s="401">
        <f t="shared" si="14"/>
        <v>865.1</v>
      </c>
      <c r="H265" s="402">
        <f t="shared" si="15"/>
        <v>218814.22080000024</v>
      </c>
      <c r="I265" s="402">
        <f t="shared" si="16"/>
        <v>2611702.2960000001</v>
      </c>
    </row>
    <row r="266" spans="2:9" hidden="1">
      <c r="B266" s="156">
        <v>44973</v>
      </c>
      <c r="C266" s="255" t="s">
        <v>722</v>
      </c>
      <c r="D266" s="419">
        <f t="shared" si="13"/>
        <v>4463766.3492000001</v>
      </c>
      <c r="E266" s="376">
        <v>792.62</v>
      </c>
      <c r="F266" s="421">
        <v>5631.66</v>
      </c>
      <c r="G266" s="401">
        <f t="shared" si="14"/>
        <v>865.1</v>
      </c>
      <c r="H266" s="402">
        <f t="shared" si="15"/>
        <v>408182.71679999959</v>
      </c>
      <c r="I266" s="402">
        <f t="shared" si="16"/>
        <v>4871949.0659999996</v>
      </c>
    </row>
    <row r="267" spans="2:9" hidden="1">
      <c r="B267" s="156">
        <v>44973</v>
      </c>
      <c r="C267" s="255" t="s">
        <v>723</v>
      </c>
      <c r="D267" s="419">
        <f t="shared" si="13"/>
        <v>3217625.0375999999</v>
      </c>
      <c r="E267" s="376">
        <v>792.62</v>
      </c>
      <c r="F267" s="421">
        <v>4059.48</v>
      </c>
      <c r="G267" s="401">
        <f t="shared" si="14"/>
        <v>865.1</v>
      </c>
      <c r="H267" s="402">
        <f t="shared" si="15"/>
        <v>294231.11040000012</v>
      </c>
      <c r="I267" s="402">
        <f t="shared" si="16"/>
        <v>3511856.148</v>
      </c>
    </row>
    <row r="268" spans="2:9" hidden="1">
      <c r="B268" s="156">
        <v>44973</v>
      </c>
      <c r="C268" s="255" t="s">
        <v>724</v>
      </c>
      <c r="D268" s="419">
        <f t="shared" si="13"/>
        <v>1371359.4192000001</v>
      </c>
      <c r="E268" s="376">
        <v>792.62</v>
      </c>
      <c r="F268" s="421">
        <v>1730.16</v>
      </c>
      <c r="G268" s="401">
        <f t="shared" si="14"/>
        <v>865.1</v>
      </c>
      <c r="H268" s="402">
        <f t="shared" si="15"/>
        <v>125401.99680000008</v>
      </c>
      <c r="I268" s="402">
        <f t="shared" si="16"/>
        <v>1496761.4160000002</v>
      </c>
    </row>
    <row r="269" spans="2:9" hidden="1">
      <c r="B269" s="156">
        <v>44973</v>
      </c>
      <c r="C269" s="255" t="s">
        <v>725</v>
      </c>
      <c r="D269" s="419">
        <f t="shared" si="13"/>
        <v>1487192.906</v>
      </c>
      <c r="E269" s="376">
        <v>792.62</v>
      </c>
      <c r="F269" s="421">
        <v>1876.3</v>
      </c>
      <c r="G269" s="401">
        <f t="shared" si="14"/>
        <v>865.1</v>
      </c>
      <c r="H269" s="402">
        <f t="shared" si="15"/>
        <v>135994.22399999993</v>
      </c>
      <c r="I269" s="402">
        <f t="shared" si="16"/>
        <v>1623187.13</v>
      </c>
    </row>
    <row r="270" spans="2:9" hidden="1">
      <c r="B270" s="156">
        <v>44973</v>
      </c>
      <c r="C270" s="255" t="s">
        <v>726</v>
      </c>
      <c r="D270" s="419">
        <f t="shared" si="13"/>
        <v>8456098.1748000011</v>
      </c>
      <c r="E270" s="376">
        <v>792.62</v>
      </c>
      <c r="F270" s="421">
        <v>10668.54</v>
      </c>
      <c r="G270" s="401">
        <f t="shared" si="14"/>
        <v>865.1</v>
      </c>
      <c r="H270" s="402">
        <f t="shared" si="15"/>
        <v>773255.77920000069</v>
      </c>
      <c r="I270" s="402">
        <f t="shared" si="16"/>
        <v>9229353.9540000018</v>
      </c>
    </row>
    <row r="271" spans="2:9" hidden="1">
      <c r="B271" s="156">
        <v>44973</v>
      </c>
      <c r="C271" s="255" t="s">
        <v>727</v>
      </c>
      <c r="D271" s="419">
        <f t="shared" si="13"/>
        <v>789322.70079999999</v>
      </c>
      <c r="E271" s="376">
        <v>792.62</v>
      </c>
      <c r="F271" s="421">
        <v>995.84</v>
      </c>
      <c r="G271" s="401">
        <f t="shared" si="14"/>
        <v>865.1</v>
      </c>
      <c r="H271" s="402">
        <f t="shared" si="15"/>
        <v>72178.483200000017</v>
      </c>
      <c r="I271" s="402">
        <f t="shared" si="16"/>
        <v>861501.18400000001</v>
      </c>
    </row>
    <row r="272" spans="2:9" hidden="1">
      <c r="B272" s="156">
        <v>44975</v>
      </c>
      <c r="C272" s="255" t="s">
        <v>728</v>
      </c>
      <c r="D272" s="419">
        <f t="shared" si="13"/>
        <v>8268237.8999999994</v>
      </c>
      <c r="E272" s="376">
        <v>792.25</v>
      </c>
      <c r="F272" s="421">
        <v>10436.4</v>
      </c>
      <c r="G272" s="401">
        <f t="shared" si="14"/>
        <v>865.1</v>
      </c>
      <c r="H272" s="402">
        <f t="shared" si="15"/>
        <v>760291.74000000115</v>
      </c>
      <c r="I272" s="402">
        <f t="shared" si="16"/>
        <v>9028529.6400000006</v>
      </c>
    </row>
    <row r="273" spans="2:9" hidden="1">
      <c r="B273" s="156">
        <v>44975</v>
      </c>
      <c r="C273" s="255" t="s">
        <v>729</v>
      </c>
      <c r="D273" s="419">
        <f t="shared" si="13"/>
        <v>10664192.039999999</v>
      </c>
      <c r="E273" s="376">
        <v>792.25</v>
      </c>
      <c r="F273" s="421">
        <v>13460.64</v>
      </c>
      <c r="G273" s="401">
        <f t="shared" si="14"/>
        <v>865.1</v>
      </c>
      <c r="H273" s="402">
        <f t="shared" si="15"/>
        <v>980607.62399999984</v>
      </c>
      <c r="I273" s="402">
        <f t="shared" si="16"/>
        <v>11644799.663999999</v>
      </c>
    </row>
    <row r="274" spans="2:9" hidden="1">
      <c r="B274" s="156">
        <v>44975</v>
      </c>
      <c r="C274" s="255" t="s">
        <v>730</v>
      </c>
      <c r="D274" s="419">
        <f t="shared" si="13"/>
        <v>11694037.815000001</v>
      </c>
      <c r="E274" s="376">
        <v>792.25</v>
      </c>
      <c r="F274" s="421">
        <v>14760.54</v>
      </c>
      <c r="G274" s="401">
        <f t="shared" si="14"/>
        <v>865.1</v>
      </c>
      <c r="H274" s="402">
        <f t="shared" si="15"/>
        <v>1075305.3389999997</v>
      </c>
      <c r="I274" s="402">
        <f t="shared" si="16"/>
        <v>12769343.154000001</v>
      </c>
    </row>
    <row r="275" spans="2:9" hidden="1">
      <c r="B275" s="156">
        <v>44975</v>
      </c>
      <c r="C275" s="255" t="s">
        <v>731</v>
      </c>
      <c r="D275" s="419">
        <f t="shared" si="13"/>
        <v>1286772.45</v>
      </c>
      <c r="E275" s="376">
        <v>792.25</v>
      </c>
      <c r="F275" s="421">
        <v>1624.2</v>
      </c>
      <c r="G275" s="401">
        <f t="shared" si="14"/>
        <v>865.1</v>
      </c>
      <c r="H275" s="402">
        <f t="shared" si="15"/>
        <v>118322.9700000002</v>
      </c>
      <c r="I275" s="402">
        <f t="shared" si="16"/>
        <v>1405095.4200000002</v>
      </c>
    </row>
    <row r="276" spans="2:9" hidden="1">
      <c r="B276" s="156">
        <v>44975</v>
      </c>
      <c r="C276" s="255" t="s">
        <v>732</v>
      </c>
      <c r="D276" s="419">
        <f t="shared" si="13"/>
        <v>30285594.27</v>
      </c>
      <c r="E276" s="376">
        <v>792.25</v>
      </c>
      <c r="F276" s="421">
        <v>38227.32</v>
      </c>
      <c r="G276" s="401">
        <f t="shared" si="14"/>
        <v>865.1</v>
      </c>
      <c r="H276" s="402">
        <f t="shared" si="15"/>
        <v>2784860.262000002</v>
      </c>
      <c r="I276" s="402">
        <f t="shared" si="16"/>
        <v>33070454.532000002</v>
      </c>
    </row>
    <row r="277" spans="2:9" hidden="1">
      <c r="B277" s="156">
        <v>44975</v>
      </c>
      <c r="C277" s="255" t="s">
        <v>733</v>
      </c>
      <c r="D277" s="419">
        <f t="shared" si="13"/>
        <v>41449236.555</v>
      </c>
      <c r="E277" s="376">
        <v>792.25</v>
      </c>
      <c r="F277" s="421">
        <v>52318.38</v>
      </c>
      <c r="G277" s="401">
        <f t="shared" si="14"/>
        <v>865.1</v>
      </c>
      <c r="H277" s="402">
        <f t="shared" si="15"/>
        <v>3811393.9830000028</v>
      </c>
      <c r="I277" s="402">
        <f t="shared" si="16"/>
        <v>45260630.538000003</v>
      </c>
    </row>
    <row r="278" spans="2:9" hidden="1">
      <c r="B278" s="156">
        <v>44980</v>
      </c>
      <c r="C278" s="255" t="s">
        <v>734</v>
      </c>
      <c r="D278" s="419">
        <f t="shared" si="13"/>
        <v>5927347.5552000003</v>
      </c>
      <c r="E278" s="376">
        <v>799.42</v>
      </c>
      <c r="F278" s="421">
        <v>7414.56</v>
      </c>
      <c r="G278" s="401">
        <f t="shared" si="14"/>
        <v>865.1</v>
      </c>
      <c r="H278" s="402">
        <f t="shared" si="15"/>
        <v>486988.30080000032</v>
      </c>
      <c r="I278" s="402">
        <f t="shared" si="16"/>
        <v>6414335.8560000006</v>
      </c>
    </row>
    <row r="279" spans="2:9" hidden="1">
      <c r="B279" s="156">
        <v>44980</v>
      </c>
      <c r="C279" s="255" t="s">
        <v>735</v>
      </c>
      <c r="D279" s="419">
        <f t="shared" si="13"/>
        <v>3474742.9835999999</v>
      </c>
      <c r="E279" s="376">
        <v>799.42</v>
      </c>
      <c r="F279" s="421">
        <v>4346.58</v>
      </c>
      <c r="G279" s="401">
        <f t="shared" si="14"/>
        <v>865.1</v>
      </c>
      <c r="H279" s="402">
        <f t="shared" si="15"/>
        <v>285483.37440000009</v>
      </c>
      <c r="I279" s="402">
        <f t="shared" si="16"/>
        <v>3760226.358</v>
      </c>
    </row>
    <row r="280" spans="2:9" hidden="1">
      <c r="B280" s="156">
        <v>44980</v>
      </c>
      <c r="C280" s="255" t="s">
        <v>736</v>
      </c>
      <c r="D280" s="419">
        <f t="shared" si="13"/>
        <v>3896437.0335999997</v>
      </c>
      <c r="E280" s="376">
        <v>799.42</v>
      </c>
      <c r="F280" s="421">
        <v>4874.08</v>
      </c>
      <c r="G280" s="401">
        <f t="shared" si="14"/>
        <v>865.1</v>
      </c>
      <c r="H280" s="402">
        <f t="shared" si="15"/>
        <v>320129.57440000027</v>
      </c>
      <c r="I280" s="402">
        <f t="shared" si="16"/>
        <v>4216566.608</v>
      </c>
    </row>
    <row r="281" spans="2:9" hidden="1">
      <c r="B281" s="156">
        <v>44980</v>
      </c>
      <c r="C281" s="255" t="s">
        <v>737</v>
      </c>
      <c r="D281" s="419">
        <f t="shared" si="13"/>
        <v>4666742.1571999993</v>
      </c>
      <c r="E281" s="376">
        <v>799.42</v>
      </c>
      <c r="F281" s="421">
        <v>5837.66</v>
      </c>
      <c r="G281" s="401">
        <f t="shared" si="14"/>
        <v>865.1</v>
      </c>
      <c r="H281" s="402">
        <f t="shared" si="15"/>
        <v>383417.50880000088</v>
      </c>
      <c r="I281" s="402">
        <f t="shared" si="16"/>
        <v>5050159.6660000002</v>
      </c>
    </row>
    <row r="282" spans="2:9" hidden="1">
      <c r="B282" s="156">
        <v>44980</v>
      </c>
      <c r="C282" s="255" t="s">
        <v>738</v>
      </c>
      <c r="D282" s="419">
        <f t="shared" si="13"/>
        <v>733100.11679999996</v>
      </c>
      <c r="E282" s="376">
        <v>799.42</v>
      </c>
      <c r="F282" s="421">
        <v>917.04</v>
      </c>
      <c r="G282" s="401">
        <f t="shared" si="14"/>
        <v>865.1</v>
      </c>
      <c r="H282" s="402">
        <f t="shared" si="15"/>
        <v>60231.187200000044</v>
      </c>
      <c r="I282" s="402">
        <f t="shared" si="16"/>
        <v>793331.304</v>
      </c>
    </row>
    <row r="283" spans="2:9" hidden="1">
      <c r="B283" s="156">
        <v>44980</v>
      </c>
      <c r="C283" s="255" t="s">
        <v>739</v>
      </c>
      <c r="D283" s="419">
        <f t="shared" si="13"/>
        <v>4666742.1571999993</v>
      </c>
      <c r="E283" s="376">
        <v>799.42</v>
      </c>
      <c r="F283" s="421">
        <v>5837.66</v>
      </c>
      <c r="G283" s="401">
        <f t="shared" si="14"/>
        <v>865.1</v>
      </c>
      <c r="H283" s="402">
        <f t="shared" si="15"/>
        <v>383417.50880000088</v>
      </c>
      <c r="I283" s="402">
        <f t="shared" si="16"/>
        <v>5050159.6660000002</v>
      </c>
    </row>
    <row r="284" spans="2:9" hidden="1">
      <c r="B284" s="156">
        <v>44980</v>
      </c>
      <c r="C284" s="255" t="s">
        <v>740</v>
      </c>
      <c r="D284" s="419">
        <f t="shared" si="13"/>
        <v>3325587.1999999997</v>
      </c>
      <c r="E284" s="376">
        <v>799.42</v>
      </c>
      <c r="F284" s="421">
        <v>4160</v>
      </c>
      <c r="G284" s="401">
        <f t="shared" si="14"/>
        <v>865.1</v>
      </c>
      <c r="H284" s="402">
        <f t="shared" si="15"/>
        <v>273228.80000000028</v>
      </c>
      <c r="I284" s="402">
        <f t="shared" si="16"/>
        <v>3598816</v>
      </c>
    </row>
    <row r="285" spans="2:9" hidden="1">
      <c r="B285" s="156">
        <v>44980</v>
      </c>
      <c r="C285" s="255" t="s">
        <v>741</v>
      </c>
      <c r="D285" s="419">
        <f t="shared" ref="D285:D323" si="17">F285*E285</f>
        <v>4727833.8335999995</v>
      </c>
      <c r="E285" s="376">
        <v>799.42</v>
      </c>
      <c r="F285" s="421">
        <v>5914.08</v>
      </c>
      <c r="G285" s="401">
        <f t="shared" si="14"/>
        <v>865.1</v>
      </c>
      <c r="H285" s="402">
        <f t="shared" si="15"/>
        <v>388436.77440000046</v>
      </c>
      <c r="I285" s="402">
        <f t="shared" si="16"/>
        <v>5116270.608</v>
      </c>
    </row>
    <row r="286" spans="2:9" hidden="1">
      <c r="B286" s="156">
        <v>44980</v>
      </c>
      <c r="C286" s="255" t="s">
        <v>742</v>
      </c>
      <c r="D286" s="419">
        <f t="shared" si="17"/>
        <v>4666742.1571999993</v>
      </c>
      <c r="E286" s="376">
        <v>799.42</v>
      </c>
      <c r="F286" s="421">
        <v>5837.66</v>
      </c>
      <c r="G286" s="401">
        <f t="shared" si="14"/>
        <v>865.1</v>
      </c>
      <c r="H286" s="402">
        <f t="shared" si="15"/>
        <v>383417.50880000088</v>
      </c>
      <c r="I286" s="402">
        <f t="shared" si="16"/>
        <v>5050159.6660000002</v>
      </c>
    </row>
    <row r="287" spans="2:9" hidden="1">
      <c r="B287" s="156">
        <v>44980</v>
      </c>
      <c r="C287" s="255" t="s">
        <v>743</v>
      </c>
      <c r="D287" s="419">
        <f t="shared" si="17"/>
        <v>4727833.8335999995</v>
      </c>
      <c r="E287" s="376">
        <v>799.42</v>
      </c>
      <c r="F287" s="421">
        <v>5914.08</v>
      </c>
      <c r="G287" s="401">
        <f t="shared" ref="G287:G323" si="18">+G284</f>
        <v>865.1</v>
      </c>
      <c r="H287" s="402">
        <f t="shared" ref="H287:H326" si="19">+I287-D287</f>
        <v>388436.77440000046</v>
      </c>
      <c r="I287" s="402">
        <f t="shared" ref="I287:I326" si="20">+F287*G287</f>
        <v>5116270.608</v>
      </c>
    </row>
    <row r="288" spans="2:9" hidden="1">
      <c r="B288" s="156">
        <v>44980</v>
      </c>
      <c r="C288" s="255" t="s">
        <v>744</v>
      </c>
      <c r="D288" s="419">
        <f t="shared" si="17"/>
        <v>18415950.748799998</v>
      </c>
      <c r="E288" s="376">
        <v>799.42</v>
      </c>
      <c r="F288" s="421">
        <v>23036.639999999999</v>
      </c>
      <c r="G288" s="401">
        <f t="shared" si="18"/>
        <v>865.1</v>
      </c>
      <c r="H288" s="402">
        <f t="shared" si="19"/>
        <v>1513046.5152000003</v>
      </c>
      <c r="I288" s="402">
        <f t="shared" si="20"/>
        <v>19928997.263999999</v>
      </c>
    </row>
    <row r="289" spans="2:9" hidden="1">
      <c r="B289" s="156">
        <v>44980</v>
      </c>
      <c r="C289" s="255" t="s">
        <v>745</v>
      </c>
      <c r="D289" s="419">
        <f t="shared" si="17"/>
        <v>2741690.8319999999</v>
      </c>
      <c r="E289" s="376">
        <v>799.42</v>
      </c>
      <c r="F289" s="421">
        <v>3429.6</v>
      </c>
      <c r="G289" s="401">
        <f t="shared" si="18"/>
        <v>865.1</v>
      </c>
      <c r="H289" s="402">
        <f t="shared" si="19"/>
        <v>225256.12800000003</v>
      </c>
      <c r="I289" s="402">
        <f t="shared" si="20"/>
        <v>2966946.96</v>
      </c>
    </row>
    <row r="290" spans="2:9" hidden="1">
      <c r="B290" s="156">
        <v>44980</v>
      </c>
      <c r="C290" s="255" t="s">
        <v>746</v>
      </c>
      <c r="D290" s="419">
        <f t="shared" si="17"/>
        <v>733100.11679999996</v>
      </c>
      <c r="E290" s="376">
        <v>799.42</v>
      </c>
      <c r="F290" s="421">
        <v>917.04</v>
      </c>
      <c r="G290" s="401">
        <f t="shared" si="18"/>
        <v>865.1</v>
      </c>
      <c r="H290" s="402">
        <f t="shared" si="19"/>
        <v>60231.187200000044</v>
      </c>
      <c r="I290" s="402">
        <f t="shared" si="20"/>
        <v>793331.304</v>
      </c>
    </row>
    <row r="291" spans="2:9" hidden="1">
      <c r="B291" s="156">
        <v>44980</v>
      </c>
      <c r="C291" s="255" t="s">
        <v>747</v>
      </c>
      <c r="D291" s="419">
        <f t="shared" si="17"/>
        <v>4727833.8335999995</v>
      </c>
      <c r="E291" s="376">
        <v>799.42</v>
      </c>
      <c r="F291" s="421">
        <v>5914.08</v>
      </c>
      <c r="G291" s="401">
        <f t="shared" si="18"/>
        <v>865.1</v>
      </c>
      <c r="H291" s="402">
        <f t="shared" si="19"/>
        <v>388436.77440000046</v>
      </c>
      <c r="I291" s="402">
        <f t="shared" si="20"/>
        <v>5116270.608</v>
      </c>
    </row>
    <row r="292" spans="2:9" hidden="1">
      <c r="B292" s="156">
        <v>44980</v>
      </c>
      <c r="C292" s="255" t="s">
        <v>748</v>
      </c>
      <c r="D292" s="419">
        <f t="shared" si="17"/>
        <v>488733.41119999997</v>
      </c>
      <c r="E292" s="376">
        <v>799.42</v>
      </c>
      <c r="F292" s="421">
        <v>611.36</v>
      </c>
      <c r="G292" s="401">
        <f t="shared" si="18"/>
        <v>865.1</v>
      </c>
      <c r="H292" s="402">
        <f t="shared" si="19"/>
        <v>40154.124800000107</v>
      </c>
      <c r="I292" s="402">
        <f t="shared" si="20"/>
        <v>528887.53600000008</v>
      </c>
    </row>
    <row r="293" spans="2:9" hidden="1">
      <c r="B293" s="156">
        <v>44980</v>
      </c>
      <c r="C293" s="255" t="s">
        <v>749</v>
      </c>
      <c r="D293" s="419">
        <f t="shared" si="17"/>
        <v>488733.41119999997</v>
      </c>
      <c r="E293" s="376">
        <v>799.42</v>
      </c>
      <c r="F293" s="421">
        <v>611.36</v>
      </c>
      <c r="G293" s="401">
        <f t="shared" si="18"/>
        <v>865.1</v>
      </c>
      <c r="H293" s="402">
        <f t="shared" si="19"/>
        <v>40154.124800000107</v>
      </c>
      <c r="I293" s="402">
        <f t="shared" si="20"/>
        <v>528887.53600000008</v>
      </c>
    </row>
    <row r="294" spans="2:9" hidden="1">
      <c r="B294" s="156">
        <v>44980</v>
      </c>
      <c r="C294" s="255" t="s">
        <v>750</v>
      </c>
      <c r="D294" s="419">
        <f t="shared" si="17"/>
        <v>733100.11679999996</v>
      </c>
      <c r="E294" s="376">
        <v>799.42</v>
      </c>
      <c r="F294" s="421">
        <v>917.04</v>
      </c>
      <c r="G294" s="401">
        <f t="shared" si="18"/>
        <v>865.1</v>
      </c>
      <c r="H294" s="402">
        <f t="shared" si="19"/>
        <v>60231.187200000044</v>
      </c>
      <c r="I294" s="402">
        <f t="shared" si="20"/>
        <v>793331.304</v>
      </c>
    </row>
    <row r="295" spans="2:9" hidden="1">
      <c r="B295" s="156">
        <v>44980</v>
      </c>
      <c r="C295" s="255" t="s">
        <v>751</v>
      </c>
      <c r="D295" s="419">
        <f t="shared" si="17"/>
        <v>488733.41119999997</v>
      </c>
      <c r="E295" s="376">
        <v>799.42</v>
      </c>
      <c r="F295" s="421">
        <v>611.36</v>
      </c>
      <c r="G295" s="401">
        <f t="shared" si="18"/>
        <v>865.1</v>
      </c>
      <c r="H295" s="402">
        <f t="shared" si="19"/>
        <v>40154.124800000107</v>
      </c>
      <c r="I295" s="402">
        <f t="shared" si="20"/>
        <v>528887.53600000008</v>
      </c>
    </row>
    <row r="296" spans="2:9" hidden="1">
      <c r="B296" s="156">
        <v>44980</v>
      </c>
      <c r="C296" s="255" t="s">
        <v>752</v>
      </c>
      <c r="D296" s="419">
        <f t="shared" si="17"/>
        <v>488733.41119999997</v>
      </c>
      <c r="E296" s="376">
        <v>799.42</v>
      </c>
      <c r="F296" s="421">
        <v>611.36</v>
      </c>
      <c r="G296" s="401">
        <f t="shared" si="18"/>
        <v>865.1</v>
      </c>
      <c r="H296" s="402">
        <f t="shared" si="19"/>
        <v>40154.124800000107</v>
      </c>
      <c r="I296" s="402">
        <f t="shared" si="20"/>
        <v>528887.53600000008</v>
      </c>
    </row>
    <row r="297" spans="2:9" hidden="1">
      <c r="B297" s="156">
        <v>44980</v>
      </c>
      <c r="C297" s="255" t="s">
        <v>753</v>
      </c>
      <c r="D297" s="419">
        <f t="shared" si="17"/>
        <v>855283.46960000007</v>
      </c>
      <c r="E297" s="376">
        <v>799.42</v>
      </c>
      <c r="F297" s="421">
        <v>1069.8800000000001</v>
      </c>
      <c r="G297" s="401">
        <f t="shared" si="18"/>
        <v>865.1</v>
      </c>
      <c r="H297" s="402">
        <f t="shared" si="19"/>
        <v>70269.718400000012</v>
      </c>
      <c r="I297" s="402">
        <f t="shared" si="20"/>
        <v>925553.18800000008</v>
      </c>
    </row>
    <row r="298" spans="2:9" hidden="1">
      <c r="B298" s="156">
        <v>44980</v>
      </c>
      <c r="C298" s="255" t="s">
        <v>754</v>
      </c>
      <c r="D298" s="419">
        <f t="shared" si="17"/>
        <v>733100.11679999996</v>
      </c>
      <c r="E298" s="376">
        <v>799.42</v>
      </c>
      <c r="F298" s="421">
        <v>917.04</v>
      </c>
      <c r="G298" s="401">
        <f t="shared" si="18"/>
        <v>865.1</v>
      </c>
      <c r="H298" s="402">
        <f t="shared" si="19"/>
        <v>60231.187200000044</v>
      </c>
      <c r="I298" s="402">
        <f t="shared" si="20"/>
        <v>793331.304</v>
      </c>
    </row>
    <row r="299" spans="2:9" hidden="1">
      <c r="B299" s="156">
        <v>44980</v>
      </c>
      <c r="C299" s="255" t="s">
        <v>755</v>
      </c>
      <c r="D299" s="419">
        <f t="shared" si="17"/>
        <v>733100.11679999996</v>
      </c>
      <c r="E299" s="376">
        <v>799.42</v>
      </c>
      <c r="F299" s="421">
        <v>917.04</v>
      </c>
      <c r="G299" s="401">
        <f t="shared" si="18"/>
        <v>865.1</v>
      </c>
      <c r="H299" s="402">
        <f t="shared" si="19"/>
        <v>60231.187200000044</v>
      </c>
      <c r="I299" s="402">
        <f t="shared" si="20"/>
        <v>793331.304</v>
      </c>
    </row>
    <row r="300" spans="2:9" hidden="1">
      <c r="B300" s="156">
        <v>44980</v>
      </c>
      <c r="C300" s="255" t="s">
        <v>756</v>
      </c>
      <c r="D300" s="419">
        <f t="shared" si="17"/>
        <v>488733.41119999997</v>
      </c>
      <c r="E300" s="376">
        <v>799.42</v>
      </c>
      <c r="F300" s="421">
        <v>611.36</v>
      </c>
      <c r="G300" s="401">
        <f t="shared" si="18"/>
        <v>865.1</v>
      </c>
      <c r="H300" s="402">
        <f t="shared" si="19"/>
        <v>40154.124800000107</v>
      </c>
      <c r="I300" s="402">
        <f t="shared" si="20"/>
        <v>528887.53600000008</v>
      </c>
    </row>
    <row r="301" spans="2:9" hidden="1">
      <c r="B301" s="156">
        <v>44980</v>
      </c>
      <c r="C301" s="255" t="s">
        <v>757</v>
      </c>
      <c r="D301" s="419">
        <f t="shared" si="17"/>
        <v>488733.41119999997</v>
      </c>
      <c r="E301" s="376">
        <v>799.42</v>
      </c>
      <c r="F301" s="421">
        <v>611.36</v>
      </c>
      <c r="G301" s="401">
        <f t="shared" si="18"/>
        <v>865.1</v>
      </c>
      <c r="H301" s="402">
        <f t="shared" si="19"/>
        <v>40154.124800000107</v>
      </c>
      <c r="I301" s="402">
        <f t="shared" si="20"/>
        <v>528887.53600000008</v>
      </c>
    </row>
    <row r="302" spans="2:9" hidden="1">
      <c r="B302" s="156">
        <v>44980</v>
      </c>
      <c r="C302" s="255" t="s">
        <v>758</v>
      </c>
      <c r="D302" s="419">
        <f t="shared" si="17"/>
        <v>1099650.1751999999</v>
      </c>
      <c r="E302" s="376">
        <v>799.42</v>
      </c>
      <c r="F302" s="421">
        <v>1375.56</v>
      </c>
      <c r="G302" s="401">
        <f t="shared" si="18"/>
        <v>865.1</v>
      </c>
      <c r="H302" s="402">
        <f t="shared" si="19"/>
        <v>90346.780800000066</v>
      </c>
      <c r="I302" s="402">
        <f t="shared" si="20"/>
        <v>1189996.956</v>
      </c>
    </row>
    <row r="303" spans="2:9" hidden="1">
      <c r="B303" s="156">
        <v>44980</v>
      </c>
      <c r="C303" s="255" t="s">
        <v>759</v>
      </c>
      <c r="D303" s="419">
        <f t="shared" si="17"/>
        <v>1099650.1751999999</v>
      </c>
      <c r="E303" s="376">
        <v>799.42</v>
      </c>
      <c r="F303" s="421">
        <v>1375.56</v>
      </c>
      <c r="G303" s="401">
        <f t="shared" si="18"/>
        <v>865.1</v>
      </c>
      <c r="H303" s="402">
        <f t="shared" si="19"/>
        <v>90346.780800000066</v>
      </c>
      <c r="I303" s="402">
        <f t="shared" si="20"/>
        <v>1189996.956</v>
      </c>
    </row>
    <row r="304" spans="2:9" hidden="1">
      <c r="B304" s="156">
        <v>44980</v>
      </c>
      <c r="C304" s="255" t="s">
        <v>760</v>
      </c>
      <c r="D304" s="419">
        <f t="shared" si="17"/>
        <v>488733.41119999997</v>
      </c>
      <c r="E304" s="376">
        <v>799.42</v>
      </c>
      <c r="F304" s="421">
        <v>611.36</v>
      </c>
      <c r="G304" s="401">
        <f t="shared" si="18"/>
        <v>865.1</v>
      </c>
      <c r="H304" s="402">
        <f t="shared" si="19"/>
        <v>40154.124800000107</v>
      </c>
      <c r="I304" s="402">
        <f t="shared" si="20"/>
        <v>528887.53600000008</v>
      </c>
    </row>
    <row r="305" spans="2:9" hidden="1">
      <c r="B305" s="156">
        <v>44980</v>
      </c>
      <c r="C305" s="255" t="s">
        <v>761</v>
      </c>
      <c r="D305" s="419">
        <f t="shared" si="17"/>
        <v>488733.41119999997</v>
      </c>
      <c r="E305" s="376">
        <v>799.42</v>
      </c>
      <c r="F305" s="421">
        <v>611.36</v>
      </c>
      <c r="G305" s="401">
        <f t="shared" si="18"/>
        <v>865.1</v>
      </c>
      <c r="H305" s="402">
        <f t="shared" si="19"/>
        <v>40154.124800000107</v>
      </c>
      <c r="I305" s="402">
        <f t="shared" si="20"/>
        <v>528887.53600000008</v>
      </c>
    </row>
    <row r="306" spans="2:9" hidden="1">
      <c r="B306" s="156">
        <v>44980</v>
      </c>
      <c r="C306" s="255" t="s">
        <v>762</v>
      </c>
      <c r="D306" s="419">
        <f t="shared" si="17"/>
        <v>488733.41119999997</v>
      </c>
      <c r="E306" s="376">
        <v>799.42</v>
      </c>
      <c r="F306" s="421">
        <v>611.36</v>
      </c>
      <c r="G306" s="401">
        <f t="shared" si="18"/>
        <v>865.1</v>
      </c>
      <c r="H306" s="402">
        <f t="shared" si="19"/>
        <v>40154.124800000107</v>
      </c>
      <c r="I306" s="402">
        <f t="shared" si="20"/>
        <v>528887.53600000008</v>
      </c>
    </row>
    <row r="307" spans="2:9" hidden="1">
      <c r="B307" s="156">
        <v>44980</v>
      </c>
      <c r="C307" s="255" t="s">
        <v>763</v>
      </c>
      <c r="D307" s="419">
        <f t="shared" si="17"/>
        <v>488733.41119999997</v>
      </c>
      <c r="E307" s="376">
        <v>799.42</v>
      </c>
      <c r="F307" s="421">
        <v>611.36</v>
      </c>
      <c r="G307" s="401">
        <f t="shared" si="18"/>
        <v>865.1</v>
      </c>
      <c r="H307" s="402">
        <f t="shared" si="19"/>
        <v>40154.124800000107</v>
      </c>
      <c r="I307" s="402">
        <f t="shared" si="20"/>
        <v>528887.53600000008</v>
      </c>
    </row>
    <row r="308" spans="2:9" hidden="1">
      <c r="B308" s="156">
        <v>44980</v>
      </c>
      <c r="C308" s="255" t="s">
        <v>764</v>
      </c>
      <c r="D308" s="419">
        <f t="shared" si="17"/>
        <v>733100.11679999996</v>
      </c>
      <c r="E308" s="376">
        <v>799.42</v>
      </c>
      <c r="F308" s="421">
        <v>917.04</v>
      </c>
      <c r="G308" s="401">
        <f t="shared" si="18"/>
        <v>865.1</v>
      </c>
      <c r="H308" s="402">
        <f t="shared" si="19"/>
        <v>60231.187200000044</v>
      </c>
      <c r="I308" s="402">
        <f t="shared" si="20"/>
        <v>793331.304</v>
      </c>
    </row>
    <row r="309" spans="2:9" hidden="1">
      <c r="B309" s="156">
        <v>44980</v>
      </c>
      <c r="C309" s="255" t="s">
        <v>765</v>
      </c>
      <c r="D309" s="419">
        <f t="shared" si="17"/>
        <v>1099650.1751999999</v>
      </c>
      <c r="E309" s="376">
        <v>799.42</v>
      </c>
      <c r="F309" s="421">
        <v>1375.56</v>
      </c>
      <c r="G309" s="401">
        <f t="shared" si="18"/>
        <v>865.1</v>
      </c>
      <c r="H309" s="402">
        <f t="shared" si="19"/>
        <v>90346.780800000066</v>
      </c>
      <c r="I309" s="402">
        <f t="shared" si="20"/>
        <v>1189996.956</v>
      </c>
    </row>
    <row r="310" spans="2:9" hidden="1">
      <c r="B310" s="156">
        <v>44980</v>
      </c>
      <c r="C310" s="255" t="s">
        <v>766</v>
      </c>
      <c r="D310" s="419">
        <f t="shared" si="17"/>
        <v>1466200.2335999999</v>
      </c>
      <c r="E310" s="376">
        <v>799.42</v>
      </c>
      <c r="F310" s="421">
        <v>1834.08</v>
      </c>
      <c r="G310" s="401">
        <f t="shared" si="18"/>
        <v>865.1</v>
      </c>
      <c r="H310" s="402">
        <f t="shared" si="19"/>
        <v>120462.37440000009</v>
      </c>
      <c r="I310" s="402">
        <f t="shared" si="20"/>
        <v>1586662.608</v>
      </c>
    </row>
    <row r="311" spans="2:9" hidden="1">
      <c r="B311" s="156">
        <v>44980</v>
      </c>
      <c r="C311" s="255" t="s">
        <v>767</v>
      </c>
      <c r="D311" s="419">
        <f t="shared" si="17"/>
        <v>733100.11679999996</v>
      </c>
      <c r="E311" s="376">
        <v>799.42</v>
      </c>
      <c r="F311" s="421">
        <v>917.04</v>
      </c>
      <c r="G311" s="401">
        <f t="shared" si="18"/>
        <v>865.1</v>
      </c>
      <c r="H311" s="402">
        <f t="shared" si="19"/>
        <v>60231.187200000044</v>
      </c>
      <c r="I311" s="402">
        <f t="shared" si="20"/>
        <v>793331.304</v>
      </c>
    </row>
    <row r="312" spans="2:9" hidden="1">
      <c r="B312" s="156">
        <v>44980</v>
      </c>
      <c r="C312" s="255" t="s">
        <v>768</v>
      </c>
      <c r="D312" s="419">
        <f t="shared" si="17"/>
        <v>488733.41119999997</v>
      </c>
      <c r="E312" s="376">
        <v>799.42</v>
      </c>
      <c r="F312" s="421">
        <v>611.36</v>
      </c>
      <c r="G312" s="401">
        <f t="shared" si="18"/>
        <v>865.1</v>
      </c>
      <c r="H312" s="402">
        <f t="shared" si="19"/>
        <v>40154.124800000107</v>
      </c>
      <c r="I312" s="402">
        <f t="shared" si="20"/>
        <v>528887.53600000008</v>
      </c>
    </row>
    <row r="313" spans="2:9" hidden="1">
      <c r="B313" s="156">
        <v>44980</v>
      </c>
      <c r="C313" s="255" t="s">
        <v>769</v>
      </c>
      <c r="D313" s="419">
        <f t="shared" si="17"/>
        <v>1099650.1751999999</v>
      </c>
      <c r="E313" s="376">
        <v>799.42</v>
      </c>
      <c r="F313" s="421">
        <v>1375.56</v>
      </c>
      <c r="G313" s="401">
        <f t="shared" si="18"/>
        <v>865.1</v>
      </c>
      <c r="H313" s="402">
        <f t="shared" si="19"/>
        <v>90346.780800000066</v>
      </c>
      <c r="I313" s="402">
        <f t="shared" si="20"/>
        <v>1189996.956</v>
      </c>
    </row>
    <row r="314" spans="2:9" hidden="1">
      <c r="B314" s="156">
        <v>44980</v>
      </c>
      <c r="C314" s="255" t="s">
        <v>770</v>
      </c>
      <c r="D314" s="419">
        <f t="shared" si="17"/>
        <v>1099650.1751999999</v>
      </c>
      <c r="E314" s="376">
        <v>799.42</v>
      </c>
      <c r="F314" s="421">
        <v>1375.56</v>
      </c>
      <c r="G314" s="401">
        <f t="shared" si="18"/>
        <v>865.1</v>
      </c>
      <c r="H314" s="402">
        <f t="shared" si="19"/>
        <v>90346.780800000066</v>
      </c>
      <c r="I314" s="402">
        <f t="shared" si="20"/>
        <v>1189996.956</v>
      </c>
    </row>
    <row r="315" spans="2:9" hidden="1">
      <c r="B315" s="156">
        <v>44980</v>
      </c>
      <c r="C315" s="255" t="s">
        <v>771</v>
      </c>
      <c r="D315" s="419">
        <f t="shared" si="17"/>
        <v>488733.41119999997</v>
      </c>
      <c r="E315" s="376">
        <v>799.42</v>
      </c>
      <c r="F315" s="421">
        <v>611.36</v>
      </c>
      <c r="G315" s="401">
        <f t="shared" si="18"/>
        <v>865.1</v>
      </c>
      <c r="H315" s="402">
        <f t="shared" si="19"/>
        <v>40154.124800000107</v>
      </c>
      <c r="I315" s="402">
        <f t="shared" si="20"/>
        <v>528887.53600000008</v>
      </c>
    </row>
    <row r="316" spans="2:9" hidden="1">
      <c r="B316" s="156">
        <v>44980</v>
      </c>
      <c r="C316" s="255" t="s">
        <v>772</v>
      </c>
      <c r="D316" s="419">
        <f t="shared" si="17"/>
        <v>733100.11679999996</v>
      </c>
      <c r="E316" s="376">
        <v>799.42</v>
      </c>
      <c r="F316" s="421">
        <v>917.04</v>
      </c>
      <c r="G316" s="401">
        <f t="shared" si="18"/>
        <v>865.1</v>
      </c>
      <c r="H316" s="402">
        <f t="shared" si="19"/>
        <v>60231.187200000044</v>
      </c>
      <c r="I316" s="402">
        <f t="shared" si="20"/>
        <v>793331.304</v>
      </c>
    </row>
    <row r="317" spans="2:9" hidden="1">
      <c r="B317" s="156">
        <v>44980</v>
      </c>
      <c r="C317" s="255" t="s">
        <v>773</v>
      </c>
      <c r="D317" s="419">
        <f t="shared" si="17"/>
        <v>855283.46960000007</v>
      </c>
      <c r="E317" s="376">
        <v>799.42</v>
      </c>
      <c r="F317" s="421">
        <v>1069.8800000000001</v>
      </c>
      <c r="G317" s="401">
        <f t="shared" si="18"/>
        <v>865.1</v>
      </c>
      <c r="H317" s="402">
        <f t="shared" si="19"/>
        <v>70269.718400000012</v>
      </c>
      <c r="I317" s="402">
        <f t="shared" si="20"/>
        <v>925553.18800000008</v>
      </c>
    </row>
    <row r="318" spans="2:9" hidden="1">
      <c r="B318" s="156">
        <v>44980</v>
      </c>
      <c r="C318" s="255" t="s">
        <v>774</v>
      </c>
      <c r="D318" s="419">
        <f t="shared" si="17"/>
        <v>733100.11679999996</v>
      </c>
      <c r="E318" s="376">
        <v>799.42</v>
      </c>
      <c r="F318" s="421">
        <v>917.04</v>
      </c>
      <c r="G318" s="401">
        <f t="shared" si="18"/>
        <v>865.1</v>
      </c>
      <c r="H318" s="402">
        <f t="shared" si="19"/>
        <v>60231.187200000044</v>
      </c>
      <c r="I318" s="402">
        <f t="shared" si="20"/>
        <v>793331.304</v>
      </c>
    </row>
    <row r="319" spans="2:9" hidden="1">
      <c r="B319" s="156">
        <v>44980</v>
      </c>
      <c r="C319" s="255" t="s">
        <v>775</v>
      </c>
      <c r="D319" s="419">
        <f t="shared" si="17"/>
        <v>733100.11679999996</v>
      </c>
      <c r="E319" s="376">
        <v>799.42</v>
      </c>
      <c r="F319" s="421">
        <v>917.04</v>
      </c>
      <c r="G319" s="401">
        <f t="shared" si="18"/>
        <v>865.1</v>
      </c>
      <c r="H319" s="402">
        <f t="shared" si="19"/>
        <v>60231.187200000044</v>
      </c>
      <c r="I319" s="402">
        <f t="shared" si="20"/>
        <v>793331.304</v>
      </c>
    </row>
    <row r="320" spans="2:9" hidden="1">
      <c r="B320" s="156">
        <v>44980</v>
      </c>
      <c r="C320" s="255" t="s">
        <v>776</v>
      </c>
      <c r="D320" s="419">
        <f t="shared" si="17"/>
        <v>14950752.84</v>
      </c>
      <c r="E320" s="376">
        <v>799.42</v>
      </c>
      <c r="F320" s="421">
        <v>18702</v>
      </c>
      <c r="G320" s="401">
        <f t="shared" si="18"/>
        <v>865.1</v>
      </c>
      <c r="H320" s="402">
        <f t="shared" si="19"/>
        <v>1228347.3600000013</v>
      </c>
      <c r="I320" s="402">
        <f t="shared" si="20"/>
        <v>16179100.200000001</v>
      </c>
    </row>
    <row r="321" spans="2:9" hidden="1">
      <c r="B321" s="156">
        <v>44980</v>
      </c>
      <c r="C321" s="255" t="s">
        <v>777</v>
      </c>
      <c r="D321" s="419">
        <f t="shared" si="17"/>
        <v>1099650.1751999999</v>
      </c>
      <c r="E321" s="376">
        <v>799.42</v>
      </c>
      <c r="F321" s="421">
        <v>1375.56</v>
      </c>
      <c r="G321" s="401">
        <f t="shared" si="18"/>
        <v>865.1</v>
      </c>
      <c r="H321" s="402">
        <f t="shared" si="19"/>
        <v>90346.780800000066</v>
      </c>
      <c r="I321" s="402">
        <f t="shared" si="20"/>
        <v>1189996.956</v>
      </c>
    </row>
    <row r="322" spans="2:9" hidden="1">
      <c r="B322" s="156">
        <v>44980</v>
      </c>
      <c r="C322" s="255" t="s">
        <v>778</v>
      </c>
      <c r="D322" s="419">
        <f t="shared" si="17"/>
        <v>488733.41119999997</v>
      </c>
      <c r="E322" s="376">
        <v>799.42</v>
      </c>
      <c r="F322" s="421">
        <v>611.36</v>
      </c>
      <c r="G322" s="401">
        <f t="shared" si="18"/>
        <v>865.1</v>
      </c>
      <c r="H322" s="402">
        <f t="shared" si="19"/>
        <v>40154.124800000107</v>
      </c>
      <c r="I322" s="402">
        <f t="shared" si="20"/>
        <v>528887.53600000008</v>
      </c>
    </row>
    <row r="323" spans="2:9" hidden="1">
      <c r="B323" s="156">
        <v>44980</v>
      </c>
      <c r="C323" s="255" t="s">
        <v>779</v>
      </c>
      <c r="D323" s="419">
        <f t="shared" si="17"/>
        <v>488733.41119999997</v>
      </c>
      <c r="E323" s="376">
        <v>799.42</v>
      </c>
      <c r="F323" s="421">
        <v>611.36</v>
      </c>
      <c r="G323" s="401">
        <f t="shared" si="18"/>
        <v>865.1</v>
      </c>
      <c r="H323" s="402">
        <f t="shared" si="19"/>
        <v>40154.124800000107</v>
      </c>
      <c r="I323" s="402">
        <f t="shared" si="20"/>
        <v>528887.53600000008</v>
      </c>
    </row>
    <row r="324" spans="2:9" hidden="1">
      <c r="B324" s="156">
        <v>44985</v>
      </c>
      <c r="C324" s="255" t="s">
        <v>673</v>
      </c>
      <c r="D324" s="419">
        <f t="shared" ref="D324:D387" si="21">F324*E324</f>
        <v>1053472.014</v>
      </c>
      <c r="E324" s="376">
        <v>831.24</v>
      </c>
      <c r="F324" s="421">
        <v>1267.3499999999999</v>
      </c>
      <c r="G324" s="401">
        <f>+G219</f>
        <v>865.1</v>
      </c>
      <c r="H324" s="402">
        <f t="shared" si="19"/>
        <v>42912.470999999903</v>
      </c>
      <c r="I324" s="402">
        <f t="shared" si="20"/>
        <v>1096384.4849999999</v>
      </c>
    </row>
    <row r="325" spans="2:9" hidden="1">
      <c r="B325" s="156">
        <v>44994</v>
      </c>
      <c r="C325" s="255" t="s">
        <v>812</v>
      </c>
      <c r="D325" s="419">
        <f t="shared" si="21"/>
        <v>5675968.1888000006</v>
      </c>
      <c r="E325" s="376">
        <v>802.88</v>
      </c>
      <c r="F325" s="421">
        <v>7069.51</v>
      </c>
      <c r="G325" s="401">
        <f t="shared" ref="G325:G388" si="22">+G220</f>
        <v>865.1</v>
      </c>
      <c r="H325" s="402">
        <f t="shared" si="19"/>
        <v>439864.91220000014</v>
      </c>
      <c r="I325" s="402">
        <f t="shared" si="20"/>
        <v>6115833.1010000007</v>
      </c>
    </row>
    <row r="326" spans="2:9" hidden="1">
      <c r="B326" s="156">
        <v>45008</v>
      </c>
      <c r="C326" s="182" t="s">
        <v>813</v>
      </c>
      <c r="D326" s="419">
        <f t="shared" si="21"/>
        <v>2961897.0504000001</v>
      </c>
      <c r="E326" s="376">
        <v>818.76</v>
      </c>
      <c r="F326" s="421">
        <v>3617.54</v>
      </c>
      <c r="G326" s="401">
        <f t="shared" si="22"/>
        <v>865.1</v>
      </c>
      <c r="H326" s="402">
        <f t="shared" si="19"/>
        <v>167636.80360000022</v>
      </c>
      <c r="I326" s="402">
        <f t="shared" si="20"/>
        <v>3129533.8540000003</v>
      </c>
    </row>
    <row r="327" spans="2:9" hidden="1">
      <c r="B327" s="156">
        <v>45012</v>
      </c>
      <c r="C327" s="255" t="s">
        <v>814</v>
      </c>
      <c r="D327" s="419">
        <f t="shared" si="21"/>
        <v>7717.1747999999998</v>
      </c>
      <c r="E327" s="376">
        <v>811.48</v>
      </c>
      <c r="F327" s="376">
        <v>9.51</v>
      </c>
      <c r="G327" s="401">
        <f t="shared" si="22"/>
        <v>865.1</v>
      </c>
      <c r="H327" s="402">
        <f t="shared" ref="H327:H390" si="23">+I327-D327</f>
        <v>509.92620000000079</v>
      </c>
      <c r="I327" s="402">
        <f t="shared" ref="I327:I390" si="24">+F327*G327</f>
        <v>8227.1010000000006</v>
      </c>
    </row>
    <row r="328" spans="2:9" hidden="1">
      <c r="B328" s="156">
        <v>45013</v>
      </c>
      <c r="C328" s="182" t="s">
        <v>815</v>
      </c>
      <c r="D328" s="419">
        <f t="shared" si="21"/>
        <v>750119.4</v>
      </c>
      <c r="E328" s="376">
        <v>806.58</v>
      </c>
      <c r="F328" s="421">
        <v>930</v>
      </c>
      <c r="G328" s="401">
        <f t="shared" si="22"/>
        <v>865.1</v>
      </c>
      <c r="H328" s="402">
        <f t="shared" si="23"/>
        <v>54423.599999999977</v>
      </c>
      <c r="I328" s="402">
        <f t="shared" si="24"/>
        <v>804543</v>
      </c>
    </row>
    <row r="329" spans="2:9" hidden="1">
      <c r="B329" s="156">
        <v>45016</v>
      </c>
      <c r="C329" s="255" t="s">
        <v>673</v>
      </c>
      <c r="D329" s="402">
        <f t="shared" si="21"/>
        <v>-508373532.56999999</v>
      </c>
      <c r="E329" s="376">
        <v>790.41</v>
      </c>
      <c r="F329" s="402">
        <v>-643177</v>
      </c>
      <c r="G329" s="401">
        <f t="shared" si="22"/>
        <v>865.1</v>
      </c>
      <c r="H329" s="402">
        <f t="shared" si="23"/>
        <v>-48038890.130000055</v>
      </c>
      <c r="I329" s="402">
        <f t="shared" si="24"/>
        <v>-556412422.70000005</v>
      </c>
    </row>
    <row r="330" spans="2:9" hidden="1">
      <c r="B330" s="156">
        <v>45026</v>
      </c>
      <c r="C330" s="255" t="s">
        <v>828</v>
      </c>
      <c r="D330" s="402">
        <f t="shared" si="21"/>
        <v>7255900.723199999</v>
      </c>
      <c r="E330" s="376">
        <v>814.64</v>
      </c>
      <c r="F330" s="402">
        <v>8906.8799999999992</v>
      </c>
      <c r="G330" s="401">
        <f t="shared" si="22"/>
        <v>865.1</v>
      </c>
      <c r="H330" s="402">
        <f t="shared" si="23"/>
        <v>449441.16480000038</v>
      </c>
      <c r="I330" s="402">
        <f t="shared" si="24"/>
        <v>7705341.8879999993</v>
      </c>
    </row>
    <row r="331" spans="2:9" hidden="1">
      <c r="B331" s="156">
        <v>45026</v>
      </c>
      <c r="C331" s="255" t="s">
        <v>829</v>
      </c>
      <c r="D331" s="402">
        <f t="shared" si="21"/>
        <v>1782350.8560000001</v>
      </c>
      <c r="E331" s="376">
        <v>814.64</v>
      </c>
      <c r="F331" s="402">
        <v>2187.9</v>
      </c>
      <c r="G331" s="401">
        <f t="shared" si="22"/>
        <v>865.1</v>
      </c>
      <c r="H331" s="402">
        <f t="shared" si="23"/>
        <v>110401.43399999989</v>
      </c>
      <c r="I331" s="402">
        <f t="shared" si="24"/>
        <v>1892752.29</v>
      </c>
    </row>
    <row r="332" spans="2:9" hidden="1">
      <c r="B332" s="156">
        <v>45026</v>
      </c>
      <c r="C332" s="255" t="s">
        <v>830</v>
      </c>
      <c r="D332" s="402">
        <f t="shared" si="21"/>
        <v>1335748.9151999999</v>
      </c>
      <c r="E332" s="376">
        <v>814.64</v>
      </c>
      <c r="F332" s="402">
        <v>1639.68</v>
      </c>
      <c r="G332" s="401">
        <f t="shared" si="22"/>
        <v>865.1</v>
      </c>
      <c r="H332" s="402">
        <f t="shared" si="23"/>
        <v>82738.252800000133</v>
      </c>
      <c r="I332" s="402">
        <f t="shared" si="24"/>
        <v>1418487.1680000001</v>
      </c>
    </row>
    <row r="333" spans="2:9" hidden="1">
      <c r="B333" s="156">
        <v>45026</v>
      </c>
      <c r="C333" s="255" t="s">
        <v>831</v>
      </c>
      <c r="D333" s="402">
        <f t="shared" si="21"/>
        <v>29215450.612799998</v>
      </c>
      <c r="E333" s="376">
        <v>814.64</v>
      </c>
      <c r="F333" s="402">
        <v>35863.019999999997</v>
      </c>
      <c r="G333" s="401">
        <f t="shared" si="22"/>
        <v>865.1</v>
      </c>
      <c r="H333" s="402">
        <f t="shared" si="23"/>
        <v>1809647.9891999997</v>
      </c>
      <c r="I333" s="402">
        <f t="shared" si="24"/>
        <v>31025098.601999998</v>
      </c>
    </row>
    <row r="334" spans="2:9" hidden="1">
      <c r="B334" s="156">
        <v>45026</v>
      </c>
      <c r="C334" s="255" t="s">
        <v>832</v>
      </c>
      <c r="D334" s="402">
        <f t="shared" si="21"/>
        <v>8882867.1456000004</v>
      </c>
      <c r="E334" s="376">
        <v>814.64</v>
      </c>
      <c r="F334" s="402">
        <v>10904.04</v>
      </c>
      <c r="G334" s="401">
        <f t="shared" si="22"/>
        <v>865.1</v>
      </c>
      <c r="H334" s="402">
        <f t="shared" si="23"/>
        <v>550217.85840000026</v>
      </c>
      <c r="I334" s="402">
        <f t="shared" si="24"/>
        <v>9433085.0040000007</v>
      </c>
    </row>
    <row r="335" spans="2:9" hidden="1">
      <c r="B335" s="156">
        <v>45026</v>
      </c>
      <c r="C335" s="255" t="s">
        <v>833</v>
      </c>
      <c r="D335" s="402">
        <f t="shared" si="21"/>
        <v>648127.58400000003</v>
      </c>
      <c r="E335" s="376">
        <v>814.64</v>
      </c>
      <c r="F335" s="402">
        <v>795.6</v>
      </c>
      <c r="G335" s="401">
        <f t="shared" si="22"/>
        <v>865.1</v>
      </c>
      <c r="H335" s="402">
        <f t="shared" si="23"/>
        <v>40145.976000000024</v>
      </c>
      <c r="I335" s="402">
        <f t="shared" si="24"/>
        <v>688273.56</v>
      </c>
    </row>
    <row r="336" spans="2:9" hidden="1">
      <c r="B336" s="156">
        <v>45026</v>
      </c>
      <c r="C336" s="255" t="s">
        <v>834</v>
      </c>
      <c r="D336" s="402">
        <f t="shared" si="21"/>
        <v>1382672.1791999999</v>
      </c>
      <c r="E336" s="376">
        <v>814.64</v>
      </c>
      <c r="F336" s="402">
        <v>1697.28</v>
      </c>
      <c r="G336" s="401">
        <f t="shared" si="22"/>
        <v>865.1</v>
      </c>
      <c r="H336" s="402">
        <f t="shared" si="23"/>
        <v>85644.748800000176</v>
      </c>
      <c r="I336" s="402">
        <f t="shared" si="24"/>
        <v>1468316.9280000001</v>
      </c>
    </row>
    <row r="337" spans="2:9" hidden="1">
      <c r="B337" s="156">
        <v>45026</v>
      </c>
      <c r="C337" s="255" t="s">
        <v>835</v>
      </c>
      <c r="D337" s="402">
        <f t="shared" si="21"/>
        <v>1945262.5632</v>
      </c>
      <c r="E337" s="376">
        <v>814.64</v>
      </c>
      <c r="F337" s="402">
        <v>2387.88</v>
      </c>
      <c r="G337" s="401">
        <f t="shared" si="22"/>
        <v>865.1</v>
      </c>
      <c r="H337" s="402">
        <f t="shared" si="23"/>
        <v>120492.42480000015</v>
      </c>
      <c r="I337" s="402">
        <f t="shared" si="24"/>
        <v>2065754.9880000001</v>
      </c>
    </row>
    <row r="338" spans="2:9" hidden="1">
      <c r="B338" s="156">
        <v>45026</v>
      </c>
      <c r="C338" s="255" t="s">
        <v>836</v>
      </c>
      <c r="D338" s="402">
        <f t="shared" si="21"/>
        <v>284472.288</v>
      </c>
      <c r="E338" s="376">
        <v>814.64</v>
      </c>
      <c r="F338" s="402">
        <v>349.2</v>
      </c>
      <c r="G338" s="401">
        <f t="shared" si="22"/>
        <v>865.1</v>
      </c>
      <c r="H338" s="402">
        <f t="shared" si="23"/>
        <v>17620.631999999983</v>
      </c>
      <c r="I338" s="402">
        <f t="shared" si="24"/>
        <v>302092.92</v>
      </c>
    </row>
    <row r="339" spans="2:9" hidden="1">
      <c r="B339" s="156">
        <v>45026</v>
      </c>
      <c r="C339" s="255" t="s">
        <v>837</v>
      </c>
      <c r="D339" s="402">
        <f t="shared" si="21"/>
        <v>4783631.2511999998</v>
      </c>
      <c r="E339" s="376">
        <v>814.64</v>
      </c>
      <c r="F339" s="402">
        <v>5872.08</v>
      </c>
      <c r="G339" s="401">
        <f t="shared" si="22"/>
        <v>865.1</v>
      </c>
      <c r="H339" s="402">
        <f t="shared" si="23"/>
        <v>296305.1568</v>
      </c>
      <c r="I339" s="402">
        <f t="shared" si="24"/>
        <v>5079936.4079999998</v>
      </c>
    </row>
    <row r="340" spans="2:9" hidden="1">
      <c r="B340" s="156">
        <v>45026</v>
      </c>
      <c r="C340" s="255" t="s">
        <v>838</v>
      </c>
      <c r="D340" s="402">
        <f t="shared" si="21"/>
        <v>8226870.1392000001</v>
      </c>
      <c r="E340" s="376">
        <v>814.64</v>
      </c>
      <c r="F340" s="402">
        <v>10098.780000000001</v>
      </c>
      <c r="G340" s="401">
        <f t="shared" si="22"/>
        <v>865.1</v>
      </c>
      <c r="H340" s="402">
        <f t="shared" si="23"/>
        <v>509584.43880000152</v>
      </c>
      <c r="I340" s="402">
        <f t="shared" si="24"/>
        <v>8736454.5780000016</v>
      </c>
    </row>
    <row r="341" spans="2:9" hidden="1">
      <c r="B341" s="156">
        <v>45026</v>
      </c>
      <c r="C341" s="255" t="s">
        <v>839</v>
      </c>
      <c r="D341" s="402">
        <f t="shared" si="21"/>
        <v>1435851.8784</v>
      </c>
      <c r="E341" s="376">
        <v>814.64</v>
      </c>
      <c r="F341" s="402">
        <v>1762.56</v>
      </c>
      <c r="G341" s="401">
        <f t="shared" si="22"/>
        <v>865.1</v>
      </c>
      <c r="H341" s="402">
        <f t="shared" si="23"/>
        <v>88938.777599999914</v>
      </c>
      <c r="I341" s="402">
        <f t="shared" si="24"/>
        <v>1524790.656</v>
      </c>
    </row>
    <row r="342" spans="2:9" hidden="1">
      <c r="B342" s="156">
        <v>45026</v>
      </c>
      <c r="C342" s="255" t="s">
        <v>840</v>
      </c>
      <c r="D342" s="402">
        <f t="shared" si="21"/>
        <v>4070202.1247999999</v>
      </c>
      <c r="E342" s="376">
        <v>814.64</v>
      </c>
      <c r="F342" s="402">
        <v>4996.32</v>
      </c>
      <c r="G342" s="401">
        <f t="shared" si="22"/>
        <v>865.1</v>
      </c>
      <c r="H342" s="402">
        <f t="shared" si="23"/>
        <v>252114.30720000016</v>
      </c>
      <c r="I342" s="402">
        <f t="shared" si="24"/>
        <v>4322316.432</v>
      </c>
    </row>
    <row r="343" spans="2:9" hidden="1">
      <c r="B343" s="156">
        <v>45026</v>
      </c>
      <c r="C343" s="255" t="s">
        <v>841</v>
      </c>
      <c r="D343" s="402">
        <f t="shared" si="21"/>
        <v>9077794.2048000004</v>
      </c>
      <c r="E343" s="376">
        <v>814.64</v>
      </c>
      <c r="F343" s="402">
        <v>11143.32</v>
      </c>
      <c r="G343" s="401">
        <f t="shared" si="22"/>
        <v>865.1</v>
      </c>
      <c r="H343" s="402">
        <f t="shared" si="23"/>
        <v>562291.92719999887</v>
      </c>
      <c r="I343" s="402">
        <f t="shared" si="24"/>
        <v>9640086.1319999993</v>
      </c>
    </row>
    <row r="344" spans="2:9" hidden="1">
      <c r="B344" s="156">
        <v>45026</v>
      </c>
      <c r="C344" s="255" t="s">
        <v>842</v>
      </c>
      <c r="D344" s="402">
        <f t="shared" si="21"/>
        <v>638156.39040000003</v>
      </c>
      <c r="E344" s="376">
        <v>814.64</v>
      </c>
      <c r="F344" s="402">
        <v>783.36</v>
      </c>
      <c r="G344" s="401">
        <f t="shared" si="22"/>
        <v>865.1</v>
      </c>
      <c r="H344" s="402">
        <f t="shared" si="23"/>
        <v>39528.345600000001</v>
      </c>
      <c r="I344" s="402">
        <f t="shared" si="24"/>
        <v>677684.73600000003</v>
      </c>
    </row>
    <row r="345" spans="2:9" hidden="1">
      <c r="B345" s="156">
        <v>45026</v>
      </c>
      <c r="C345" s="255" t="s">
        <v>843</v>
      </c>
      <c r="D345" s="402">
        <f t="shared" si="21"/>
        <v>259690.93919999996</v>
      </c>
      <c r="E345" s="376">
        <v>814.64</v>
      </c>
      <c r="F345" s="402">
        <v>318.77999999999997</v>
      </c>
      <c r="G345" s="401">
        <f t="shared" si="22"/>
        <v>865.1</v>
      </c>
      <c r="H345" s="402">
        <f t="shared" si="23"/>
        <v>16085.638800000015</v>
      </c>
      <c r="I345" s="402">
        <f t="shared" si="24"/>
        <v>275776.57799999998</v>
      </c>
    </row>
    <row r="346" spans="2:9" hidden="1">
      <c r="B346" s="156">
        <v>45035</v>
      </c>
      <c r="C346" s="255" t="s">
        <v>844</v>
      </c>
      <c r="D346" s="402">
        <f t="shared" si="21"/>
        <v>1296224.9000000001</v>
      </c>
      <c r="E346" s="376">
        <v>795.23</v>
      </c>
      <c r="F346" s="402">
        <v>1630</v>
      </c>
      <c r="G346" s="401">
        <f t="shared" si="22"/>
        <v>865.1</v>
      </c>
      <c r="H346" s="402">
        <f t="shared" si="23"/>
        <v>113888.09999999986</v>
      </c>
      <c r="I346" s="402">
        <f t="shared" si="24"/>
        <v>1410113</v>
      </c>
    </row>
    <row r="347" spans="2:9" hidden="1">
      <c r="B347" s="156">
        <v>45043</v>
      </c>
      <c r="C347" s="255" t="s">
        <v>845</v>
      </c>
      <c r="D347" s="402">
        <f t="shared" si="21"/>
        <v>1163689.4920000001</v>
      </c>
      <c r="E347" s="376">
        <v>805.21</v>
      </c>
      <c r="F347" s="402">
        <v>1445.2</v>
      </c>
      <c r="G347" s="401">
        <f t="shared" si="22"/>
        <v>865.1</v>
      </c>
      <c r="H347" s="402">
        <f t="shared" si="23"/>
        <v>86553.027999999933</v>
      </c>
      <c r="I347" s="402">
        <f t="shared" si="24"/>
        <v>1250242.52</v>
      </c>
    </row>
    <row r="348" spans="2:9" hidden="1">
      <c r="B348" s="156">
        <v>45043</v>
      </c>
      <c r="C348" s="255" t="s">
        <v>846</v>
      </c>
      <c r="D348" s="402">
        <f t="shared" si="21"/>
        <v>1454611.865</v>
      </c>
      <c r="E348" s="376">
        <v>805.21</v>
      </c>
      <c r="F348" s="402">
        <v>1806.5</v>
      </c>
      <c r="G348" s="401">
        <f t="shared" si="22"/>
        <v>865.1</v>
      </c>
      <c r="H348" s="402">
        <f t="shared" si="23"/>
        <v>108191.28500000015</v>
      </c>
      <c r="I348" s="402">
        <f t="shared" si="24"/>
        <v>1562803.1500000001</v>
      </c>
    </row>
    <row r="349" spans="2:9" hidden="1">
      <c r="B349" s="156">
        <v>45043</v>
      </c>
      <c r="C349" s="255" t="s">
        <v>847</v>
      </c>
      <c r="D349" s="402">
        <f t="shared" si="21"/>
        <v>1454611.865</v>
      </c>
      <c r="E349" s="376">
        <v>805.21</v>
      </c>
      <c r="F349" s="402">
        <v>1806.5</v>
      </c>
      <c r="G349" s="401">
        <f t="shared" si="22"/>
        <v>865.1</v>
      </c>
      <c r="H349" s="402">
        <f t="shared" si="23"/>
        <v>108191.28500000015</v>
      </c>
      <c r="I349" s="402">
        <f t="shared" si="24"/>
        <v>1562803.1500000001</v>
      </c>
    </row>
    <row r="350" spans="2:9" hidden="1">
      <c r="B350" s="156">
        <v>45043</v>
      </c>
      <c r="C350" s="255" t="s">
        <v>848</v>
      </c>
      <c r="D350" s="402">
        <f t="shared" si="21"/>
        <v>1454611.865</v>
      </c>
      <c r="E350" s="376">
        <v>805.21</v>
      </c>
      <c r="F350" s="402">
        <v>1806.5</v>
      </c>
      <c r="G350" s="401">
        <f t="shared" si="22"/>
        <v>865.1</v>
      </c>
      <c r="H350" s="402">
        <f t="shared" si="23"/>
        <v>108191.28500000015</v>
      </c>
      <c r="I350" s="402">
        <f t="shared" si="24"/>
        <v>1562803.1500000001</v>
      </c>
    </row>
    <row r="351" spans="2:9" hidden="1">
      <c r="B351" s="156">
        <v>45043</v>
      </c>
      <c r="C351" s="255" t="s">
        <v>849</v>
      </c>
      <c r="D351" s="402">
        <f t="shared" si="21"/>
        <v>14909123.4222</v>
      </c>
      <c r="E351" s="376">
        <v>805.21</v>
      </c>
      <c r="F351" s="402">
        <v>18515.82</v>
      </c>
      <c r="G351" s="401">
        <f t="shared" si="22"/>
        <v>865.1</v>
      </c>
      <c r="H351" s="402">
        <f t="shared" si="23"/>
        <v>1108912.4597999994</v>
      </c>
      <c r="I351" s="402">
        <f t="shared" si="24"/>
        <v>16018035.881999999</v>
      </c>
    </row>
    <row r="352" spans="2:9" hidden="1">
      <c r="B352" s="156">
        <v>45043</v>
      </c>
      <c r="C352" s="255" t="s">
        <v>850</v>
      </c>
      <c r="D352" s="402">
        <f t="shared" si="21"/>
        <v>1649682.0396000003</v>
      </c>
      <c r="E352" s="376">
        <v>805.21</v>
      </c>
      <c r="F352" s="402">
        <v>2048.7600000000002</v>
      </c>
      <c r="G352" s="401">
        <f t="shared" si="22"/>
        <v>865.1</v>
      </c>
      <c r="H352" s="402">
        <f t="shared" si="23"/>
        <v>122700.23640000005</v>
      </c>
      <c r="I352" s="402">
        <f t="shared" si="24"/>
        <v>1772382.2760000003</v>
      </c>
    </row>
    <row r="353" spans="2:9" hidden="1">
      <c r="B353" s="156">
        <v>45043</v>
      </c>
      <c r="C353" s="255" t="s">
        <v>851</v>
      </c>
      <c r="D353" s="402">
        <f t="shared" si="21"/>
        <v>1745534.2380000001</v>
      </c>
      <c r="E353" s="376">
        <v>805.21</v>
      </c>
      <c r="F353" s="402">
        <v>2167.8000000000002</v>
      </c>
      <c r="G353" s="401">
        <f t="shared" si="22"/>
        <v>865.1</v>
      </c>
      <c r="H353" s="402">
        <f t="shared" si="23"/>
        <v>129829.54200000013</v>
      </c>
      <c r="I353" s="402">
        <f t="shared" si="24"/>
        <v>1875363.7800000003</v>
      </c>
    </row>
    <row r="354" spans="2:9" hidden="1">
      <c r="B354" s="156">
        <v>45043</v>
      </c>
      <c r="C354" s="255" t="s">
        <v>852</v>
      </c>
      <c r="D354" s="402">
        <f t="shared" si="21"/>
        <v>1163689.4920000001</v>
      </c>
      <c r="E354" s="376">
        <v>805.21</v>
      </c>
      <c r="F354" s="402">
        <v>1445.2</v>
      </c>
      <c r="G354" s="401">
        <f t="shared" si="22"/>
        <v>865.1</v>
      </c>
      <c r="H354" s="402">
        <f t="shared" si="23"/>
        <v>86553.027999999933</v>
      </c>
      <c r="I354" s="402">
        <f t="shared" si="24"/>
        <v>1250242.52</v>
      </c>
    </row>
    <row r="355" spans="2:9" hidden="1">
      <c r="B355" s="156">
        <v>45043</v>
      </c>
      <c r="C355" s="255" t="s">
        <v>853</v>
      </c>
      <c r="D355" s="402">
        <f t="shared" si="21"/>
        <v>1454611.865</v>
      </c>
      <c r="E355" s="376">
        <v>805.21</v>
      </c>
      <c r="F355" s="402">
        <v>1806.5</v>
      </c>
      <c r="G355" s="401">
        <f t="shared" si="22"/>
        <v>865.1</v>
      </c>
      <c r="H355" s="402">
        <f t="shared" si="23"/>
        <v>108191.28500000015</v>
      </c>
      <c r="I355" s="402">
        <f t="shared" si="24"/>
        <v>1562803.1500000001</v>
      </c>
    </row>
    <row r="356" spans="2:9" hidden="1">
      <c r="B356" s="156">
        <v>45043</v>
      </c>
      <c r="C356" s="255" t="s">
        <v>854</v>
      </c>
      <c r="D356" s="402">
        <f t="shared" si="21"/>
        <v>135661.78080000001</v>
      </c>
      <c r="E356" s="376">
        <v>805.21</v>
      </c>
      <c r="F356" s="402">
        <v>168.48</v>
      </c>
      <c r="G356" s="401">
        <f t="shared" si="22"/>
        <v>865.1</v>
      </c>
      <c r="H356" s="402">
        <f t="shared" si="23"/>
        <v>10090.267199999973</v>
      </c>
      <c r="I356" s="402">
        <f t="shared" si="24"/>
        <v>145752.04799999998</v>
      </c>
    </row>
    <row r="357" spans="2:9" hidden="1">
      <c r="B357" s="156">
        <v>45043</v>
      </c>
      <c r="C357" s="255" t="s">
        <v>855</v>
      </c>
      <c r="D357" s="402">
        <f t="shared" si="21"/>
        <v>135661.78080000001</v>
      </c>
      <c r="E357" s="376">
        <v>805.21</v>
      </c>
      <c r="F357" s="402">
        <v>168.48</v>
      </c>
      <c r="G357" s="401">
        <f t="shared" si="22"/>
        <v>865.1</v>
      </c>
      <c r="H357" s="402">
        <f t="shared" si="23"/>
        <v>10090.267199999973</v>
      </c>
      <c r="I357" s="402">
        <f t="shared" si="24"/>
        <v>145752.04799999998</v>
      </c>
    </row>
    <row r="358" spans="2:9" hidden="1">
      <c r="B358" s="156">
        <v>45043</v>
      </c>
      <c r="C358" s="255" t="s">
        <v>856</v>
      </c>
      <c r="D358" s="402">
        <f t="shared" si="21"/>
        <v>1577937.8286000001</v>
      </c>
      <c r="E358" s="376">
        <v>805.21</v>
      </c>
      <c r="F358" s="402">
        <v>1959.66</v>
      </c>
      <c r="G358" s="401">
        <f t="shared" si="22"/>
        <v>865.1</v>
      </c>
      <c r="H358" s="402">
        <f t="shared" si="23"/>
        <v>117364.03740000003</v>
      </c>
      <c r="I358" s="402">
        <f t="shared" si="24"/>
        <v>1695301.8660000002</v>
      </c>
    </row>
    <row r="359" spans="2:9" hidden="1">
      <c r="B359" s="156">
        <v>45043</v>
      </c>
      <c r="C359" s="255" t="s">
        <v>857</v>
      </c>
      <c r="D359" s="402">
        <f t="shared" si="21"/>
        <v>108799.97520000002</v>
      </c>
      <c r="E359" s="376">
        <v>805.21</v>
      </c>
      <c r="F359" s="402">
        <v>135.12</v>
      </c>
      <c r="G359" s="401">
        <f t="shared" si="22"/>
        <v>865.1</v>
      </c>
      <c r="H359" s="402">
        <f t="shared" si="23"/>
        <v>8092.33679999999</v>
      </c>
      <c r="I359" s="402">
        <f t="shared" si="24"/>
        <v>116892.31200000001</v>
      </c>
    </row>
    <row r="360" spans="2:9" hidden="1">
      <c r="B360" s="156">
        <v>45043</v>
      </c>
      <c r="C360" s="255" t="s">
        <v>858</v>
      </c>
      <c r="D360" s="402">
        <f t="shared" si="21"/>
        <v>101456.46</v>
      </c>
      <c r="E360" s="376">
        <v>805.21</v>
      </c>
      <c r="F360" s="402">
        <v>126</v>
      </c>
      <c r="G360" s="401">
        <f t="shared" si="22"/>
        <v>865.1</v>
      </c>
      <c r="H360" s="402">
        <f t="shared" si="23"/>
        <v>7546.1399999999994</v>
      </c>
      <c r="I360" s="402">
        <f t="shared" si="24"/>
        <v>109002.6</v>
      </c>
    </row>
    <row r="361" spans="2:9" hidden="1">
      <c r="B361" s="156">
        <v>45043</v>
      </c>
      <c r="C361" s="255" t="s">
        <v>859</v>
      </c>
      <c r="D361" s="402">
        <f t="shared" si="21"/>
        <v>121023.06300000001</v>
      </c>
      <c r="E361" s="376">
        <v>805.21</v>
      </c>
      <c r="F361" s="402">
        <v>150.30000000000001</v>
      </c>
      <c r="G361" s="401">
        <f t="shared" si="22"/>
        <v>865.1</v>
      </c>
      <c r="H361" s="402">
        <f t="shared" si="23"/>
        <v>9001.4670000000042</v>
      </c>
      <c r="I361" s="402">
        <f t="shared" si="24"/>
        <v>130024.53000000001</v>
      </c>
    </row>
    <row r="362" spans="2:9" hidden="1">
      <c r="B362" s="156">
        <v>45043</v>
      </c>
      <c r="C362" s="255" t="s">
        <v>860</v>
      </c>
      <c r="D362" s="402">
        <f t="shared" si="21"/>
        <v>101456.46</v>
      </c>
      <c r="E362" s="376">
        <v>805.21</v>
      </c>
      <c r="F362" s="402">
        <v>126</v>
      </c>
      <c r="G362" s="401">
        <f t="shared" si="22"/>
        <v>865.1</v>
      </c>
      <c r="H362" s="402">
        <f t="shared" si="23"/>
        <v>7546.1399999999994</v>
      </c>
      <c r="I362" s="402">
        <f t="shared" si="24"/>
        <v>109002.6</v>
      </c>
    </row>
    <row r="363" spans="2:9" hidden="1">
      <c r="B363" s="156">
        <v>45043</v>
      </c>
      <c r="C363" s="255" t="s">
        <v>861</v>
      </c>
      <c r="D363" s="402">
        <f t="shared" si="21"/>
        <v>121023.06300000001</v>
      </c>
      <c r="E363" s="376">
        <v>805.21</v>
      </c>
      <c r="F363" s="402">
        <v>150.30000000000001</v>
      </c>
      <c r="G363" s="401">
        <f t="shared" si="22"/>
        <v>865.1</v>
      </c>
      <c r="H363" s="402">
        <f t="shared" si="23"/>
        <v>9001.4670000000042</v>
      </c>
      <c r="I363" s="402">
        <f t="shared" si="24"/>
        <v>130024.53000000001</v>
      </c>
    </row>
    <row r="364" spans="2:9" hidden="1">
      <c r="B364" s="156">
        <v>45043</v>
      </c>
      <c r="C364" s="255" t="s">
        <v>862</v>
      </c>
      <c r="D364" s="402">
        <f t="shared" si="21"/>
        <v>1064471.5158000002</v>
      </c>
      <c r="E364" s="376">
        <v>805.21</v>
      </c>
      <c r="F364" s="402">
        <v>1321.98</v>
      </c>
      <c r="G364" s="401">
        <f t="shared" si="22"/>
        <v>865.1</v>
      </c>
      <c r="H364" s="402">
        <f t="shared" si="23"/>
        <v>79173.382199999876</v>
      </c>
      <c r="I364" s="402">
        <f t="shared" si="24"/>
        <v>1143644.898</v>
      </c>
    </row>
    <row r="365" spans="2:9" hidden="1">
      <c r="B365" s="156">
        <v>45043</v>
      </c>
      <c r="C365" s="255" t="s">
        <v>863</v>
      </c>
      <c r="D365" s="402">
        <f t="shared" si="21"/>
        <v>101456.46</v>
      </c>
      <c r="E365" s="376">
        <v>805.21</v>
      </c>
      <c r="F365" s="402">
        <v>126</v>
      </c>
      <c r="G365" s="401">
        <f t="shared" si="22"/>
        <v>865.1</v>
      </c>
      <c r="H365" s="402">
        <f t="shared" si="23"/>
        <v>7546.1399999999994</v>
      </c>
      <c r="I365" s="402">
        <f t="shared" si="24"/>
        <v>109002.6</v>
      </c>
    </row>
    <row r="366" spans="2:9" hidden="1">
      <c r="B366" s="156">
        <v>45043</v>
      </c>
      <c r="C366" s="255" t="s">
        <v>864</v>
      </c>
      <c r="D366" s="402">
        <f t="shared" si="21"/>
        <v>101456.46</v>
      </c>
      <c r="E366" s="376">
        <v>805.21</v>
      </c>
      <c r="F366" s="402">
        <v>126</v>
      </c>
      <c r="G366" s="401">
        <f t="shared" si="22"/>
        <v>865.1</v>
      </c>
      <c r="H366" s="402">
        <f t="shared" si="23"/>
        <v>7546.1399999999994</v>
      </c>
      <c r="I366" s="402">
        <f t="shared" si="24"/>
        <v>109002.6</v>
      </c>
    </row>
    <row r="367" spans="2:9" hidden="1">
      <c r="B367" s="156">
        <v>45043</v>
      </c>
      <c r="C367" s="255" t="s">
        <v>865</v>
      </c>
      <c r="D367" s="402">
        <f t="shared" si="21"/>
        <v>135661.78080000001</v>
      </c>
      <c r="E367" s="376">
        <v>805.21</v>
      </c>
      <c r="F367" s="402">
        <v>168.48</v>
      </c>
      <c r="G367" s="401">
        <f t="shared" si="22"/>
        <v>865.1</v>
      </c>
      <c r="H367" s="402">
        <f t="shared" si="23"/>
        <v>10090.267199999973</v>
      </c>
      <c r="I367" s="402">
        <f t="shared" si="24"/>
        <v>145752.04799999998</v>
      </c>
    </row>
    <row r="368" spans="2:9" hidden="1">
      <c r="B368" s="156">
        <v>45043</v>
      </c>
      <c r="C368" s="255" t="s">
        <v>866</v>
      </c>
      <c r="D368" s="402">
        <f t="shared" si="21"/>
        <v>101456.46</v>
      </c>
      <c r="E368" s="376">
        <v>805.21</v>
      </c>
      <c r="F368" s="402">
        <v>126</v>
      </c>
      <c r="G368" s="401">
        <f t="shared" si="22"/>
        <v>865.1</v>
      </c>
      <c r="H368" s="402">
        <f t="shared" si="23"/>
        <v>7546.1399999999994</v>
      </c>
      <c r="I368" s="402">
        <f t="shared" si="24"/>
        <v>109002.6</v>
      </c>
    </row>
    <row r="369" spans="2:9" hidden="1">
      <c r="B369" s="156">
        <v>45043</v>
      </c>
      <c r="C369" s="255" t="s">
        <v>867</v>
      </c>
      <c r="D369" s="402">
        <f t="shared" si="21"/>
        <v>130782.20819999999</v>
      </c>
      <c r="E369" s="376">
        <v>805.21</v>
      </c>
      <c r="F369" s="402">
        <v>162.41999999999999</v>
      </c>
      <c r="G369" s="401">
        <f t="shared" si="22"/>
        <v>865.1</v>
      </c>
      <c r="H369" s="402">
        <f t="shared" si="23"/>
        <v>9727.3337999999931</v>
      </c>
      <c r="I369" s="402">
        <f t="shared" si="24"/>
        <v>140509.54199999999</v>
      </c>
    </row>
    <row r="370" spans="2:9" hidden="1">
      <c r="B370" s="156">
        <v>45043</v>
      </c>
      <c r="C370" s="255" t="s">
        <v>868</v>
      </c>
      <c r="D370" s="402">
        <f t="shared" si="21"/>
        <v>121023.06300000001</v>
      </c>
      <c r="E370" s="376">
        <v>805.21</v>
      </c>
      <c r="F370" s="402">
        <v>150.30000000000001</v>
      </c>
      <c r="G370" s="401">
        <f t="shared" si="22"/>
        <v>865.1</v>
      </c>
      <c r="H370" s="402">
        <f t="shared" si="23"/>
        <v>9001.4670000000042</v>
      </c>
      <c r="I370" s="402">
        <f t="shared" si="24"/>
        <v>130024.53000000001</v>
      </c>
    </row>
    <row r="371" spans="2:9" hidden="1">
      <c r="B371" s="156">
        <v>45043</v>
      </c>
      <c r="C371" s="255" t="s">
        <v>869</v>
      </c>
      <c r="D371" s="402">
        <f t="shared" si="21"/>
        <v>111215.60520000001</v>
      </c>
      <c r="E371" s="376">
        <v>805.21</v>
      </c>
      <c r="F371" s="402">
        <v>138.12</v>
      </c>
      <c r="G371" s="401">
        <f t="shared" si="22"/>
        <v>865.1</v>
      </c>
      <c r="H371" s="402">
        <f t="shared" si="23"/>
        <v>8272.0068000000028</v>
      </c>
      <c r="I371" s="402">
        <f t="shared" si="24"/>
        <v>119487.61200000001</v>
      </c>
    </row>
    <row r="372" spans="2:9" hidden="1">
      <c r="B372" s="156">
        <v>45043</v>
      </c>
      <c r="C372" s="255" t="s">
        <v>870</v>
      </c>
      <c r="D372" s="402">
        <f t="shared" si="21"/>
        <v>130782.20819999999</v>
      </c>
      <c r="E372" s="376">
        <v>805.21</v>
      </c>
      <c r="F372" s="402">
        <v>162.41999999999999</v>
      </c>
      <c r="G372" s="401">
        <f t="shared" si="22"/>
        <v>865.1</v>
      </c>
      <c r="H372" s="402">
        <f t="shared" si="23"/>
        <v>9727.3337999999931</v>
      </c>
      <c r="I372" s="402">
        <f t="shared" si="24"/>
        <v>140509.54199999999</v>
      </c>
    </row>
    <row r="373" spans="2:9" hidden="1">
      <c r="B373" s="156">
        <v>45043</v>
      </c>
      <c r="C373" s="255" t="s">
        <v>871</v>
      </c>
      <c r="D373" s="402">
        <f t="shared" si="21"/>
        <v>101456.46</v>
      </c>
      <c r="E373" s="376">
        <v>805.21</v>
      </c>
      <c r="F373" s="402">
        <v>126</v>
      </c>
      <c r="G373" s="401">
        <f t="shared" si="22"/>
        <v>865.1</v>
      </c>
      <c r="H373" s="402">
        <f t="shared" si="23"/>
        <v>7546.1399999999994</v>
      </c>
      <c r="I373" s="402">
        <f t="shared" si="24"/>
        <v>109002.6</v>
      </c>
    </row>
    <row r="374" spans="2:9" hidden="1">
      <c r="B374" s="156">
        <v>45043</v>
      </c>
      <c r="C374" s="255" t="s">
        <v>872</v>
      </c>
      <c r="D374" s="402">
        <f t="shared" si="21"/>
        <v>130782.20819999999</v>
      </c>
      <c r="E374" s="376">
        <v>805.21</v>
      </c>
      <c r="F374" s="402">
        <v>162.41999999999999</v>
      </c>
      <c r="G374" s="401">
        <f t="shared" si="22"/>
        <v>865.1</v>
      </c>
      <c r="H374" s="402">
        <f t="shared" si="23"/>
        <v>9727.3337999999931</v>
      </c>
      <c r="I374" s="402">
        <f t="shared" si="24"/>
        <v>140509.54199999999</v>
      </c>
    </row>
    <row r="375" spans="2:9" hidden="1">
      <c r="B375" s="156">
        <v>45043</v>
      </c>
      <c r="C375" s="255" t="s">
        <v>873</v>
      </c>
      <c r="D375" s="402">
        <f t="shared" si="21"/>
        <v>135661.78080000001</v>
      </c>
      <c r="E375" s="376">
        <v>805.21</v>
      </c>
      <c r="F375" s="402">
        <v>168.48</v>
      </c>
      <c r="G375" s="401">
        <f t="shared" si="22"/>
        <v>865.1</v>
      </c>
      <c r="H375" s="402">
        <f t="shared" si="23"/>
        <v>10090.267199999973</v>
      </c>
      <c r="I375" s="402">
        <f t="shared" si="24"/>
        <v>145752.04799999998</v>
      </c>
    </row>
    <row r="376" spans="2:9" hidden="1">
      <c r="B376" s="156">
        <v>45043</v>
      </c>
      <c r="C376" s="255" t="s">
        <v>874</v>
      </c>
      <c r="D376" s="402">
        <f t="shared" si="21"/>
        <v>135661.78080000001</v>
      </c>
      <c r="E376" s="376">
        <v>805.21</v>
      </c>
      <c r="F376" s="402">
        <v>168.48</v>
      </c>
      <c r="G376" s="401">
        <f t="shared" si="22"/>
        <v>865.1</v>
      </c>
      <c r="H376" s="402">
        <f t="shared" si="23"/>
        <v>10090.267199999973</v>
      </c>
      <c r="I376" s="402">
        <f t="shared" si="24"/>
        <v>145752.04799999998</v>
      </c>
    </row>
    <row r="377" spans="2:9" hidden="1">
      <c r="B377" s="156">
        <v>45043</v>
      </c>
      <c r="C377" s="255" t="s">
        <v>875</v>
      </c>
      <c r="D377" s="402">
        <f t="shared" si="21"/>
        <v>111215.60520000001</v>
      </c>
      <c r="E377" s="376">
        <v>805.21</v>
      </c>
      <c r="F377" s="402">
        <v>138.12</v>
      </c>
      <c r="G377" s="401">
        <f t="shared" si="22"/>
        <v>865.1</v>
      </c>
      <c r="H377" s="402">
        <f t="shared" si="23"/>
        <v>8272.0068000000028</v>
      </c>
      <c r="I377" s="402">
        <f t="shared" si="24"/>
        <v>119487.61200000001</v>
      </c>
    </row>
    <row r="378" spans="2:9" hidden="1">
      <c r="B378" s="156">
        <v>45043</v>
      </c>
      <c r="C378" s="255" t="s">
        <v>876</v>
      </c>
      <c r="D378" s="402">
        <f t="shared" si="21"/>
        <v>101456.46</v>
      </c>
      <c r="E378" s="376">
        <v>805.21</v>
      </c>
      <c r="F378" s="402">
        <v>126</v>
      </c>
      <c r="G378" s="401">
        <f t="shared" si="22"/>
        <v>865.1</v>
      </c>
      <c r="H378" s="402">
        <f t="shared" si="23"/>
        <v>7546.1399999999994</v>
      </c>
      <c r="I378" s="402">
        <f t="shared" si="24"/>
        <v>109002.6</v>
      </c>
    </row>
    <row r="379" spans="2:9" hidden="1">
      <c r="B379" s="156">
        <v>45043</v>
      </c>
      <c r="C379" s="255" t="s">
        <v>877</v>
      </c>
      <c r="D379" s="402">
        <f t="shared" si="21"/>
        <v>135661.78080000001</v>
      </c>
      <c r="E379" s="376">
        <v>805.21</v>
      </c>
      <c r="F379" s="402">
        <v>168.48</v>
      </c>
      <c r="G379" s="401">
        <f t="shared" si="22"/>
        <v>865.1</v>
      </c>
      <c r="H379" s="402">
        <f t="shared" si="23"/>
        <v>10090.267199999973</v>
      </c>
      <c r="I379" s="402">
        <f t="shared" si="24"/>
        <v>145752.04799999998</v>
      </c>
    </row>
    <row r="380" spans="2:9" hidden="1">
      <c r="B380" s="156">
        <v>45043</v>
      </c>
      <c r="C380" s="255" t="s">
        <v>878</v>
      </c>
      <c r="D380" s="402">
        <f t="shared" si="21"/>
        <v>101456.46</v>
      </c>
      <c r="E380" s="376">
        <v>805.21</v>
      </c>
      <c r="F380" s="402">
        <v>126</v>
      </c>
      <c r="G380" s="401">
        <f t="shared" si="22"/>
        <v>865.1</v>
      </c>
      <c r="H380" s="402">
        <f t="shared" si="23"/>
        <v>7546.1399999999994</v>
      </c>
      <c r="I380" s="402">
        <f t="shared" si="24"/>
        <v>109002.6</v>
      </c>
    </row>
    <row r="381" spans="2:9" hidden="1">
      <c r="B381" s="156">
        <v>45043</v>
      </c>
      <c r="C381" s="255" t="s">
        <v>879</v>
      </c>
      <c r="D381" s="402">
        <f t="shared" si="21"/>
        <v>101456.46</v>
      </c>
      <c r="E381" s="376">
        <v>805.21</v>
      </c>
      <c r="F381" s="402">
        <v>126</v>
      </c>
      <c r="G381" s="401">
        <f t="shared" si="22"/>
        <v>865.1</v>
      </c>
      <c r="H381" s="402">
        <f t="shared" si="23"/>
        <v>7546.1399999999994</v>
      </c>
      <c r="I381" s="402">
        <f t="shared" si="24"/>
        <v>109002.6</v>
      </c>
    </row>
    <row r="382" spans="2:9" hidden="1">
      <c r="B382" s="156">
        <v>45043</v>
      </c>
      <c r="C382" s="255" t="s">
        <v>880</v>
      </c>
      <c r="D382" s="402">
        <f t="shared" si="21"/>
        <v>101456.46</v>
      </c>
      <c r="E382" s="376">
        <v>805.21</v>
      </c>
      <c r="F382" s="402">
        <v>126</v>
      </c>
      <c r="G382" s="401">
        <f t="shared" si="22"/>
        <v>865.1</v>
      </c>
      <c r="H382" s="402">
        <f t="shared" si="23"/>
        <v>7546.1399999999994</v>
      </c>
      <c r="I382" s="402">
        <f t="shared" si="24"/>
        <v>109002.6</v>
      </c>
    </row>
    <row r="383" spans="2:9" hidden="1">
      <c r="B383" s="156">
        <v>45043</v>
      </c>
      <c r="C383" s="255" t="s">
        <v>881</v>
      </c>
      <c r="D383" s="402">
        <f t="shared" si="21"/>
        <v>121023.06300000001</v>
      </c>
      <c r="E383" s="376">
        <v>805.21</v>
      </c>
      <c r="F383" s="402">
        <v>150.30000000000001</v>
      </c>
      <c r="G383" s="401">
        <f t="shared" si="22"/>
        <v>865.1</v>
      </c>
      <c r="H383" s="402">
        <f t="shared" si="23"/>
        <v>9001.4670000000042</v>
      </c>
      <c r="I383" s="402">
        <f t="shared" si="24"/>
        <v>130024.53000000001</v>
      </c>
    </row>
    <row r="384" spans="2:9" hidden="1">
      <c r="B384" s="156">
        <v>45043</v>
      </c>
      <c r="C384" s="255" t="s">
        <v>882</v>
      </c>
      <c r="D384" s="402">
        <f t="shared" si="21"/>
        <v>121023.06300000001</v>
      </c>
      <c r="E384" s="376">
        <v>805.21</v>
      </c>
      <c r="F384" s="402">
        <v>150.30000000000001</v>
      </c>
      <c r="G384" s="401">
        <f t="shared" si="22"/>
        <v>865.1</v>
      </c>
      <c r="H384" s="402">
        <f t="shared" si="23"/>
        <v>9001.4670000000042</v>
      </c>
      <c r="I384" s="402">
        <f t="shared" si="24"/>
        <v>130024.53000000001</v>
      </c>
    </row>
    <row r="385" spans="2:9" hidden="1">
      <c r="B385" s="156">
        <v>45043</v>
      </c>
      <c r="C385" s="255" t="s">
        <v>883</v>
      </c>
      <c r="D385" s="402">
        <f t="shared" si="21"/>
        <v>121023.06300000001</v>
      </c>
      <c r="E385" s="376">
        <v>805.21</v>
      </c>
      <c r="F385" s="402">
        <v>150.30000000000001</v>
      </c>
      <c r="G385" s="401">
        <f t="shared" si="22"/>
        <v>865.1</v>
      </c>
      <c r="H385" s="402">
        <f t="shared" si="23"/>
        <v>9001.4670000000042</v>
      </c>
      <c r="I385" s="402">
        <f t="shared" si="24"/>
        <v>130024.53000000001</v>
      </c>
    </row>
    <row r="386" spans="2:9" hidden="1">
      <c r="B386" s="156">
        <v>45043</v>
      </c>
      <c r="C386" s="255" t="s">
        <v>884</v>
      </c>
      <c r="D386" s="402">
        <f t="shared" si="21"/>
        <v>121023.06300000001</v>
      </c>
      <c r="E386" s="376">
        <v>805.21</v>
      </c>
      <c r="F386" s="402">
        <v>150.30000000000001</v>
      </c>
      <c r="G386" s="401">
        <f t="shared" si="22"/>
        <v>865.1</v>
      </c>
      <c r="H386" s="402">
        <f t="shared" si="23"/>
        <v>9001.4670000000042</v>
      </c>
      <c r="I386" s="402">
        <f t="shared" si="24"/>
        <v>130024.53000000001</v>
      </c>
    </row>
    <row r="387" spans="2:9" hidden="1">
      <c r="B387" s="156">
        <v>45043</v>
      </c>
      <c r="C387" s="255" t="s">
        <v>885</v>
      </c>
      <c r="D387" s="402">
        <f t="shared" si="21"/>
        <v>121023.06300000001</v>
      </c>
      <c r="E387" s="376">
        <v>805.21</v>
      </c>
      <c r="F387" s="402">
        <v>150.30000000000001</v>
      </c>
      <c r="G387" s="401">
        <f t="shared" si="22"/>
        <v>865.1</v>
      </c>
      <c r="H387" s="402">
        <f t="shared" si="23"/>
        <v>9001.4670000000042</v>
      </c>
      <c r="I387" s="402">
        <f t="shared" si="24"/>
        <v>130024.53000000001</v>
      </c>
    </row>
    <row r="388" spans="2:9" hidden="1">
      <c r="B388" s="156">
        <v>45043</v>
      </c>
      <c r="C388" s="255" t="s">
        <v>886</v>
      </c>
      <c r="D388" s="402">
        <f t="shared" ref="D388:D451" si="25">F388*E388</f>
        <v>130782.20819999999</v>
      </c>
      <c r="E388" s="376">
        <v>805.21</v>
      </c>
      <c r="F388" s="402">
        <v>162.41999999999999</v>
      </c>
      <c r="G388" s="401">
        <f t="shared" si="22"/>
        <v>865.1</v>
      </c>
      <c r="H388" s="402">
        <f t="shared" si="23"/>
        <v>9727.3337999999931</v>
      </c>
      <c r="I388" s="402">
        <f t="shared" si="24"/>
        <v>140509.54199999999</v>
      </c>
    </row>
    <row r="389" spans="2:9" hidden="1">
      <c r="B389" s="156">
        <v>45043</v>
      </c>
      <c r="C389" s="255" t="s">
        <v>887</v>
      </c>
      <c r="D389" s="402">
        <f t="shared" si="25"/>
        <v>2811793.3200000003</v>
      </c>
      <c r="E389" s="376">
        <v>805.21</v>
      </c>
      <c r="F389" s="402">
        <v>3492</v>
      </c>
      <c r="G389" s="401">
        <f t="shared" ref="G389:G452" si="26">+G284</f>
        <v>865.1</v>
      </c>
      <c r="H389" s="402">
        <f t="shared" si="23"/>
        <v>209135.87999999989</v>
      </c>
      <c r="I389" s="402">
        <f t="shared" si="24"/>
        <v>3020929.2</v>
      </c>
    </row>
    <row r="390" spans="2:9" hidden="1">
      <c r="B390" s="156">
        <v>45043</v>
      </c>
      <c r="C390" s="255" t="s">
        <v>888</v>
      </c>
      <c r="D390" s="402">
        <f t="shared" si="25"/>
        <v>101456.46</v>
      </c>
      <c r="E390" s="376">
        <v>805.21</v>
      </c>
      <c r="F390" s="402">
        <v>126</v>
      </c>
      <c r="G390" s="401">
        <f t="shared" si="26"/>
        <v>865.1</v>
      </c>
      <c r="H390" s="402">
        <f t="shared" si="23"/>
        <v>7546.1399999999994</v>
      </c>
      <c r="I390" s="402">
        <f t="shared" si="24"/>
        <v>109002.6</v>
      </c>
    </row>
    <row r="391" spans="2:9" hidden="1">
      <c r="B391" s="156">
        <v>45043</v>
      </c>
      <c r="C391" s="255" t="s">
        <v>889</v>
      </c>
      <c r="D391" s="402">
        <f t="shared" si="25"/>
        <v>135661.78080000001</v>
      </c>
      <c r="E391" s="376">
        <v>805.21</v>
      </c>
      <c r="F391" s="402">
        <v>168.48</v>
      </c>
      <c r="G391" s="401">
        <f t="shared" si="26"/>
        <v>865.1</v>
      </c>
      <c r="H391" s="402">
        <f t="shared" ref="H391:H454" si="27">+I391-D391</f>
        <v>10090.267199999973</v>
      </c>
      <c r="I391" s="402">
        <f t="shared" ref="I391:I454" si="28">+F391*G391</f>
        <v>145752.04799999998</v>
      </c>
    </row>
    <row r="392" spans="2:9" hidden="1">
      <c r="B392" s="156">
        <v>45043</v>
      </c>
      <c r="C392" s="255" t="s">
        <v>890</v>
      </c>
      <c r="D392" s="402">
        <f t="shared" si="25"/>
        <v>135661.78080000001</v>
      </c>
      <c r="E392" s="376">
        <v>805.21</v>
      </c>
      <c r="F392" s="402">
        <v>168.48</v>
      </c>
      <c r="G392" s="401">
        <f t="shared" si="26"/>
        <v>865.1</v>
      </c>
      <c r="H392" s="402">
        <f t="shared" si="27"/>
        <v>10090.267199999973</v>
      </c>
      <c r="I392" s="402">
        <f t="shared" si="28"/>
        <v>145752.04799999998</v>
      </c>
    </row>
    <row r="393" spans="2:9" hidden="1">
      <c r="B393" s="156">
        <v>45043</v>
      </c>
      <c r="C393" s="255" t="s">
        <v>891</v>
      </c>
      <c r="D393" s="402">
        <f t="shared" si="25"/>
        <v>121023.06300000001</v>
      </c>
      <c r="E393" s="376">
        <v>805.21</v>
      </c>
      <c r="F393" s="402">
        <v>150.30000000000001</v>
      </c>
      <c r="G393" s="401">
        <f t="shared" si="26"/>
        <v>865.1</v>
      </c>
      <c r="H393" s="402">
        <f t="shared" si="27"/>
        <v>9001.4670000000042</v>
      </c>
      <c r="I393" s="402">
        <f t="shared" si="28"/>
        <v>130024.53000000001</v>
      </c>
    </row>
    <row r="394" spans="2:9" hidden="1">
      <c r="B394" s="156">
        <v>45043</v>
      </c>
      <c r="C394" s="255" t="s">
        <v>892</v>
      </c>
      <c r="D394" s="402">
        <f t="shared" si="25"/>
        <v>101456.46</v>
      </c>
      <c r="E394" s="376">
        <v>805.21</v>
      </c>
      <c r="F394" s="402">
        <v>126</v>
      </c>
      <c r="G394" s="401">
        <f t="shared" si="26"/>
        <v>865.1</v>
      </c>
      <c r="H394" s="402">
        <f t="shared" si="27"/>
        <v>7546.1399999999994</v>
      </c>
      <c r="I394" s="402">
        <f t="shared" si="28"/>
        <v>109002.6</v>
      </c>
    </row>
    <row r="395" spans="2:9" hidden="1">
      <c r="B395" s="156">
        <v>45043</v>
      </c>
      <c r="C395" s="255" t="s">
        <v>893</v>
      </c>
      <c r="D395" s="402">
        <f t="shared" si="25"/>
        <v>101456.46</v>
      </c>
      <c r="E395" s="376">
        <v>805.21</v>
      </c>
      <c r="F395" s="402">
        <v>126</v>
      </c>
      <c r="G395" s="401">
        <f t="shared" si="26"/>
        <v>865.1</v>
      </c>
      <c r="H395" s="402">
        <f t="shared" si="27"/>
        <v>7546.1399999999994</v>
      </c>
      <c r="I395" s="402">
        <f t="shared" si="28"/>
        <v>109002.6</v>
      </c>
    </row>
    <row r="396" spans="2:9" hidden="1">
      <c r="B396" s="156">
        <v>45043</v>
      </c>
      <c r="C396" s="255" t="s">
        <v>894</v>
      </c>
      <c r="D396" s="402">
        <f t="shared" si="25"/>
        <v>121023.06300000001</v>
      </c>
      <c r="E396" s="376">
        <v>805.21</v>
      </c>
      <c r="F396" s="402">
        <v>150.30000000000001</v>
      </c>
      <c r="G396" s="401">
        <f t="shared" si="26"/>
        <v>865.1</v>
      </c>
      <c r="H396" s="402">
        <f t="shared" si="27"/>
        <v>9001.4670000000042</v>
      </c>
      <c r="I396" s="402">
        <f t="shared" si="28"/>
        <v>130024.53000000001</v>
      </c>
    </row>
    <row r="397" spans="2:9" hidden="1">
      <c r="B397" s="156">
        <v>45043</v>
      </c>
      <c r="C397" s="255" t="s">
        <v>895</v>
      </c>
      <c r="D397" s="402">
        <f t="shared" si="25"/>
        <v>135661.78080000001</v>
      </c>
      <c r="E397" s="376">
        <v>805.21</v>
      </c>
      <c r="F397" s="402">
        <v>168.48</v>
      </c>
      <c r="G397" s="401">
        <f t="shared" si="26"/>
        <v>865.1</v>
      </c>
      <c r="H397" s="402">
        <f t="shared" si="27"/>
        <v>10090.267199999973</v>
      </c>
      <c r="I397" s="402">
        <f t="shared" si="28"/>
        <v>145752.04799999998</v>
      </c>
    </row>
    <row r="398" spans="2:9" hidden="1">
      <c r="B398" s="156">
        <v>45043</v>
      </c>
      <c r="C398" s="255" t="s">
        <v>896</v>
      </c>
      <c r="D398" s="402">
        <f t="shared" si="25"/>
        <v>121023.06300000001</v>
      </c>
      <c r="E398" s="376">
        <v>805.21</v>
      </c>
      <c r="F398" s="402">
        <v>150.30000000000001</v>
      </c>
      <c r="G398" s="401">
        <f t="shared" si="26"/>
        <v>865.1</v>
      </c>
      <c r="H398" s="402">
        <f t="shared" si="27"/>
        <v>9001.4670000000042</v>
      </c>
      <c r="I398" s="402">
        <f t="shared" si="28"/>
        <v>130024.53000000001</v>
      </c>
    </row>
    <row r="399" spans="2:9" hidden="1">
      <c r="B399" s="156">
        <v>45043</v>
      </c>
      <c r="C399" s="255" t="s">
        <v>897</v>
      </c>
      <c r="D399" s="402">
        <f t="shared" si="25"/>
        <v>101456.46</v>
      </c>
      <c r="E399" s="376">
        <v>805.21</v>
      </c>
      <c r="F399" s="402">
        <v>126</v>
      </c>
      <c r="G399" s="401">
        <f t="shared" si="26"/>
        <v>865.1</v>
      </c>
      <c r="H399" s="402">
        <f t="shared" si="27"/>
        <v>7546.1399999999994</v>
      </c>
      <c r="I399" s="402">
        <f t="shared" si="28"/>
        <v>109002.6</v>
      </c>
    </row>
    <row r="400" spans="2:9" hidden="1">
      <c r="B400" s="156">
        <v>45043</v>
      </c>
      <c r="C400" s="255" t="s">
        <v>898</v>
      </c>
      <c r="D400" s="402">
        <f t="shared" si="25"/>
        <v>101456.46</v>
      </c>
      <c r="E400" s="376">
        <v>805.21</v>
      </c>
      <c r="F400" s="402">
        <v>126</v>
      </c>
      <c r="G400" s="401">
        <f t="shared" si="26"/>
        <v>865.1</v>
      </c>
      <c r="H400" s="402">
        <f t="shared" si="27"/>
        <v>7546.1399999999994</v>
      </c>
      <c r="I400" s="402">
        <f t="shared" si="28"/>
        <v>109002.6</v>
      </c>
    </row>
    <row r="401" spans="2:9" hidden="1">
      <c r="B401" s="156">
        <v>45043</v>
      </c>
      <c r="C401" s="255" t="s">
        <v>899</v>
      </c>
      <c r="D401" s="402">
        <f t="shared" si="25"/>
        <v>101456.46</v>
      </c>
      <c r="E401" s="376">
        <v>805.21</v>
      </c>
      <c r="F401" s="402">
        <v>126</v>
      </c>
      <c r="G401" s="401">
        <f t="shared" si="26"/>
        <v>865.1</v>
      </c>
      <c r="H401" s="402">
        <f t="shared" si="27"/>
        <v>7546.1399999999994</v>
      </c>
      <c r="I401" s="402">
        <f t="shared" si="28"/>
        <v>109002.6</v>
      </c>
    </row>
    <row r="402" spans="2:9" hidden="1">
      <c r="B402" s="156">
        <v>45043</v>
      </c>
      <c r="C402" s="255" t="s">
        <v>900</v>
      </c>
      <c r="D402" s="402">
        <f t="shared" si="25"/>
        <v>101456.46</v>
      </c>
      <c r="E402" s="376">
        <v>805.21</v>
      </c>
      <c r="F402" s="402">
        <v>126</v>
      </c>
      <c r="G402" s="401">
        <f t="shared" si="26"/>
        <v>865.1</v>
      </c>
      <c r="H402" s="402">
        <f t="shared" si="27"/>
        <v>7546.1399999999994</v>
      </c>
      <c r="I402" s="402">
        <f t="shared" si="28"/>
        <v>109002.6</v>
      </c>
    </row>
    <row r="403" spans="2:9" hidden="1">
      <c r="B403" s="156">
        <v>45043</v>
      </c>
      <c r="C403" s="255" t="s">
        <v>901</v>
      </c>
      <c r="D403" s="402">
        <f t="shared" si="25"/>
        <v>121023.06300000001</v>
      </c>
      <c r="E403" s="376">
        <v>805.21</v>
      </c>
      <c r="F403" s="402">
        <v>150.30000000000001</v>
      </c>
      <c r="G403" s="401">
        <f t="shared" si="26"/>
        <v>865.1</v>
      </c>
      <c r="H403" s="402">
        <f t="shared" si="27"/>
        <v>9001.4670000000042</v>
      </c>
      <c r="I403" s="402">
        <f t="shared" si="28"/>
        <v>130024.53000000001</v>
      </c>
    </row>
    <row r="404" spans="2:9" hidden="1">
      <c r="B404" s="156">
        <v>45043</v>
      </c>
      <c r="C404" s="255" t="s">
        <v>902</v>
      </c>
      <c r="D404" s="402">
        <f t="shared" si="25"/>
        <v>111215.60520000001</v>
      </c>
      <c r="E404" s="376">
        <v>805.21</v>
      </c>
      <c r="F404" s="402">
        <v>138.12</v>
      </c>
      <c r="G404" s="401">
        <f t="shared" si="26"/>
        <v>865.1</v>
      </c>
      <c r="H404" s="402">
        <f t="shared" si="27"/>
        <v>8272.0068000000028</v>
      </c>
      <c r="I404" s="402">
        <f t="shared" si="28"/>
        <v>119487.61200000001</v>
      </c>
    </row>
    <row r="405" spans="2:9" hidden="1">
      <c r="B405" s="156">
        <v>45043</v>
      </c>
      <c r="C405" s="255" t="s">
        <v>903</v>
      </c>
      <c r="D405" s="402">
        <f t="shared" si="25"/>
        <v>101456.46</v>
      </c>
      <c r="E405" s="376">
        <v>805.21</v>
      </c>
      <c r="F405" s="402">
        <v>126</v>
      </c>
      <c r="G405" s="401">
        <f t="shared" si="26"/>
        <v>865.1</v>
      </c>
      <c r="H405" s="402">
        <f t="shared" si="27"/>
        <v>7546.1399999999994</v>
      </c>
      <c r="I405" s="402">
        <f t="shared" si="28"/>
        <v>109002.6</v>
      </c>
    </row>
    <row r="406" spans="2:9" hidden="1">
      <c r="B406" s="156">
        <v>45043</v>
      </c>
      <c r="C406" s="255" t="s">
        <v>904</v>
      </c>
      <c r="D406" s="402">
        <f t="shared" si="25"/>
        <v>101456.46</v>
      </c>
      <c r="E406" s="376">
        <v>805.21</v>
      </c>
      <c r="F406" s="402">
        <v>126</v>
      </c>
      <c r="G406" s="401">
        <f t="shared" si="26"/>
        <v>865.1</v>
      </c>
      <c r="H406" s="402">
        <f t="shared" si="27"/>
        <v>7546.1399999999994</v>
      </c>
      <c r="I406" s="402">
        <f t="shared" si="28"/>
        <v>109002.6</v>
      </c>
    </row>
    <row r="407" spans="2:9" hidden="1">
      <c r="B407" s="156">
        <v>45043</v>
      </c>
      <c r="C407" s="255" t="s">
        <v>905</v>
      </c>
      <c r="D407" s="402">
        <f t="shared" si="25"/>
        <v>121023.06300000001</v>
      </c>
      <c r="E407" s="376">
        <v>805.21</v>
      </c>
      <c r="F407" s="402">
        <v>150.30000000000001</v>
      </c>
      <c r="G407" s="401">
        <f t="shared" si="26"/>
        <v>865.1</v>
      </c>
      <c r="H407" s="402">
        <f t="shared" si="27"/>
        <v>9001.4670000000042</v>
      </c>
      <c r="I407" s="402">
        <f t="shared" si="28"/>
        <v>130024.53000000001</v>
      </c>
    </row>
    <row r="408" spans="2:9" hidden="1">
      <c r="B408" s="156">
        <v>45043</v>
      </c>
      <c r="C408" s="255" t="s">
        <v>906</v>
      </c>
      <c r="D408" s="402">
        <f t="shared" si="25"/>
        <v>130782.20819999999</v>
      </c>
      <c r="E408" s="376">
        <v>805.21</v>
      </c>
      <c r="F408" s="402">
        <v>162.41999999999999</v>
      </c>
      <c r="G408" s="401">
        <f t="shared" si="26"/>
        <v>865.1</v>
      </c>
      <c r="H408" s="402">
        <f t="shared" si="27"/>
        <v>9727.3337999999931</v>
      </c>
      <c r="I408" s="402">
        <f t="shared" si="28"/>
        <v>140509.54199999999</v>
      </c>
    </row>
    <row r="409" spans="2:9" hidden="1">
      <c r="B409" s="156">
        <v>45043</v>
      </c>
      <c r="C409" s="255" t="s">
        <v>907</v>
      </c>
      <c r="D409" s="402">
        <f t="shared" si="25"/>
        <v>130782.20819999999</v>
      </c>
      <c r="E409" s="376">
        <v>805.21</v>
      </c>
      <c r="F409" s="402">
        <v>162.41999999999999</v>
      </c>
      <c r="G409" s="401">
        <f t="shared" si="26"/>
        <v>865.1</v>
      </c>
      <c r="H409" s="402">
        <f t="shared" si="27"/>
        <v>9727.3337999999931</v>
      </c>
      <c r="I409" s="402">
        <f t="shared" si="28"/>
        <v>140509.54199999999</v>
      </c>
    </row>
    <row r="410" spans="2:9" hidden="1">
      <c r="B410" s="156">
        <v>45043</v>
      </c>
      <c r="C410" s="255" t="s">
        <v>908</v>
      </c>
      <c r="D410" s="402">
        <f t="shared" si="25"/>
        <v>130782.20819999999</v>
      </c>
      <c r="E410" s="376">
        <v>805.21</v>
      </c>
      <c r="F410" s="402">
        <v>162.41999999999999</v>
      </c>
      <c r="G410" s="401">
        <f t="shared" si="26"/>
        <v>865.1</v>
      </c>
      <c r="H410" s="402">
        <f t="shared" si="27"/>
        <v>9727.3337999999931</v>
      </c>
      <c r="I410" s="402">
        <f t="shared" si="28"/>
        <v>140509.54199999999</v>
      </c>
    </row>
    <row r="411" spans="2:9" hidden="1">
      <c r="B411" s="156">
        <v>45043</v>
      </c>
      <c r="C411" s="255" t="s">
        <v>909</v>
      </c>
      <c r="D411" s="402">
        <f t="shared" si="25"/>
        <v>2790632.4012000002</v>
      </c>
      <c r="E411" s="376">
        <v>805.21</v>
      </c>
      <c r="F411" s="402">
        <v>3465.72</v>
      </c>
      <c r="G411" s="401">
        <f t="shared" si="26"/>
        <v>865.1</v>
      </c>
      <c r="H411" s="402">
        <f t="shared" si="27"/>
        <v>207561.97079999978</v>
      </c>
      <c r="I411" s="402">
        <f t="shared" si="28"/>
        <v>2998194.372</v>
      </c>
    </row>
    <row r="412" spans="2:9" hidden="1">
      <c r="B412" s="156">
        <v>45043</v>
      </c>
      <c r="C412" s="255" t="s">
        <v>910</v>
      </c>
      <c r="D412" s="402">
        <f t="shared" si="25"/>
        <v>121023.06300000001</v>
      </c>
      <c r="E412" s="376">
        <v>805.21</v>
      </c>
      <c r="F412" s="402">
        <v>150.30000000000001</v>
      </c>
      <c r="G412" s="401">
        <f t="shared" si="26"/>
        <v>865.1</v>
      </c>
      <c r="H412" s="402">
        <f t="shared" si="27"/>
        <v>9001.4670000000042</v>
      </c>
      <c r="I412" s="402">
        <f t="shared" si="28"/>
        <v>130024.53000000001</v>
      </c>
    </row>
    <row r="413" spans="2:9" hidden="1">
      <c r="B413" s="156">
        <v>45043</v>
      </c>
      <c r="C413" s="255" t="s">
        <v>911</v>
      </c>
      <c r="D413" s="402">
        <f t="shared" si="25"/>
        <v>101456.46</v>
      </c>
      <c r="E413" s="376">
        <v>805.21</v>
      </c>
      <c r="F413" s="402">
        <v>126</v>
      </c>
      <c r="G413" s="401">
        <f t="shared" si="26"/>
        <v>865.1</v>
      </c>
      <c r="H413" s="402">
        <f t="shared" si="27"/>
        <v>7546.1399999999994</v>
      </c>
      <c r="I413" s="402">
        <f t="shared" si="28"/>
        <v>109002.6</v>
      </c>
    </row>
    <row r="414" spans="2:9" hidden="1">
      <c r="B414" s="156">
        <v>45043</v>
      </c>
      <c r="C414" s="255" t="s">
        <v>912</v>
      </c>
      <c r="D414" s="402">
        <f t="shared" si="25"/>
        <v>101456.46</v>
      </c>
      <c r="E414" s="376">
        <v>805.21</v>
      </c>
      <c r="F414" s="402">
        <v>126</v>
      </c>
      <c r="G414" s="401">
        <f t="shared" si="26"/>
        <v>865.1</v>
      </c>
      <c r="H414" s="402">
        <f t="shared" si="27"/>
        <v>7546.1399999999994</v>
      </c>
      <c r="I414" s="402">
        <f t="shared" si="28"/>
        <v>109002.6</v>
      </c>
    </row>
    <row r="415" spans="2:9" hidden="1">
      <c r="B415" s="156">
        <v>45043</v>
      </c>
      <c r="C415" s="255" t="s">
        <v>913</v>
      </c>
      <c r="D415" s="402">
        <f t="shared" si="25"/>
        <v>121023.06300000001</v>
      </c>
      <c r="E415" s="376">
        <v>805.21</v>
      </c>
      <c r="F415" s="402">
        <v>150.30000000000001</v>
      </c>
      <c r="G415" s="401">
        <f t="shared" si="26"/>
        <v>865.1</v>
      </c>
      <c r="H415" s="402">
        <f t="shared" si="27"/>
        <v>9001.4670000000042</v>
      </c>
      <c r="I415" s="402">
        <f t="shared" si="28"/>
        <v>130024.53000000001</v>
      </c>
    </row>
    <row r="416" spans="2:9" hidden="1">
      <c r="B416" s="156">
        <v>45043</v>
      </c>
      <c r="C416" s="255" t="s">
        <v>914</v>
      </c>
      <c r="D416" s="402">
        <f t="shared" si="25"/>
        <v>135661.78080000001</v>
      </c>
      <c r="E416" s="376">
        <v>805.21</v>
      </c>
      <c r="F416" s="402">
        <v>168.48</v>
      </c>
      <c r="G416" s="401">
        <f t="shared" si="26"/>
        <v>865.1</v>
      </c>
      <c r="H416" s="402">
        <f t="shared" si="27"/>
        <v>10090.267199999973</v>
      </c>
      <c r="I416" s="402">
        <f t="shared" si="28"/>
        <v>145752.04799999998</v>
      </c>
    </row>
    <row r="417" spans="2:9" hidden="1">
      <c r="B417" s="156">
        <v>45043</v>
      </c>
      <c r="C417" s="255" t="s">
        <v>915</v>
      </c>
      <c r="D417" s="402">
        <f t="shared" si="25"/>
        <v>135661.78080000001</v>
      </c>
      <c r="E417" s="376">
        <v>805.21</v>
      </c>
      <c r="F417" s="402">
        <v>168.48</v>
      </c>
      <c r="G417" s="401">
        <f t="shared" si="26"/>
        <v>865.1</v>
      </c>
      <c r="H417" s="402">
        <f t="shared" si="27"/>
        <v>10090.267199999973</v>
      </c>
      <c r="I417" s="402">
        <f t="shared" si="28"/>
        <v>145752.04799999998</v>
      </c>
    </row>
    <row r="418" spans="2:9" hidden="1">
      <c r="B418" s="156">
        <v>45043</v>
      </c>
      <c r="C418" s="255" t="s">
        <v>916</v>
      </c>
      <c r="D418" s="402">
        <f t="shared" si="25"/>
        <v>135661.78080000001</v>
      </c>
      <c r="E418" s="376">
        <v>805.21</v>
      </c>
      <c r="F418" s="402">
        <v>168.48</v>
      </c>
      <c r="G418" s="401">
        <f t="shared" si="26"/>
        <v>865.1</v>
      </c>
      <c r="H418" s="402">
        <f t="shared" si="27"/>
        <v>10090.267199999973</v>
      </c>
      <c r="I418" s="402">
        <f t="shared" si="28"/>
        <v>145752.04799999998</v>
      </c>
    </row>
    <row r="419" spans="2:9" hidden="1">
      <c r="B419" s="156">
        <v>45043</v>
      </c>
      <c r="C419" s="255" t="s">
        <v>917</v>
      </c>
      <c r="D419" s="402">
        <f t="shared" si="25"/>
        <v>101456.46</v>
      </c>
      <c r="E419" s="376">
        <v>805.21</v>
      </c>
      <c r="F419" s="402">
        <v>126</v>
      </c>
      <c r="G419" s="401">
        <f t="shared" si="26"/>
        <v>865.1</v>
      </c>
      <c r="H419" s="402">
        <f t="shared" si="27"/>
        <v>7546.1399999999994</v>
      </c>
      <c r="I419" s="402">
        <f t="shared" si="28"/>
        <v>109002.6</v>
      </c>
    </row>
    <row r="420" spans="2:9" hidden="1">
      <c r="B420" s="156">
        <v>45043</v>
      </c>
      <c r="C420" s="255" t="s">
        <v>918</v>
      </c>
      <c r="D420" s="402">
        <f t="shared" si="25"/>
        <v>135661.78080000001</v>
      </c>
      <c r="E420" s="376">
        <v>805.21</v>
      </c>
      <c r="F420" s="402">
        <v>168.48</v>
      </c>
      <c r="G420" s="401">
        <f t="shared" si="26"/>
        <v>865.1</v>
      </c>
      <c r="H420" s="402">
        <f t="shared" si="27"/>
        <v>10090.267199999973</v>
      </c>
      <c r="I420" s="402">
        <f t="shared" si="28"/>
        <v>145752.04799999998</v>
      </c>
    </row>
    <row r="421" spans="2:9" hidden="1">
      <c r="B421" s="156">
        <v>45043</v>
      </c>
      <c r="C421" s="255" t="s">
        <v>919</v>
      </c>
      <c r="D421" s="402">
        <f t="shared" si="25"/>
        <v>101456.46</v>
      </c>
      <c r="E421" s="376">
        <v>805.21</v>
      </c>
      <c r="F421" s="402">
        <v>126</v>
      </c>
      <c r="G421" s="401">
        <f t="shared" si="26"/>
        <v>865.1</v>
      </c>
      <c r="H421" s="402">
        <f t="shared" si="27"/>
        <v>7546.1399999999994</v>
      </c>
      <c r="I421" s="402">
        <f t="shared" si="28"/>
        <v>109002.6</v>
      </c>
    </row>
    <row r="422" spans="2:9" hidden="1">
      <c r="B422" s="156">
        <v>45043</v>
      </c>
      <c r="C422" s="255" t="s">
        <v>920</v>
      </c>
      <c r="D422" s="402">
        <f t="shared" si="25"/>
        <v>135661.78080000001</v>
      </c>
      <c r="E422" s="376">
        <v>805.21</v>
      </c>
      <c r="F422" s="402">
        <v>168.48</v>
      </c>
      <c r="G422" s="401">
        <f t="shared" si="26"/>
        <v>865.1</v>
      </c>
      <c r="H422" s="402">
        <f t="shared" si="27"/>
        <v>10090.267199999973</v>
      </c>
      <c r="I422" s="402">
        <f t="shared" si="28"/>
        <v>145752.04799999998</v>
      </c>
    </row>
    <row r="423" spans="2:9" hidden="1">
      <c r="B423" s="156">
        <v>45043</v>
      </c>
      <c r="C423" s="255" t="s">
        <v>921</v>
      </c>
      <c r="D423" s="402">
        <f t="shared" si="25"/>
        <v>101456.46</v>
      </c>
      <c r="E423" s="376">
        <v>805.21</v>
      </c>
      <c r="F423" s="402">
        <v>126</v>
      </c>
      <c r="G423" s="401">
        <f t="shared" si="26"/>
        <v>865.1</v>
      </c>
      <c r="H423" s="402">
        <f t="shared" si="27"/>
        <v>7546.1399999999994</v>
      </c>
      <c r="I423" s="402">
        <f t="shared" si="28"/>
        <v>109002.6</v>
      </c>
    </row>
    <row r="424" spans="2:9" hidden="1">
      <c r="B424" s="156">
        <v>45043</v>
      </c>
      <c r="C424" s="255" t="s">
        <v>922</v>
      </c>
      <c r="D424" s="402">
        <f t="shared" si="25"/>
        <v>108799.97520000002</v>
      </c>
      <c r="E424" s="376">
        <v>805.21</v>
      </c>
      <c r="F424" s="402">
        <v>135.12</v>
      </c>
      <c r="G424" s="401">
        <f t="shared" si="26"/>
        <v>865.1</v>
      </c>
      <c r="H424" s="402">
        <f t="shared" si="27"/>
        <v>8092.33679999999</v>
      </c>
      <c r="I424" s="402">
        <f t="shared" si="28"/>
        <v>116892.31200000001</v>
      </c>
    </row>
    <row r="425" spans="2:9" hidden="1">
      <c r="B425" s="156">
        <v>45043</v>
      </c>
      <c r="C425" s="255" t="s">
        <v>923</v>
      </c>
      <c r="D425" s="402">
        <f t="shared" si="25"/>
        <v>121023.06300000001</v>
      </c>
      <c r="E425" s="376">
        <v>805.21</v>
      </c>
      <c r="F425" s="402">
        <v>150.30000000000001</v>
      </c>
      <c r="G425" s="401">
        <f t="shared" si="26"/>
        <v>865.1</v>
      </c>
      <c r="H425" s="402">
        <f t="shared" si="27"/>
        <v>9001.4670000000042</v>
      </c>
      <c r="I425" s="402">
        <f t="shared" si="28"/>
        <v>130024.53000000001</v>
      </c>
    </row>
    <row r="426" spans="2:9" hidden="1">
      <c r="B426" s="156">
        <v>45043</v>
      </c>
      <c r="C426" s="255" t="s">
        <v>924</v>
      </c>
      <c r="D426" s="402">
        <f t="shared" si="25"/>
        <v>101456.46</v>
      </c>
      <c r="E426" s="376">
        <v>805.21</v>
      </c>
      <c r="F426" s="402">
        <v>126</v>
      </c>
      <c r="G426" s="401">
        <f t="shared" si="26"/>
        <v>865.1</v>
      </c>
      <c r="H426" s="402">
        <f t="shared" si="27"/>
        <v>7546.1399999999994</v>
      </c>
      <c r="I426" s="402">
        <f t="shared" si="28"/>
        <v>109002.6</v>
      </c>
    </row>
    <row r="427" spans="2:9" hidden="1">
      <c r="B427" s="156">
        <v>45043</v>
      </c>
      <c r="C427" s="255" t="s">
        <v>925</v>
      </c>
      <c r="D427" s="402">
        <f t="shared" si="25"/>
        <v>101456.46</v>
      </c>
      <c r="E427" s="376">
        <v>805.21</v>
      </c>
      <c r="F427" s="402">
        <v>126</v>
      </c>
      <c r="G427" s="401">
        <f t="shared" si="26"/>
        <v>865.1</v>
      </c>
      <c r="H427" s="402">
        <f t="shared" si="27"/>
        <v>7546.1399999999994</v>
      </c>
      <c r="I427" s="402">
        <f t="shared" si="28"/>
        <v>109002.6</v>
      </c>
    </row>
    <row r="428" spans="2:9" hidden="1">
      <c r="B428" s="156">
        <v>45043</v>
      </c>
      <c r="C428" s="255" t="s">
        <v>926</v>
      </c>
      <c r="D428" s="402">
        <f t="shared" si="25"/>
        <v>135661.78080000001</v>
      </c>
      <c r="E428" s="376">
        <v>805.21</v>
      </c>
      <c r="F428" s="402">
        <v>168.48</v>
      </c>
      <c r="G428" s="401">
        <f t="shared" si="26"/>
        <v>865.1</v>
      </c>
      <c r="H428" s="402">
        <f t="shared" si="27"/>
        <v>10090.267199999973</v>
      </c>
      <c r="I428" s="402">
        <f t="shared" si="28"/>
        <v>145752.04799999998</v>
      </c>
    </row>
    <row r="429" spans="2:9" hidden="1">
      <c r="B429" s="156">
        <v>45043</v>
      </c>
      <c r="C429" s="255" t="s">
        <v>927</v>
      </c>
      <c r="D429" s="402">
        <f t="shared" si="25"/>
        <v>108799.97520000002</v>
      </c>
      <c r="E429" s="376">
        <v>805.21</v>
      </c>
      <c r="F429" s="402">
        <v>135.12</v>
      </c>
      <c r="G429" s="401">
        <f t="shared" si="26"/>
        <v>865.1</v>
      </c>
      <c r="H429" s="402">
        <f t="shared" si="27"/>
        <v>8092.33679999999</v>
      </c>
      <c r="I429" s="402">
        <f t="shared" si="28"/>
        <v>116892.31200000001</v>
      </c>
    </row>
    <row r="430" spans="2:9" hidden="1">
      <c r="B430" s="156">
        <v>45043</v>
      </c>
      <c r="C430" s="255" t="s">
        <v>928</v>
      </c>
      <c r="D430" s="402">
        <f t="shared" si="25"/>
        <v>135661.78080000001</v>
      </c>
      <c r="E430" s="376">
        <v>805.21</v>
      </c>
      <c r="F430" s="402">
        <v>168.48</v>
      </c>
      <c r="G430" s="401">
        <f t="shared" si="26"/>
        <v>865.1</v>
      </c>
      <c r="H430" s="402">
        <f t="shared" si="27"/>
        <v>10090.267199999973</v>
      </c>
      <c r="I430" s="402">
        <f t="shared" si="28"/>
        <v>145752.04799999998</v>
      </c>
    </row>
    <row r="431" spans="2:9" hidden="1">
      <c r="B431" s="156">
        <v>45043</v>
      </c>
      <c r="C431" s="255" t="s">
        <v>929</v>
      </c>
      <c r="D431" s="402">
        <f t="shared" si="25"/>
        <v>121023.06300000001</v>
      </c>
      <c r="E431" s="376">
        <v>805.21</v>
      </c>
      <c r="F431" s="402">
        <v>150.30000000000001</v>
      </c>
      <c r="G431" s="401">
        <f t="shared" si="26"/>
        <v>865.1</v>
      </c>
      <c r="H431" s="402">
        <f t="shared" si="27"/>
        <v>9001.4670000000042</v>
      </c>
      <c r="I431" s="402">
        <f t="shared" si="28"/>
        <v>130024.53000000001</v>
      </c>
    </row>
    <row r="432" spans="2:9" hidden="1">
      <c r="B432" s="156">
        <v>45043</v>
      </c>
      <c r="C432" s="255" t="s">
        <v>930</v>
      </c>
      <c r="D432" s="402">
        <f t="shared" si="25"/>
        <v>101456.46</v>
      </c>
      <c r="E432" s="376">
        <v>805.21</v>
      </c>
      <c r="F432" s="402">
        <v>126</v>
      </c>
      <c r="G432" s="401">
        <f t="shared" si="26"/>
        <v>865.1</v>
      </c>
      <c r="H432" s="402">
        <f t="shared" si="27"/>
        <v>7546.1399999999994</v>
      </c>
      <c r="I432" s="402">
        <f t="shared" si="28"/>
        <v>109002.6</v>
      </c>
    </row>
    <row r="433" spans="2:9" hidden="1">
      <c r="B433" s="156">
        <v>45043</v>
      </c>
      <c r="C433" s="255" t="s">
        <v>931</v>
      </c>
      <c r="D433" s="402">
        <f t="shared" si="25"/>
        <v>135661.78080000001</v>
      </c>
      <c r="E433" s="376">
        <v>805.21</v>
      </c>
      <c r="F433" s="402">
        <v>168.48</v>
      </c>
      <c r="G433" s="401">
        <f t="shared" si="26"/>
        <v>865.1</v>
      </c>
      <c r="H433" s="402">
        <f t="shared" si="27"/>
        <v>10090.267199999973</v>
      </c>
      <c r="I433" s="402">
        <f t="shared" si="28"/>
        <v>145752.04799999998</v>
      </c>
    </row>
    <row r="434" spans="2:9" hidden="1">
      <c r="B434" s="156">
        <v>45043</v>
      </c>
      <c r="C434" s="255" t="s">
        <v>932</v>
      </c>
      <c r="D434" s="402">
        <f t="shared" si="25"/>
        <v>101456.46</v>
      </c>
      <c r="E434" s="376">
        <v>805.21</v>
      </c>
      <c r="F434" s="402">
        <v>126</v>
      </c>
      <c r="G434" s="401">
        <f t="shared" si="26"/>
        <v>865.1</v>
      </c>
      <c r="H434" s="402">
        <f t="shared" si="27"/>
        <v>7546.1399999999994</v>
      </c>
      <c r="I434" s="402">
        <f t="shared" si="28"/>
        <v>109002.6</v>
      </c>
    </row>
    <row r="435" spans="2:9" hidden="1">
      <c r="B435" s="156">
        <v>45043</v>
      </c>
      <c r="C435" s="255" t="s">
        <v>933</v>
      </c>
      <c r="D435" s="402">
        <f t="shared" si="25"/>
        <v>101456.46</v>
      </c>
      <c r="E435" s="376">
        <v>805.21</v>
      </c>
      <c r="F435" s="402">
        <v>126</v>
      </c>
      <c r="G435" s="401">
        <f t="shared" si="26"/>
        <v>865.1</v>
      </c>
      <c r="H435" s="402">
        <f t="shared" si="27"/>
        <v>7546.1399999999994</v>
      </c>
      <c r="I435" s="402">
        <f t="shared" si="28"/>
        <v>109002.6</v>
      </c>
    </row>
    <row r="436" spans="2:9" hidden="1">
      <c r="B436" s="156">
        <v>45043</v>
      </c>
      <c r="C436" s="255" t="s">
        <v>934</v>
      </c>
      <c r="D436" s="402">
        <f t="shared" si="25"/>
        <v>101456.46</v>
      </c>
      <c r="E436" s="376">
        <v>805.21</v>
      </c>
      <c r="F436" s="402">
        <v>126</v>
      </c>
      <c r="G436" s="401">
        <f t="shared" si="26"/>
        <v>865.1</v>
      </c>
      <c r="H436" s="402">
        <f t="shared" si="27"/>
        <v>7546.1399999999994</v>
      </c>
      <c r="I436" s="402">
        <f t="shared" si="28"/>
        <v>109002.6</v>
      </c>
    </row>
    <row r="437" spans="2:9" hidden="1">
      <c r="B437" s="156">
        <v>45043</v>
      </c>
      <c r="C437" s="255" t="s">
        <v>935</v>
      </c>
      <c r="D437" s="402">
        <f t="shared" si="25"/>
        <v>111215.60520000001</v>
      </c>
      <c r="E437" s="376">
        <v>805.21</v>
      </c>
      <c r="F437" s="402">
        <v>138.12</v>
      </c>
      <c r="G437" s="401">
        <f t="shared" si="26"/>
        <v>865.1</v>
      </c>
      <c r="H437" s="402">
        <f t="shared" si="27"/>
        <v>8272.0068000000028</v>
      </c>
      <c r="I437" s="402">
        <f t="shared" si="28"/>
        <v>119487.61200000001</v>
      </c>
    </row>
    <row r="438" spans="2:9" hidden="1">
      <c r="B438" s="156">
        <v>45043</v>
      </c>
      <c r="C438" s="255" t="s">
        <v>936</v>
      </c>
      <c r="D438" s="402">
        <f t="shared" si="25"/>
        <v>108799.97520000002</v>
      </c>
      <c r="E438" s="376">
        <v>805.21</v>
      </c>
      <c r="F438" s="402">
        <v>135.12</v>
      </c>
      <c r="G438" s="401">
        <f t="shared" si="26"/>
        <v>865.1</v>
      </c>
      <c r="H438" s="402">
        <f t="shared" si="27"/>
        <v>8092.33679999999</v>
      </c>
      <c r="I438" s="402">
        <f t="shared" si="28"/>
        <v>116892.31200000001</v>
      </c>
    </row>
    <row r="439" spans="2:9" hidden="1">
      <c r="B439" s="156">
        <v>45043</v>
      </c>
      <c r="C439" s="255" t="s">
        <v>937</v>
      </c>
      <c r="D439" s="402">
        <f t="shared" si="25"/>
        <v>101456.46</v>
      </c>
      <c r="E439" s="376">
        <v>805.21</v>
      </c>
      <c r="F439" s="402">
        <v>126</v>
      </c>
      <c r="G439" s="401">
        <f t="shared" si="26"/>
        <v>865.1</v>
      </c>
      <c r="H439" s="402">
        <f t="shared" si="27"/>
        <v>7546.1399999999994</v>
      </c>
      <c r="I439" s="402">
        <f t="shared" si="28"/>
        <v>109002.6</v>
      </c>
    </row>
    <row r="440" spans="2:9" hidden="1">
      <c r="B440" s="156">
        <v>45043</v>
      </c>
      <c r="C440" s="255" t="s">
        <v>938</v>
      </c>
      <c r="D440" s="402">
        <f t="shared" si="25"/>
        <v>121023.06300000001</v>
      </c>
      <c r="E440" s="376">
        <v>805.21</v>
      </c>
      <c r="F440" s="402">
        <v>150.30000000000001</v>
      </c>
      <c r="G440" s="401">
        <f t="shared" si="26"/>
        <v>865.1</v>
      </c>
      <c r="H440" s="402">
        <f t="shared" si="27"/>
        <v>9001.4670000000042</v>
      </c>
      <c r="I440" s="402">
        <f t="shared" si="28"/>
        <v>130024.53000000001</v>
      </c>
    </row>
    <row r="441" spans="2:9" hidden="1">
      <c r="B441" s="156">
        <v>45043</v>
      </c>
      <c r="C441" s="255" t="s">
        <v>939</v>
      </c>
      <c r="D441" s="402">
        <f t="shared" si="25"/>
        <v>135661.78080000001</v>
      </c>
      <c r="E441" s="376">
        <v>805.21</v>
      </c>
      <c r="F441" s="402">
        <v>168.48</v>
      </c>
      <c r="G441" s="401">
        <f t="shared" si="26"/>
        <v>865.1</v>
      </c>
      <c r="H441" s="402">
        <f t="shared" si="27"/>
        <v>10090.267199999973</v>
      </c>
      <c r="I441" s="402">
        <f t="shared" si="28"/>
        <v>145752.04799999998</v>
      </c>
    </row>
    <row r="442" spans="2:9" hidden="1">
      <c r="B442" s="156">
        <v>45043</v>
      </c>
      <c r="C442" s="255" t="s">
        <v>940</v>
      </c>
      <c r="D442" s="402">
        <f t="shared" si="25"/>
        <v>101456.46</v>
      </c>
      <c r="E442" s="376">
        <v>805.21</v>
      </c>
      <c r="F442" s="402">
        <v>126</v>
      </c>
      <c r="G442" s="401">
        <f t="shared" si="26"/>
        <v>865.1</v>
      </c>
      <c r="H442" s="402">
        <f t="shared" si="27"/>
        <v>7546.1399999999994</v>
      </c>
      <c r="I442" s="402">
        <f t="shared" si="28"/>
        <v>109002.6</v>
      </c>
    </row>
    <row r="443" spans="2:9" hidden="1">
      <c r="B443" s="156">
        <v>45043</v>
      </c>
      <c r="C443" s="255" t="s">
        <v>941</v>
      </c>
      <c r="D443" s="402">
        <f t="shared" si="25"/>
        <v>121023.06300000001</v>
      </c>
      <c r="E443" s="376">
        <v>805.21</v>
      </c>
      <c r="F443" s="402">
        <v>150.30000000000001</v>
      </c>
      <c r="G443" s="401">
        <f t="shared" si="26"/>
        <v>865.1</v>
      </c>
      <c r="H443" s="402">
        <f t="shared" si="27"/>
        <v>9001.4670000000042</v>
      </c>
      <c r="I443" s="402">
        <f t="shared" si="28"/>
        <v>130024.53000000001</v>
      </c>
    </row>
    <row r="444" spans="2:9" hidden="1">
      <c r="B444" s="156">
        <v>45043</v>
      </c>
      <c r="C444" s="255" t="s">
        <v>942</v>
      </c>
      <c r="D444" s="402">
        <f t="shared" si="25"/>
        <v>121023.06300000001</v>
      </c>
      <c r="E444" s="376">
        <v>805.21</v>
      </c>
      <c r="F444" s="402">
        <v>150.30000000000001</v>
      </c>
      <c r="G444" s="401">
        <f t="shared" si="26"/>
        <v>865.1</v>
      </c>
      <c r="H444" s="402">
        <f t="shared" si="27"/>
        <v>9001.4670000000042</v>
      </c>
      <c r="I444" s="402">
        <f t="shared" si="28"/>
        <v>130024.53000000001</v>
      </c>
    </row>
    <row r="445" spans="2:9" hidden="1">
      <c r="B445" s="156">
        <v>45043</v>
      </c>
      <c r="C445" s="255" t="s">
        <v>943</v>
      </c>
      <c r="D445" s="402">
        <f t="shared" si="25"/>
        <v>121023.06300000001</v>
      </c>
      <c r="E445" s="376">
        <v>805.21</v>
      </c>
      <c r="F445" s="402">
        <v>150.30000000000001</v>
      </c>
      <c r="G445" s="401">
        <f t="shared" si="26"/>
        <v>865.1</v>
      </c>
      <c r="H445" s="402">
        <f t="shared" si="27"/>
        <v>9001.4670000000042</v>
      </c>
      <c r="I445" s="402">
        <f t="shared" si="28"/>
        <v>130024.53000000001</v>
      </c>
    </row>
    <row r="446" spans="2:9" hidden="1">
      <c r="B446" s="156">
        <v>45043</v>
      </c>
      <c r="C446" s="255" t="s">
        <v>944</v>
      </c>
      <c r="D446" s="402">
        <f t="shared" si="25"/>
        <v>135661.78080000001</v>
      </c>
      <c r="E446" s="376">
        <v>805.21</v>
      </c>
      <c r="F446" s="402">
        <v>168.48</v>
      </c>
      <c r="G446" s="401">
        <f t="shared" si="26"/>
        <v>865.1</v>
      </c>
      <c r="H446" s="402">
        <f t="shared" si="27"/>
        <v>10090.267199999973</v>
      </c>
      <c r="I446" s="402">
        <f t="shared" si="28"/>
        <v>145752.04799999998</v>
      </c>
    </row>
    <row r="447" spans="2:9" hidden="1">
      <c r="B447" s="156">
        <v>45043</v>
      </c>
      <c r="C447" s="255" t="s">
        <v>945</v>
      </c>
      <c r="D447" s="402">
        <f t="shared" si="25"/>
        <v>121023.06300000001</v>
      </c>
      <c r="E447" s="376">
        <v>805.21</v>
      </c>
      <c r="F447" s="402">
        <v>150.30000000000001</v>
      </c>
      <c r="G447" s="401">
        <f t="shared" si="26"/>
        <v>865.1</v>
      </c>
      <c r="H447" s="402">
        <f t="shared" si="27"/>
        <v>9001.4670000000042</v>
      </c>
      <c r="I447" s="402">
        <f t="shared" si="28"/>
        <v>130024.53000000001</v>
      </c>
    </row>
    <row r="448" spans="2:9" hidden="1">
      <c r="B448" s="156">
        <v>45043</v>
      </c>
      <c r="C448" s="255" t="s">
        <v>946</v>
      </c>
      <c r="D448" s="402">
        <f t="shared" si="25"/>
        <v>121023.06300000001</v>
      </c>
      <c r="E448" s="376">
        <v>805.21</v>
      </c>
      <c r="F448" s="402">
        <v>150.30000000000001</v>
      </c>
      <c r="G448" s="401">
        <f t="shared" si="26"/>
        <v>865.1</v>
      </c>
      <c r="H448" s="402">
        <f t="shared" si="27"/>
        <v>9001.4670000000042</v>
      </c>
      <c r="I448" s="402">
        <f t="shared" si="28"/>
        <v>130024.53000000001</v>
      </c>
    </row>
    <row r="449" spans="2:9" hidden="1">
      <c r="B449" s="156">
        <v>45043</v>
      </c>
      <c r="C449" s="255" t="s">
        <v>947</v>
      </c>
      <c r="D449" s="402">
        <f t="shared" si="25"/>
        <v>135661.78080000001</v>
      </c>
      <c r="E449" s="376">
        <v>805.21</v>
      </c>
      <c r="F449" s="402">
        <v>168.48</v>
      </c>
      <c r="G449" s="401">
        <f t="shared" si="26"/>
        <v>865.1</v>
      </c>
      <c r="H449" s="402">
        <f t="shared" si="27"/>
        <v>10090.267199999973</v>
      </c>
      <c r="I449" s="402">
        <f t="shared" si="28"/>
        <v>145752.04799999998</v>
      </c>
    </row>
    <row r="450" spans="2:9" hidden="1">
      <c r="B450" s="156">
        <v>45043</v>
      </c>
      <c r="C450" s="255" t="s">
        <v>948</v>
      </c>
      <c r="D450" s="402">
        <f t="shared" si="25"/>
        <v>130782.20819999999</v>
      </c>
      <c r="E450" s="376">
        <v>805.21</v>
      </c>
      <c r="F450" s="402">
        <v>162.41999999999999</v>
      </c>
      <c r="G450" s="401">
        <f t="shared" si="26"/>
        <v>865.1</v>
      </c>
      <c r="H450" s="402">
        <f t="shared" si="27"/>
        <v>9727.3337999999931</v>
      </c>
      <c r="I450" s="402">
        <f t="shared" si="28"/>
        <v>140509.54199999999</v>
      </c>
    </row>
    <row r="451" spans="2:9" hidden="1">
      <c r="B451" s="156">
        <v>45043</v>
      </c>
      <c r="C451" s="255" t="s">
        <v>949</v>
      </c>
      <c r="D451" s="402">
        <f t="shared" si="25"/>
        <v>135661.78080000001</v>
      </c>
      <c r="E451" s="376">
        <v>805.21</v>
      </c>
      <c r="F451" s="402">
        <v>168.48</v>
      </c>
      <c r="G451" s="401">
        <f t="shared" si="26"/>
        <v>865.1</v>
      </c>
      <c r="H451" s="402">
        <f t="shared" si="27"/>
        <v>10090.267199999973</v>
      </c>
      <c r="I451" s="402">
        <f t="shared" si="28"/>
        <v>145752.04799999998</v>
      </c>
    </row>
    <row r="452" spans="2:9" hidden="1">
      <c r="B452" s="156">
        <v>45043</v>
      </c>
      <c r="C452" s="255" t="s">
        <v>950</v>
      </c>
      <c r="D452" s="402">
        <f t="shared" ref="D452:D515" si="29">F452*E452</f>
        <v>108799.97520000002</v>
      </c>
      <c r="E452" s="376">
        <v>805.21</v>
      </c>
      <c r="F452" s="402">
        <v>135.12</v>
      </c>
      <c r="G452" s="401">
        <f t="shared" si="26"/>
        <v>865.1</v>
      </c>
      <c r="H452" s="402">
        <f t="shared" si="27"/>
        <v>8092.33679999999</v>
      </c>
      <c r="I452" s="402">
        <f t="shared" si="28"/>
        <v>116892.31200000001</v>
      </c>
    </row>
    <row r="453" spans="2:9" hidden="1">
      <c r="B453" s="156">
        <v>45043</v>
      </c>
      <c r="C453" s="255" t="s">
        <v>951</v>
      </c>
      <c r="D453" s="402">
        <f t="shared" si="29"/>
        <v>101456.46</v>
      </c>
      <c r="E453" s="376">
        <v>805.21</v>
      </c>
      <c r="F453" s="402">
        <v>126</v>
      </c>
      <c r="G453" s="401">
        <f t="shared" ref="G453:G516" si="30">+G348</f>
        <v>865.1</v>
      </c>
      <c r="H453" s="402">
        <f t="shared" si="27"/>
        <v>7546.1399999999994</v>
      </c>
      <c r="I453" s="402">
        <f t="shared" si="28"/>
        <v>109002.6</v>
      </c>
    </row>
    <row r="454" spans="2:9" hidden="1">
      <c r="B454" s="156">
        <v>45043</v>
      </c>
      <c r="C454" s="255" t="s">
        <v>952</v>
      </c>
      <c r="D454" s="402">
        <f t="shared" si="29"/>
        <v>101456.46</v>
      </c>
      <c r="E454" s="376">
        <v>805.21</v>
      </c>
      <c r="F454" s="402">
        <v>126</v>
      </c>
      <c r="G454" s="401">
        <f t="shared" si="30"/>
        <v>865.1</v>
      </c>
      <c r="H454" s="402">
        <f t="shared" si="27"/>
        <v>7546.1399999999994</v>
      </c>
      <c r="I454" s="402">
        <f t="shared" si="28"/>
        <v>109002.6</v>
      </c>
    </row>
    <row r="455" spans="2:9" hidden="1">
      <c r="B455" s="156">
        <v>45043</v>
      </c>
      <c r="C455" s="255" t="s">
        <v>953</v>
      </c>
      <c r="D455" s="402">
        <f t="shared" si="29"/>
        <v>108799.97520000002</v>
      </c>
      <c r="E455" s="376">
        <v>805.21</v>
      </c>
      <c r="F455" s="402">
        <v>135.12</v>
      </c>
      <c r="G455" s="401">
        <f t="shared" si="30"/>
        <v>865.1</v>
      </c>
      <c r="H455" s="402">
        <f t="shared" ref="H455:H518" si="31">+I455-D455</f>
        <v>8092.33679999999</v>
      </c>
      <c r="I455" s="402">
        <f t="shared" ref="I455:I518" si="32">+F455*G455</f>
        <v>116892.31200000001</v>
      </c>
    </row>
    <row r="456" spans="2:9" hidden="1">
      <c r="B456" s="156">
        <v>45043</v>
      </c>
      <c r="C456" s="255" t="s">
        <v>954</v>
      </c>
      <c r="D456" s="402">
        <f t="shared" si="29"/>
        <v>101456.46</v>
      </c>
      <c r="E456" s="376">
        <v>805.21</v>
      </c>
      <c r="F456" s="402">
        <v>126</v>
      </c>
      <c r="G456" s="401">
        <f t="shared" si="30"/>
        <v>865.1</v>
      </c>
      <c r="H456" s="402">
        <f t="shared" si="31"/>
        <v>7546.1399999999994</v>
      </c>
      <c r="I456" s="402">
        <f t="shared" si="32"/>
        <v>109002.6</v>
      </c>
    </row>
    <row r="457" spans="2:9" hidden="1">
      <c r="B457" s="156">
        <v>45043</v>
      </c>
      <c r="C457" s="255" t="s">
        <v>955</v>
      </c>
      <c r="D457" s="402">
        <f t="shared" si="29"/>
        <v>101456.46</v>
      </c>
      <c r="E457" s="376">
        <v>805.21</v>
      </c>
      <c r="F457" s="402">
        <v>126</v>
      </c>
      <c r="G457" s="401">
        <f t="shared" si="30"/>
        <v>865.1</v>
      </c>
      <c r="H457" s="402">
        <f t="shared" si="31"/>
        <v>7546.1399999999994</v>
      </c>
      <c r="I457" s="402">
        <f t="shared" si="32"/>
        <v>109002.6</v>
      </c>
    </row>
    <row r="458" spans="2:9" hidden="1">
      <c r="B458" s="156">
        <v>45043</v>
      </c>
      <c r="C458" s="255" t="s">
        <v>956</v>
      </c>
      <c r="D458" s="402">
        <f t="shared" si="29"/>
        <v>111215.60520000001</v>
      </c>
      <c r="E458" s="376">
        <v>805.21</v>
      </c>
      <c r="F458" s="402">
        <v>138.12</v>
      </c>
      <c r="G458" s="401">
        <f t="shared" si="30"/>
        <v>865.1</v>
      </c>
      <c r="H458" s="402">
        <f t="shared" si="31"/>
        <v>8272.0068000000028</v>
      </c>
      <c r="I458" s="402">
        <f t="shared" si="32"/>
        <v>119487.61200000001</v>
      </c>
    </row>
    <row r="459" spans="2:9" hidden="1">
      <c r="B459" s="156">
        <v>45043</v>
      </c>
      <c r="C459" s="255" t="s">
        <v>957</v>
      </c>
      <c r="D459" s="402">
        <f t="shared" si="29"/>
        <v>101456.46</v>
      </c>
      <c r="E459" s="376">
        <v>805.21</v>
      </c>
      <c r="F459" s="402">
        <v>126</v>
      </c>
      <c r="G459" s="401">
        <f t="shared" si="30"/>
        <v>865.1</v>
      </c>
      <c r="H459" s="402">
        <f t="shared" si="31"/>
        <v>7546.1399999999994</v>
      </c>
      <c r="I459" s="402">
        <f t="shared" si="32"/>
        <v>109002.6</v>
      </c>
    </row>
    <row r="460" spans="2:9" hidden="1">
      <c r="B460" s="156">
        <v>45043</v>
      </c>
      <c r="C460" s="255" t="s">
        <v>958</v>
      </c>
      <c r="D460" s="402">
        <f t="shared" si="29"/>
        <v>111215.60520000001</v>
      </c>
      <c r="E460" s="376">
        <v>805.21</v>
      </c>
      <c r="F460" s="402">
        <v>138.12</v>
      </c>
      <c r="G460" s="401">
        <f t="shared" si="30"/>
        <v>865.1</v>
      </c>
      <c r="H460" s="402">
        <f t="shared" si="31"/>
        <v>8272.0068000000028</v>
      </c>
      <c r="I460" s="402">
        <f t="shared" si="32"/>
        <v>119487.61200000001</v>
      </c>
    </row>
    <row r="461" spans="2:9" hidden="1">
      <c r="B461" s="156">
        <v>45043</v>
      </c>
      <c r="C461" s="255" t="s">
        <v>959</v>
      </c>
      <c r="D461" s="402">
        <f t="shared" si="29"/>
        <v>135661.78080000001</v>
      </c>
      <c r="E461" s="376">
        <v>805.21</v>
      </c>
      <c r="F461" s="402">
        <v>168.48</v>
      </c>
      <c r="G461" s="401">
        <f t="shared" si="30"/>
        <v>865.1</v>
      </c>
      <c r="H461" s="402">
        <f t="shared" si="31"/>
        <v>10090.267199999973</v>
      </c>
      <c r="I461" s="402">
        <f t="shared" si="32"/>
        <v>145752.04799999998</v>
      </c>
    </row>
    <row r="462" spans="2:9" hidden="1">
      <c r="B462" s="156">
        <v>45043</v>
      </c>
      <c r="C462" s="255" t="s">
        <v>960</v>
      </c>
      <c r="D462" s="402">
        <f t="shared" si="29"/>
        <v>111215.60520000001</v>
      </c>
      <c r="E462" s="376">
        <v>805.21</v>
      </c>
      <c r="F462" s="402">
        <v>138.12</v>
      </c>
      <c r="G462" s="401">
        <f t="shared" si="30"/>
        <v>865.1</v>
      </c>
      <c r="H462" s="402">
        <f t="shared" si="31"/>
        <v>8272.0068000000028</v>
      </c>
      <c r="I462" s="402">
        <f t="shared" si="32"/>
        <v>119487.61200000001</v>
      </c>
    </row>
    <row r="463" spans="2:9" hidden="1">
      <c r="B463" s="156">
        <v>45043</v>
      </c>
      <c r="C463" s="255" t="s">
        <v>961</v>
      </c>
      <c r="D463" s="402">
        <f t="shared" si="29"/>
        <v>101456.46</v>
      </c>
      <c r="E463" s="376">
        <v>805.21</v>
      </c>
      <c r="F463" s="402">
        <v>126</v>
      </c>
      <c r="G463" s="401">
        <f t="shared" si="30"/>
        <v>865.1</v>
      </c>
      <c r="H463" s="402">
        <f t="shared" si="31"/>
        <v>7546.1399999999994</v>
      </c>
      <c r="I463" s="402">
        <f t="shared" si="32"/>
        <v>109002.6</v>
      </c>
    </row>
    <row r="464" spans="2:9" hidden="1">
      <c r="B464" s="156">
        <v>45043</v>
      </c>
      <c r="C464" s="255" t="s">
        <v>962</v>
      </c>
      <c r="D464" s="402">
        <f t="shared" si="29"/>
        <v>101456.46</v>
      </c>
      <c r="E464" s="376">
        <v>805.21</v>
      </c>
      <c r="F464" s="402">
        <v>126</v>
      </c>
      <c r="G464" s="401">
        <f t="shared" si="30"/>
        <v>865.1</v>
      </c>
      <c r="H464" s="402">
        <f t="shared" si="31"/>
        <v>7546.1399999999994</v>
      </c>
      <c r="I464" s="402">
        <f t="shared" si="32"/>
        <v>109002.6</v>
      </c>
    </row>
    <row r="465" spans="2:9" hidden="1">
      <c r="B465" s="156">
        <v>45043</v>
      </c>
      <c r="C465" s="255" t="s">
        <v>963</v>
      </c>
      <c r="D465" s="402">
        <f t="shared" si="29"/>
        <v>108799.97520000002</v>
      </c>
      <c r="E465" s="376">
        <v>805.21</v>
      </c>
      <c r="F465" s="402">
        <v>135.12</v>
      </c>
      <c r="G465" s="401">
        <f t="shared" si="30"/>
        <v>865.1</v>
      </c>
      <c r="H465" s="402">
        <f t="shared" si="31"/>
        <v>8092.33679999999</v>
      </c>
      <c r="I465" s="402">
        <f t="shared" si="32"/>
        <v>116892.31200000001</v>
      </c>
    </row>
    <row r="466" spans="2:9" hidden="1">
      <c r="B466" s="156">
        <v>45043</v>
      </c>
      <c r="C466" s="255" t="s">
        <v>964</v>
      </c>
      <c r="D466" s="402">
        <f t="shared" si="29"/>
        <v>101456.46</v>
      </c>
      <c r="E466" s="376">
        <v>805.21</v>
      </c>
      <c r="F466" s="402">
        <v>126</v>
      </c>
      <c r="G466" s="401">
        <f t="shared" si="30"/>
        <v>865.1</v>
      </c>
      <c r="H466" s="402">
        <f t="shared" si="31"/>
        <v>7546.1399999999994</v>
      </c>
      <c r="I466" s="402">
        <f t="shared" si="32"/>
        <v>109002.6</v>
      </c>
    </row>
    <row r="467" spans="2:9" hidden="1">
      <c r="B467" s="156">
        <v>45043</v>
      </c>
      <c r="C467" s="255" t="s">
        <v>965</v>
      </c>
      <c r="D467" s="402">
        <f t="shared" si="29"/>
        <v>101456.46</v>
      </c>
      <c r="E467" s="376">
        <v>805.21</v>
      </c>
      <c r="F467" s="402">
        <v>126</v>
      </c>
      <c r="G467" s="401">
        <f t="shared" si="30"/>
        <v>865.1</v>
      </c>
      <c r="H467" s="402">
        <f t="shared" si="31"/>
        <v>7546.1399999999994</v>
      </c>
      <c r="I467" s="402">
        <f t="shared" si="32"/>
        <v>109002.6</v>
      </c>
    </row>
    <row r="468" spans="2:9" hidden="1">
      <c r="B468" s="156">
        <v>45043</v>
      </c>
      <c r="C468" s="255" t="s">
        <v>966</v>
      </c>
      <c r="D468" s="402">
        <f t="shared" si="29"/>
        <v>101456.46</v>
      </c>
      <c r="E468" s="376">
        <v>805.21</v>
      </c>
      <c r="F468" s="402">
        <v>126</v>
      </c>
      <c r="G468" s="401">
        <f t="shared" si="30"/>
        <v>865.1</v>
      </c>
      <c r="H468" s="402">
        <f t="shared" si="31"/>
        <v>7546.1399999999994</v>
      </c>
      <c r="I468" s="402">
        <f t="shared" si="32"/>
        <v>109002.6</v>
      </c>
    </row>
    <row r="469" spans="2:9" hidden="1">
      <c r="B469" s="156">
        <v>45043</v>
      </c>
      <c r="C469" s="255" t="s">
        <v>967</v>
      </c>
      <c r="D469" s="402">
        <f t="shared" si="29"/>
        <v>101456.46</v>
      </c>
      <c r="E469" s="376">
        <v>805.21</v>
      </c>
      <c r="F469" s="402">
        <v>126</v>
      </c>
      <c r="G469" s="401">
        <f t="shared" si="30"/>
        <v>865.1</v>
      </c>
      <c r="H469" s="402">
        <f t="shared" si="31"/>
        <v>7546.1399999999994</v>
      </c>
      <c r="I469" s="402">
        <f t="shared" si="32"/>
        <v>109002.6</v>
      </c>
    </row>
    <row r="470" spans="2:9" hidden="1">
      <c r="B470" s="156">
        <v>45043</v>
      </c>
      <c r="C470" s="255" t="s">
        <v>968</v>
      </c>
      <c r="D470" s="402">
        <f t="shared" si="29"/>
        <v>101456.46</v>
      </c>
      <c r="E470" s="376">
        <v>805.21</v>
      </c>
      <c r="F470" s="402">
        <v>126</v>
      </c>
      <c r="G470" s="401">
        <f t="shared" si="30"/>
        <v>865.1</v>
      </c>
      <c r="H470" s="402">
        <f t="shared" si="31"/>
        <v>7546.1399999999994</v>
      </c>
      <c r="I470" s="402">
        <f t="shared" si="32"/>
        <v>109002.6</v>
      </c>
    </row>
    <row r="471" spans="2:9" hidden="1">
      <c r="B471" s="156">
        <v>45043</v>
      </c>
      <c r="C471" s="255" t="s">
        <v>969</v>
      </c>
      <c r="D471" s="402">
        <f t="shared" si="29"/>
        <v>101456.46</v>
      </c>
      <c r="E471" s="376">
        <v>805.21</v>
      </c>
      <c r="F471" s="402">
        <v>126</v>
      </c>
      <c r="G471" s="401">
        <f t="shared" si="30"/>
        <v>865.1</v>
      </c>
      <c r="H471" s="402">
        <f t="shared" si="31"/>
        <v>7546.1399999999994</v>
      </c>
      <c r="I471" s="402">
        <f t="shared" si="32"/>
        <v>109002.6</v>
      </c>
    </row>
    <row r="472" spans="2:9" hidden="1">
      <c r="B472" s="156">
        <v>45043</v>
      </c>
      <c r="C472" s="255" t="s">
        <v>970</v>
      </c>
      <c r="D472" s="402">
        <f t="shared" si="29"/>
        <v>101456.46</v>
      </c>
      <c r="E472" s="376">
        <v>805.21</v>
      </c>
      <c r="F472" s="402">
        <v>126</v>
      </c>
      <c r="G472" s="401">
        <f t="shared" si="30"/>
        <v>865.1</v>
      </c>
      <c r="H472" s="402">
        <f t="shared" si="31"/>
        <v>7546.1399999999994</v>
      </c>
      <c r="I472" s="402">
        <f t="shared" si="32"/>
        <v>109002.6</v>
      </c>
    </row>
    <row r="473" spans="2:9" hidden="1">
      <c r="B473" s="156">
        <v>45043</v>
      </c>
      <c r="C473" s="255" t="s">
        <v>971</v>
      </c>
      <c r="D473" s="402">
        <f t="shared" si="29"/>
        <v>101456.46</v>
      </c>
      <c r="E473" s="376">
        <v>805.21</v>
      </c>
      <c r="F473" s="402">
        <v>126</v>
      </c>
      <c r="G473" s="401">
        <f t="shared" si="30"/>
        <v>865.1</v>
      </c>
      <c r="H473" s="402">
        <f t="shared" si="31"/>
        <v>7546.1399999999994</v>
      </c>
      <c r="I473" s="402">
        <f t="shared" si="32"/>
        <v>109002.6</v>
      </c>
    </row>
    <row r="474" spans="2:9" hidden="1">
      <c r="B474" s="156">
        <v>45043</v>
      </c>
      <c r="C474" s="255" t="s">
        <v>972</v>
      </c>
      <c r="D474" s="402">
        <f t="shared" si="29"/>
        <v>135661.78080000001</v>
      </c>
      <c r="E474" s="376">
        <v>805.21</v>
      </c>
      <c r="F474" s="402">
        <v>168.48</v>
      </c>
      <c r="G474" s="401">
        <f t="shared" si="30"/>
        <v>865.1</v>
      </c>
      <c r="H474" s="402">
        <f t="shared" si="31"/>
        <v>10090.267199999973</v>
      </c>
      <c r="I474" s="402">
        <f t="shared" si="32"/>
        <v>145752.04799999998</v>
      </c>
    </row>
    <row r="475" spans="2:9" hidden="1">
      <c r="B475" s="156">
        <v>45043</v>
      </c>
      <c r="C475" s="255" t="s">
        <v>973</v>
      </c>
      <c r="D475" s="402">
        <f t="shared" si="29"/>
        <v>101456.46</v>
      </c>
      <c r="E475" s="376">
        <v>805.21</v>
      </c>
      <c r="F475" s="402">
        <v>126</v>
      </c>
      <c r="G475" s="401">
        <f t="shared" si="30"/>
        <v>865.1</v>
      </c>
      <c r="H475" s="402">
        <f t="shared" si="31"/>
        <v>7546.1399999999994</v>
      </c>
      <c r="I475" s="402">
        <f t="shared" si="32"/>
        <v>109002.6</v>
      </c>
    </row>
    <row r="476" spans="2:9" hidden="1">
      <c r="B476" s="156">
        <v>45043</v>
      </c>
      <c r="C476" s="255" t="s">
        <v>974</v>
      </c>
      <c r="D476" s="402">
        <f t="shared" si="29"/>
        <v>135661.78080000001</v>
      </c>
      <c r="E476" s="376">
        <v>805.21</v>
      </c>
      <c r="F476" s="402">
        <v>168.48</v>
      </c>
      <c r="G476" s="401">
        <f t="shared" si="30"/>
        <v>865.1</v>
      </c>
      <c r="H476" s="402">
        <f t="shared" si="31"/>
        <v>10090.267199999973</v>
      </c>
      <c r="I476" s="402">
        <f t="shared" si="32"/>
        <v>145752.04799999998</v>
      </c>
    </row>
    <row r="477" spans="2:9" hidden="1">
      <c r="B477" s="156">
        <v>45043</v>
      </c>
      <c r="C477" s="255" t="s">
        <v>975</v>
      </c>
      <c r="D477" s="402">
        <f t="shared" si="29"/>
        <v>121023.06300000001</v>
      </c>
      <c r="E477" s="376">
        <v>805.21</v>
      </c>
      <c r="F477" s="402">
        <v>150.30000000000001</v>
      </c>
      <c r="G477" s="401">
        <f t="shared" si="30"/>
        <v>865.1</v>
      </c>
      <c r="H477" s="402">
        <f t="shared" si="31"/>
        <v>9001.4670000000042</v>
      </c>
      <c r="I477" s="402">
        <f t="shared" si="32"/>
        <v>130024.53000000001</v>
      </c>
    </row>
    <row r="478" spans="2:9" hidden="1">
      <c r="B478" s="156">
        <v>45043</v>
      </c>
      <c r="C478" s="255" t="s">
        <v>976</v>
      </c>
      <c r="D478" s="402">
        <f t="shared" si="29"/>
        <v>130782.20819999999</v>
      </c>
      <c r="E478" s="376">
        <v>805.21</v>
      </c>
      <c r="F478" s="402">
        <v>162.41999999999999</v>
      </c>
      <c r="G478" s="401">
        <f t="shared" si="30"/>
        <v>865.1</v>
      </c>
      <c r="H478" s="402">
        <f t="shared" si="31"/>
        <v>9727.3337999999931</v>
      </c>
      <c r="I478" s="402">
        <f t="shared" si="32"/>
        <v>140509.54199999999</v>
      </c>
    </row>
    <row r="479" spans="2:9" hidden="1">
      <c r="B479" s="156">
        <v>45043</v>
      </c>
      <c r="C479" s="255" t="s">
        <v>977</v>
      </c>
      <c r="D479" s="402">
        <f t="shared" si="29"/>
        <v>130782.20819999999</v>
      </c>
      <c r="E479" s="376">
        <v>805.21</v>
      </c>
      <c r="F479" s="402">
        <v>162.41999999999999</v>
      </c>
      <c r="G479" s="401">
        <f t="shared" si="30"/>
        <v>865.1</v>
      </c>
      <c r="H479" s="402">
        <f t="shared" si="31"/>
        <v>9727.3337999999931</v>
      </c>
      <c r="I479" s="402">
        <f t="shared" si="32"/>
        <v>140509.54199999999</v>
      </c>
    </row>
    <row r="480" spans="2:9" hidden="1">
      <c r="B480" s="156">
        <v>45043</v>
      </c>
      <c r="C480" s="255" t="s">
        <v>978</v>
      </c>
      <c r="D480" s="402">
        <f t="shared" si="29"/>
        <v>135661.78080000001</v>
      </c>
      <c r="E480" s="376">
        <v>805.21</v>
      </c>
      <c r="F480" s="402">
        <v>168.48</v>
      </c>
      <c r="G480" s="401">
        <f t="shared" si="30"/>
        <v>865.1</v>
      </c>
      <c r="H480" s="402">
        <f t="shared" si="31"/>
        <v>10090.267199999973</v>
      </c>
      <c r="I480" s="402">
        <f t="shared" si="32"/>
        <v>145752.04799999998</v>
      </c>
    </row>
    <row r="481" spans="2:9" hidden="1">
      <c r="B481" s="156">
        <v>45043</v>
      </c>
      <c r="C481" s="255" t="s">
        <v>979</v>
      </c>
      <c r="D481" s="402">
        <f t="shared" si="29"/>
        <v>135661.78080000001</v>
      </c>
      <c r="E481" s="376">
        <v>805.21</v>
      </c>
      <c r="F481" s="402">
        <v>168.48</v>
      </c>
      <c r="G481" s="401">
        <f t="shared" si="30"/>
        <v>865.1</v>
      </c>
      <c r="H481" s="402">
        <f t="shared" si="31"/>
        <v>10090.267199999973</v>
      </c>
      <c r="I481" s="402">
        <f t="shared" si="32"/>
        <v>145752.04799999998</v>
      </c>
    </row>
    <row r="482" spans="2:9" hidden="1">
      <c r="B482" s="156">
        <v>45043</v>
      </c>
      <c r="C482" s="255" t="s">
        <v>980</v>
      </c>
      <c r="D482" s="402">
        <f t="shared" si="29"/>
        <v>121023.06300000001</v>
      </c>
      <c r="E482" s="376">
        <v>805.21</v>
      </c>
      <c r="F482" s="402">
        <v>150.30000000000001</v>
      </c>
      <c r="G482" s="401">
        <f t="shared" si="30"/>
        <v>865.1</v>
      </c>
      <c r="H482" s="402">
        <f t="shared" si="31"/>
        <v>9001.4670000000042</v>
      </c>
      <c r="I482" s="402">
        <f t="shared" si="32"/>
        <v>130024.53000000001</v>
      </c>
    </row>
    <row r="483" spans="2:9" hidden="1">
      <c r="B483" s="156">
        <v>45043</v>
      </c>
      <c r="C483" s="255" t="s">
        <v>981</v>
      </c>
      <c r="D483" s="402">
        <f t="shared" si="29"/>
        <v>101456.46</v>
      </c>
      <c r="E483" s="376">
        <v>805.21</v>
      </c>
      <c r="F483" s="402">
        <v>126</v>
      </c>
      <c r="G483" s="401">
        <f t="shared" si="30"/>
        <v>865.1</v>
      </c>
      <c r="H483" s="402">
        <f t="shared" si="31"/>
        <v>7546.1399999999994</v>
      </c>
      <c r="I483" s="402">
        <f t="shared" si="32"/>
        <v>109002.6</v>
      </c>
    </row>
    <row r="484" spans="2:9" hidden="1">
      <c r="B484" s="156">
        <v>45043</v>
      </c>
      <c r="C484" s="255" t="s">
        <v>982</v>
      </c>
      <c r="D484" s="402">
        <f t="shared" si="29"/>
        <v>111215.60520000001</v>
      </c>
      <c r="E484" s="376">
        <v>805.21</v>
      </c>
      <c r="F484" s="402">
        <v>138.12</v>
      </c>
      <c r="G484" s="401">
        <f t="shared" si="30"/>
        <v>865.1</v>
      </c>
      <c r="H484" s="402">
        <f t="shared" si="31"/>
        <v>8272.0068000000028</v>
      </c>
      <c r="I484" s="402">
        <f t="shared" si="32"/>
        <v>119487.61200000001</v>
      </c>
    </row>
    <row r="485" spans="2:9" hidden="1">
      <c r="B485" s="156">
        <v>45043</v>
      </c>
      <c r="C485" s="255" t="s">
        <v>983</v>
      </c>
      <c r="D485" s="402">
        <f t="shared" si="29"/>
        <v>101456.46</v>
      </c>
      <c r="E485" s="376">
        <v>805.21</v>
      </c>
      <c r="F485" s="402">
        <v>126</v>
      </c>
      <c r="G485" s="401">
        <f t="shared" si="30"/>
        <v>865.1</v>
      </c>
      <c r="H485" s="402">
        <f t="shared" si="31"/>
        <v>7546.1399999999994</v>
      </c>
      <c r="I485" s="402">
        <f t="shared" si="32"/>
        <v>109002.6</v>
      </c>
    </row>
    <row r="486" spans="2:9" hidden="1">
      <c r="B486" s="156">
        <v>45043</v>
      </c>
      <c r="C486" s="255" t="s">
        <v>984</v>
      </c>
      <c r="D486" s="402">
        <f t="shared" si="29"/>
        <v>939196.94400000013</v>
      </c>
      <c r="E486" s="376">
        <v>805.21</v>
      </c>
      <c r="F486" s="402">
        <v>1166.4000000000001</v>
      </c>
      <c r="G486" s="401">
        <f t="shared" si="30"/>
        <v>865.1</v>
      </c>
      <c r="H486" s="402">
        <f t="shared" si="31"/>
        <v>69855.695999999996</v>
      </c>
      <c r="I486" s="402">
        <f t="shared" si="32"/>
        <v>1009052.6400000001</v>
      </c>
    </row>
    <row r="487" spans="2:9" hidden="1">
      <c r="B487" s="156">
        <v>45043</v>
      </c>
      <c r="C487" s="255" t="s">
        <v>985</v>
      </c>
      <c r="D487" s="402">
        <f t="shared" si="29"/>
        <v>101456.46</v>
      </c>
      <c r="E487" s="376">
        <v>805.21</v>
      </c>
      <c r="F487" s="402">
        <v>126</v>
      </c>
      <c r="G487" s="401">
        <f t="shared" si="30"/>
        <v>865.1</v>
      </c>
      <c r="H487" s="402">
        <f t="shared" si="31"/>
        <v>7546.1399999999994</v>
      </c>
      <c r="I487" s="402">
        <f t="shared" si="32"/>
        <v>109002.6</v>
      </c>
    </row>
    <row r="488" spans="2:9" hidden="1">
      <c r="B488" s="156">
        <v>45043</v>
      </c>
      <c r="C488" s="255" t="s">
        <v>986</v>
      </c>
      <c r="D488" s="402">
        <f t="shared" si="29"/>
        <v>130782.20819999999</v>
      </c>
      <c r="E488" s="376">
        <v>805.21</v>
      </c>
      <c r="F488" s="402">
        <v>162.41999999999999</v>
      </c>
      <c r="G488" s="401">
        <f t="shared" si="30"/>
        <v>865.1</v>
      </c>
      <c r="H488" s="402">
        <f t="shared" si="31"/>
        <v>9727.3337999999931</v>
      </c>
      <c r="I488" s="402">
        <f t="shared" si="32"/>
        <v>140509.54199999999</v>
      </c>
    </row>
    <row r="489" spans="2:9" hidden="1">
      <c r="B489" s="156">
        <v>45043</v>
      </c>
      <c r="C489" s="255" t="s">
        <v>987</v>
      </c>
      <c r="D489" s="402">
        <f t="shared" si="29"/>
        <v>135661.78080000001</v>
      </c>
      <c r="E489" s="376">
        <v>805.21</v>
      </c>
      <c r="F489" s="402">
        <v>168.48</v>
      </c>
      <c r="G489" s="401">
        <f t="shared" si="30"/>
        <v>865.1</v>
      </c>
      <c r="H489" s="402">
        <f t="shared" si="31"/>
        <v>10090.267199999973</v>
      </c>
      <c r="I489" s="402">
        <f t="shared" si="32"/>
        <v>145752.04799999998</v>
      </c>
    </row>
    <row r="490" spans="2:9" hidden="1">
      <c r="B490" s="156">
        <v>45043</v>
      </c>
      <c r="C490" s="255" t="s">
        <v>988</v>
      </c>
      <c r="D490" s="402">
        <f t="shared" si="29"/>
        <v>135661.78080000001</v>
      </c>
      <c r="E490" s="376">
        <v>805.21</v>
      </c>
      <c r="F490" s="402">
        <v>168.48</v>
      </c>
      <c r="G490" s="401">
        <f t="shared" si="30"/>
        <v>865.1</v>
      </c>
      <c r="H490" s="402">
        <f t="shared" si="31"/>
        <v>10090.267199999973</v>
      </c>
      <c r="I490" s="402">
        <f t="shared" si="32"/>
        <v>145752.04799999998</v>
      </c>
    </row>
    <row r="491" spans="2:9" hidden="1">
      <c r="B491" s="156">
        <v>45043</v>
      </c>
      <c r="C491" s="255" t="s">
        <v>989</v>
      </c>
      <c r="D491" s="402">
        <f t="shared" si="29"/>
        <v>108799.97520000002</v>
      </c>
      <c r="E491" s="376">
        <v>805.21</v>
      </c>
      <c r="F491" s="402">
        <v>135.12</v>
      </c>
      <c r="G491" s="401">
        <f t="shared" si="30"/>
        <v>865.1</v>
      </c>
      <c r="H491" s="402">
        <f t="shared" si="31"/>
        <v>8092.33679999999</v>
      </c>
      <c r="I491" s="402">
        <f t="shared" si="32"/>
        <v>116892.31200000001</v>
      </c>
    </row>
    <row r="492" spans="2:9" hidden="1">
      <c r="B492" s="156">
        <v>45043</v>
      </c>
      <c r="C492" s="255" t="s">
        <v>990</v>
      </c>
      <c r="D492" s="402">
        <f t="shared" si="29"/>
        <v>101456.46</v>
      </c>
      <c r="E492" s="376">
        <v>805.21</v>
      </c>
      <c r="F492" s="402">
        <v>126</v>
      </c>
      <c r="G492" s="401">
        <f t="shared" si="30"/>
        <v>865.1</v>
      </c>
      <c r="H492" s="402">
        <f t="shared" si="31"/>
        <v>7546.1399999999994</v>
      </c>
      <c r="I492" s="402">
        <f t="shared" si="32"/>
        <v>109002.6</v>
      </c>
    </row>
    <row r="493" spans="2:9" hidden="1">
      <c r="B493" s="156">
        <v>45043</v>
      </c>
      <c r="C493" s="255" t="s">
        <v>991</v>
      </c>
      <c r="D493" s="402">
        <f t="shared" si="29"/>
        <v>130782.20819999999</v>
      </c>
      <c r="E493" s="376">
        <v>805.21</v>
      </c>
      <c r="F493" s="402">
        <v>162.41999999999999</v>
      </c>
      <c r="G493" s="401">
        <f t="shared" si="30"/>
        <v>865.1</v>
      </c>
      <c r="H493" s="402">
        <f t="shared" si="31"/>
        <v>9727.3337999999931</v>
      </c>
      <c r="I493" s="402">
        <f t="shared" si="32"/>
        <v>140509.54199999999</v>
      </c>
    </row>
    <row r="494" spans="2:9" hidden="1">
      <c r="B494" s="156">
        <v>45043</v>
      </c>
      <c r="C494" s="255" t="s">
        <v>992</v>
      </c>
      <c r="D494" s="402">
        <f t="shared" si="29"/>
        <v>101456.46</v>
      </c>
      <c r="E494" s="376">
        <v>805.21</v>
      </c>
      <c r="F494" s="402">
        <v>126</v>
      </c>
      <c r="G494" s="401">
        <f t="shared" si="30"/>
        <v>865.1</v>
      </c>
      <c r="H494" s="402">
        <f t="shared" si="31"/>
        <v>7546.1399999999994</v>
      </c>
      <c r="I494" s="402">
        <f t="shared" si="32"/>
        <v>109002.6</v>
      </c>
    </row>
    <row r="495" spans="2:9" hidden="1">
      <c r="B495" s="156">
        <v>45043</v>
      </c>
      <c r="C495" s="255" t="s">
        <v>993</v>
      </c>
      <c r="D495" s="402">
        <f t="shared" si="29"/>
        <v>121023.06300000001</v>
      </c>
      <c r="E495" s="376">
        <v>805.21</v>
      </c>
      <c r="F495" s="402">
        <v>150.30000000000001</v>
      </c>
      <c r="G495" s="401">
        <f t="shared" si="30"/>
        <v>865.1</v>
      </c>
      <c r="H495" s="402">
        <f t="shared" si="31"/>
        <v>9001.4670000000042</v>
      </c>
      <c r="I495" s="402">
        <f t="shared" si="32"/>
        <v>130024.53000000001</v>
      </c>
    </row>
    <row r="496" spans="2:9" hidden="1">
      <c r="B496" s="156">
        <v>45043</v>
      </c>
      <c r="C496" s="255" t="s">
        <v>994</v>
      </c>
      <c r="D496" s="402">
        <f t="shared" si="29"/>
        <v>130782.20819999999</v>
      </c>
      <c r="E496" s="376">
        <v>805.21</v>
      </c>
      <c r="F496" s="402">
        <v>162.41999999999999</v>
      </c>
      <c r="G496" s="401">
        <f t="shared" si="30"/>
        <v>865.1</v>
      </c>
      <c r="H496" s="402">
        <f t="shared" si="31"/>
        <v>9727.3337999999931</v>
      </c>
      <c r="I496" s="402">
        <f t="shared" si="32"/>
        <v>140509.54199999999</v>
      </c>
    </row>
    <row r="497" spans="2:9" hidden="1">
      <c r="B497" s="156">
        <v>45043</v>
      </c>
      <c r="C497" s="255" t="s">
        <v>995</v>
      </c>
      <c r="D497" s="402">
        <f t="shared" si="29"/>
        <v>130782.20819999999</v>
      </c>
      <c r="E497" s="376">
        <v>805.21</v>
      </c>
      <c r="F497" s="402">
        <v>162.41999999999999</v>
      </c>
      <c r="G497" s="401">
        <f t="shared" si="30"/>
        <v>865.1</v>
      </c>
      <c r="H497" s="402">
        <f t="shared" si="31"/>
        <v>9727.3337999999931</v>
      </c>
      <c r="I497" s="402">
        <f t="shared" si="32"/>
        <v>140509.54199999999</v>
      </c>
    </row>
    <row r="498" spans="2:9" hidden="1">
      <c r="B498" s="156">
        <v>45043</v>
      </c>
      <c r="C498" s="255" t="s">
        <v>996</v>
      </c>
      <c r="D498" s="402">
        <f t="shared" si="29"/>
        <v>101456.46</v>
      </c>
      <c r="E498" s="376">
        <v>805.21</v>
      </c>
      <c r="F498" s="402">
        <v>126</v>
      </c>
      <c r="G498" s="401">
        <f t="shared" si="30"/>
        <v>865.1</v>
      </c>
      <c r="H498" s="402">
        <f t="shared" si="31"/>
        <v>7546.1399999999994</v>
      </c>
      <c r="I498" s="402">
        <f t="shared" si="32"/>
        <v>109002.6</v>
      </c>
    </row>
    <row r="499" spans="2:9" hidden="1">
      <c r="B499" s="156">
        <v>45043</v>
      </c>
      <c r="C499" s="255" t="s">
        <v>997</v>
      </c>
      <c r="D499" s="402">
        <f t="shared" si="29"/>
        <v>101456.46</v>
      </c>
      <c r="E499" s="376">
        <v>805.21</v>
      </c>
      <c r="F499" s="402">
        <v>126</v>
      </c>
      <c r="G499" s="401">
        <f t="shared" si="30"/>
        <v>865.1</v>
      </c>
      <c r="H499" s="402">
        <f t="shared" si="31"/>
        <v>7546.1399999999994</v>
      </c>
      <c r="I499" s="402">
        <f t="shared" si="32"/>
        <v>109002.6</v>
      </c>
    </row>
    <row r="500" spans="2:9" hidden="1">
      <c r="B500" s="156">
        <v>45043</v>
      </c>
      <c r="C500" s="255" t="s">
        <v>998</v>
      </c>
      <c r="D500" s="402">
        <f t="shared" si="29"/>
        <v>101456.46</v>
      </c>
      <c r="E500" s="376">
        <v>805.21</v>
      </c>
      <c r="F500" s="402">
        <v>126</v>
      </c>
      <c r="G500" s="401">
        <f t="shared" si="30"/>
        <v>865.1</v>
      </c>
      <c r="H500" s="402">
        <f t="shared" si="31"/>
        <v>7546.1399999999994</v>
      </c>
      <c r="I500" s="402">
        <f t="shared" si="32"/>
        <v>109002.6</v>
      </c>
    </row>
    <row r="501" spans="2:9" hidden="1">
      <c r="B501" s="156">
        <v>45043</v>
      </c>
      <c r="C501" s="255" t="s">
        <v>999</v>
      </c>
      <c r="D501" s="402">
        <f t="shared" si="29"/>
        <v>101456.46</v>
      </c>
      <c r="E501" s="376">
        <v>805.21</v>
      </c>
      <c r="F501" s="402">
        <v>126</v>
      </c>
      <c r="G501" s="401">
        <f t="shared" si="30"/>
        <v>865.1</v>
      </c>
      <c r="H501" s="402">
        <f t="shared" si="31"/>
        <v>7546.1399999999994</v>
      </c>
      <c r="I501" s="402">
        <f t="shared" si="32"/>
        <v>109002.6</v>
      </c>
    </row>
    <row r="502" spans="2:9" hidden="1">
      <c r="B502" s="156">
        <v>45043</v>
      </c>
      <c r="C502" s="255" t="s">
        <v>1000</v>
      </c>
      <c r="D502" s="402">
        <f t="shared" si="29"/>
        <v>101456.46</v>
      </c>
      <c r="E502" s="376">
        <v>805.21</v>
      </c>
      <c r="F502" s="402">
        <v>126</v>
      </c>
      <c r="G502" s="401">
        <f t="shared" si="30"/>
        <v>865.1</v>
      </c>
      <c r="H502" s="402">
        <f t="shared" si="31"/>
        <v>7546.1399999999994</v>
      </c>
      <c r="I502" s="402">
        <f t="shared" si="32"/>
        <v>109002.6</v>
      </c>
    </row>
    <row r="503" spans="2:9" hidden="1">
      <c r="B503" s="156">
        <v>45043</v>
      </c>
      <c r="C503" s="255" t="s">
        <v>1001</v>
      </c>
      <c r="D503" s="402">
        <f t="shared" si="29"/>
        <v>101456.46</v>
      </c>
      <c r="E503" s="376">
        <v>805.21</v>
      </c>
      <c r="F503" s="402">
        <v>126</v>
      </c>
      <c r="G503" s="401">
        <f t="shared" si="30"/>
        <v>865.1</v>
      </c>
      <c r="H503" s="402">
        <f t="shared" si="31"/>
        <v>7546.1399999999994</v>
      </c>
      <c r="I503" s="402">
        <f t="shared" si="32"/>
        <v>109002.6</v>
      </c>
    </row>
    <row r="504" spans="2:9" hidden="1">
      <c r="B504" s="156">
        <v>45043</v>
      </c>
      <c r="C504" s="255" t="s">
        <v>1002</v>
      </c>
      <c r="D504" s="402">
        <f t="shared" si="29"/>
        <v>111215.60520000001</v>
      </c>
      <c r="E504" s="376">
        <v>805.21</v>
      </c>
      <c r="F504" s="402">
        <v>138.12</v>
      </c>
      <c r="G504" s="401">
        <f t="shared" si="30"/>
        <v>865.1</v>
      </c>
      <c r="H504" s="402">
        <f t="shared" si="31"/>
        <v>8272.0068000000028</v>
      </c>
      <c r="I504" s="402">
        <f t="shared" si="32"/>
        <v>119487.61200000001</v>
      </c>
    </row>
    <row r="505" spans="2:9" hidden="1">
      <c r="B505" s="156">
        <v>45043</v>
      </c>
      <c r="C505" s="255" t="s">
        <v>1003</v>
      </c>
      <c r="D505" s="402">
        <f t="shared" si="29"/>
        <v>121023.06300000001</v>
      </c>
      <c r="E505" s="376">
        <v>805.21</v>
      </c>
      <c r="F505" s="402">
        <v>150.30000000000001</v>
      </c>
      <c r="G505" s="401">
        <f t="shared" si="30"/>
        <v>865.1</v>
      </c>
      <c r="H505" s="402">
        <f t="shared" si="31"/>
        <v>9001.4670000000042</v>
      </c>
      <c r="I505" s="402">
        <f t="shared" si="32"/>
        <v>130024.53000000001</v>
      </c>
    </row>
    <row r="506" spans="2:9" hidden="1">
      <c r="B506" s="156">
        <v>45043</v>
      </c>
      <c r="C506" s="255" t="s">
        <v>1004</v>
      </c>
      <c r="D506" s="402">
        <f t="shared" si="29"/>
        <v>121023.06300000001</v>
      </c>
      <c r="E506" s="376">
        <v>805.21</v>
      </c>
      <c r="F506" s="402">
        <v>150.30000000000001</v>
      </c>
      <c r="G506" s="401">
        <f t="shared" si="30"/>
        <v>865.1</v>
      </c>
      <c r="H506" s="402">
        <f t="shared" si="31"/>
        <v>9001.4670000000042</v>
      </c>
      <c r="I506" s="402">
        <f t="shared" si="32"/>
        <v>130024.53000000001</v>
      </c>
    </row>
    <row r="507" spans="2:9" hidden="1">
      <c r="B507" s="156">
        <v>45043</v>
      </c>
      <c r="C507" s="255" t="s">
        <v>1005</v>
      </c>
      <c r="D507" s="402">
        <f t="shared" si="29"/>
        <v>121023.06300000001</v>
      </c>
      <c r="E507" s="376">
        <v>805.21</v>
      </c>
      <c r="F507" s="402">
        <v>150.30000000000001</v>
      </c>
      <c r="G507" s="401">
        <f t="shared" si="30"/>
        <v>865.1</v>
      </c>
      <c r="H507" s="402">
        <f t="shared" si="31"/>
        <v>9001.4670000000042</v>
      </c>
      <c r="I507" s="402">
        <f t="shared" si="32"/>
        <v>130024.53000000001</v>
      </c>
    </row>
    <row r="508" spans="2:9" hidden="1">
      <c r="B508" s="156">
        <v>45043</v>
      </c>
      <c r="C508" s="255" t="s">
        <v>1006</v>
      </c>
      <c r="D508" s="402">
        <f t="shared" si="29"/>
        <v>135661.78080000001</v>
      </c>
      <c r="E508" s="376">
        <v>805.21</v>
      </c>
      <c r="F508" s="402">
        <v>168.48</v>
      </c>
      <c r="G508" s="401">
        <f t="shared" si="30"/>
        <v>865.1</v>
      </c>
      <c r="H508" s="402">
        <f t="shared" si="31"/>
        <v>10090.267199999973</v>
      </c>
      <c r="I508" s="402">
        <f t="shared" si="32"/>
        <v>145752.04799999998</v>
      </c>
    </row>
    <row r="509" spans="2:9" hidden="1">
      <c r="B509" s="156">
        <v>45043</v>
      </c>
      <c r="C509" s="255" t="s">
        <v>1007</v>
      </c>
      <c r="D509" s="402">
        <f t="shared" si="29"/>
        <v>130782.20819999999</v>
      </c>
      <c r="E509" s="376">
        <v>805.21</v>
      </c>
      <c r="F509" s="402">
        <v>162.41999999999999</v>
      </c>
      <c r="G509" s="401">
        <f t="shared" si="30"/>
        <v>865.1</v>
      </c>
      <c r="H509" s="402">
        <f t="shared" si="31"/>
        <v>9727.3337999999931</v>
      </c>
      <c r="I509" s="402">
        <f t="shared" si="32"/>
        <v>140509.54199999999</v>
      </c>
    </row>
    <row r="510" spans="2:9" hidden="1">
      <c r="B510" s="156">
        <v>45043</v>
      </c>
      <c r="C510" s="255" t="s">
        <v>1008</v>
      </c>
      <c r="D510" s="402">
        <f t="shared" si="29"/>
        <v>101456.46</v>
      </c>
      <c r="E510" s="376">
        <v>805.21</v>
      </c>
      <c r="F510" s="402">
        <v>126</v>
      </c>
      <c r="G510" s="401">
        <f t="shared" si="30"/>
        <v>865.1</v>
      </c>
      <c r="H510" s="402">
        <f t="shared" si="31"/>
        <v>7546.1399999999994</v>
      </c>
      <c r="I510" s="402">
        <f t="shared" si="32"/>
        <v>109002.6</v>
      </c>
    </row>
    <row r="511" spans="2:9" hidden="1">
      <c r="B511" s="156">
        <v>45043</v>
      </c>
      <c r="C511" s="255" t="s">
        <v>1009</v>
      </c>
      <c r="D511" s="402">
        <f t="shared" si="29"/>
        <v>101456.46</v>
      </c>
      <c r="E511" s="376">
        <v>805.21</v>
      </c>
      <c r="F511" s="402">
        <v>126</v>
      </c>
      <c r="G511" s="401">
        <f t="shared" si="30"/>
        <v>865.1</v>
      </c>
      <c r="H511" s="402">
        <f t="shared" si="31"/>
        <v>7546.1399999999994</v>
      </c>
      <c r="I511" s="402">
        <f t="shared" si="32"/>
        <v>109002.6</v>
      </c>
    </row>
    <row r="512" spans="2:9" hidden="1">
      <c r="B512" s="156">
        <v>45043</v>
      </c>
      <c r="C512" s="255" t="s">
        <v>1010</v>
      </c>
      <c r="D512" s="402">
        <f t="shared" si="29"/>
        <v>121023.06300000001</v>
      </c>
      <c r="E512" s="376">
        <v>805.21</v>
      </c>
      <c r="F512" s="402">
        <v>150.30000000000001</v>
      </c>
      <c r="G512" s="401">
        <f t="shared" si="30"/>
        <v>865.1</v>
      </c>
      <c r="H512" s="402">
        <f t="shared" si="31"/>
        <v>9001.4670000000042</v>
      </c>
      <c r="I512" s="402">
        <f t="shared" si="32"/>
        <v>130024.53000000001</v>
      </c>
    </row>
    <row r="513" spans="2:9" hidden="1">
      <c r="B513" s="156">
        <v>45043</v>
      </c>
      <c r="C513" s="255" t="s">
        <v>1011</v>
      </c>
      <c r="D513" s="402">
        <f t="shared" si="29"/>
        <v>101456.46</v>
      </c>
      <c r="E513" s="376">
        <v>805.21</v>
      </c>
      <c r="F513" s="402">
        <v>126</v>
      </c>
      <c r="G513" s="401">
        <f t="shared" si="30"/>
        <v>865.1</v>
      </c>
      <c r="H513" s="402">
        <f t="shared" si="31"/>
        <v>7546.1399999999994</v>
      </c>
      <c r="I513" s="402">
        <f t="shared" si="32"/>
        <v>109002.6</v>
      </c>
    </row>
    <row r="514" spans="2:9" hidden="1">
      <c r="B514" s="156">
        <v>45043</v>
      </c>
      <c r="C514" s="255" t="s">
        <v>1012</v>
      </c>
      <c r="D514" s="402">
        <f t="shared" si="29"/>
        <v>108799.97520000002</v>
      </c>
      <c r="E514" s="376">
        <v>805.21</v>
      </c>
      <c r="F514" s="402">
        <v>135.12</v>
      </c>
      <c r="G514" s="401">
        <f t="shared" si="30"/>
        <v>865.1</v>
      </c>
      <c r="H514" s="402">
        <f t="shared" si="31"/>
        <v>8092.33679999999</v>
      </c>
      <c r="I514" s="402">
        <f t="shared" si="32"/>
        <v>116892.31200000001</v>
      </c>
    </row>
    <row r="515" spans="2:9" hidden="1">
      <c r="B515" s="156">
        <v>45043</v>
      </c>
      <c r="C515" s="255" t="s">
        <v>1013</v>
      </c>
      <c r="D515" s="402">
        <f t="shared" si="29"/>
        <v>111215.60520000001</v>
      </c>
      <c r="E515" s="376">
        <v>805.21</v>
      </c>
      <c r="F515" s="402">
        <v>138.12</v>
      </c>
      <c r="G515" s="401">
        <f t="shared" si="30"/>
        <v>865.1</v>
      </c>
      <c r="H515" s="402">
        <f t="shared" si="31"/>
        <v>8272.0068000000028</v>
      </c>
      <c r="I515" s="402">
        <f t="shared" si="32"/>
        <v>119487.61200000001</v>
      </c>
    </row>
    <row r="516" spans="2:9" hidden="1">
      <c r="B516" s="156">
        <v>45043</v>
      </c>
      <c r="C516" s="255" t="s">
        <v>1014</v>
      </c>
      <c r="D516" s="402">
        <f t="shared" ref="D516:D579" si="33">F516*E516</f>
        <v>121023.06300000001</v>
      </c>
      <c r="E516" s="376">
        <v>805.21</v>
      </c>
      <c r="F516" s="402">
        <v>150.30000000000001</v>
      </c>
      <c r="G516" s="401">
        <f t="shared" si="30"/>
        <v>865.1</v>
      </c>
      <c r="H516" s="402">
        <f t="shared" si="31"/>
        <v>9001.4670000000042</v>
      </c>
      <c r="I516" s="402">
        <f t="shared" si="32"/>
        <v>130024.53000000001</v>
      </c>
    </row>
    <row r="517" spans="2:9" hidden="1">
      <c r="B517" s="156">
        <v>45043</v>
      </c>
      <c r="C517" s="255" t="s">
        <v>1015</v>
      </c>
      <c r="D517" s="402">
        <f t="shared" si="33"/>
        <v>101456.46</v>
      </c>
      <c r="E517" s="376">
        <v>805.21</v>
      </c>
      <c r="F517" s="402">
        <v>126</v>
      </c>
      <c r="G517" s="401">
        <f t="shared" ref="G517:G580" si="34">+G412</f>
        <v>865.1</v>
      </c>
      <c r="H517" s="402">
        <f t="shared" si="31"/>
        <v>7546.1399999999994</v>
      </c>
      <c r="I517" s="402">
        <f t="shared" si="32"/>
        <v>109002.6</v>
      </c>
    </row>
    <row r="518" spans="2:9" hidden="1">
      <c r="B518" s="156">
        <v>45043</v>
      </c>
      <c r="C518" s="255" t="s">
        <v>1016</v>
      </c>
      <c r="D518" s="402">
        <f t="shared" si="33"/>
        <v>130782.20819999999</v>
      </c>
      <c r="E518" s="376">
        <v>805.21</v>
      </c>
      <c r="F518" s="402">
        <v>162.41999999999999</v>
      </c>
      <c r="G518" s="401">
        <f t="shared" si="34"/>
        <v>865.1</v>
      </c>
      <c r="H518" s="402">
        <f t="shared" si="31"/>
        <v>9727.3337999999931</v>
      </c>
      <c r="I518" s="402">
        <f t="shared" si="32"/>
        <v>140509.54199999999</v>
      </c>
    </row>
    <row r="519" spans="2:9" hidden="1">
      <c r="B519" s="156">
        <v>45043</v>
      </c>
      <c r="C519" s="255" t="s">
        <v>1017</v>
      </c>
      <c r="D519" s="402">
        <f t="shared" si="33"/>
        <v>135661.78080000001</v>
      </c>
      <c r="E519" s="376">
        <v>805.21</v>
      </c>
      <c r="F519" s="402">
        <v>168.48</v>
      </c>
      <c r="G519" s="401">
        <f t="shared" si="34"/>
        <v>865.1</v>
      </c>
      <c r="H519" s="402">
        <f t="shared" ref="H519:H582" si="35">+I519-D519</f>
        <v>10090.267199999973</v>
      </c>
      <c r="I519" s="402">
        <f t="shared" ref="I519:I582" si="36">+F519*G519</f>
        <v>145752.04799999998</v>
      </c>
    </row>
    <row r="520" spans="2:9" hidden="1">
      <c r="B520" s="156">
        <v>45043</v>
      </c>
      <c r="C520" s="255" t="s">
        <v>1018</v>
      </c>
      <c r="D520" s="402">
        <f t="shared" si="33"/>
        <v>130782.20819999999</v>
      </c>
      <c r="E520" s="376">
        <v>805.21</v>
      </c>
      <c r="F520" s="402">
        <v>162.41999999999999</v>
      </c>
      <c r="G520" s="401">
        <f t="shared" si="34"/>
        <v>865.1</v>
      </c>
      <c r="H520" s="402">
        <f t="shared" si="35"/>
        <v>9727.3337999999931</v>
      </c>
      <c r="I520" s="402">
        <f t="shared" si="36"/>
        <v>140509.54199999999</v>
      </c>
    </row>
    <row r="521" spans="2:9" hidden="1">
      <c r="B521" s="156">
        <v>45043</v>
      </c>
      <c r="C521" s="255" t="s">
        <v>1019</v>
      </c>
      <c r="D521" s="402">
        <f t="shared" si="33"/>
        <v>111215.60520000001</v>
      </c>
      <c r="E521" s="376">
        <v>805.21</v>
      </c>
      <c r="F521" s="402">
        <v>138.12</v>
      </c>
      <c r="G521" s="401">
        <f t="shared" si="34"/>
        <v>865.1</v>
      </c>
      <c r="H521" s="402">
        <f t="shared" si="35"/>
        <v>8272.0068000000028</v>
      </c>
      <c r="I521" s="402">
        <f t="shared" si="36"/>
        <v>119487.61200000001</v>
      </c>
    </row>
    <row r="522" spans="2:9" hidden="1">
      <c r="B522" s="156">
        <v>45043</v>
      </c>
      <c r="C522" s="255" t="s">
        <v>1020</v>
      </c>
      <c r="D522" s="402">
        <f t="shared" si="33"/>
        <v>101456.46</v>
      </c>
      <c r="E522" s="376">
        <v>805.21</v>
      </c>
      <c r="F522" s="402">
        <v>126</v>
      </c>
      <c r="G522" s="401">
        <f t="shared" si="34"/>
        <v>865.1</v>
      </c>
      <c r="H522" s="402">
        <f t="shared" si="35"/>
        <v>7546.1399999999994</v>
      </c>
      <c r="I522" s="402">
        <f t="shared" si="36"/>
        <v>109002.6</v>
      </c>
    </row>
    <row r="523" spans="2:9" hidden="1">
      <c r="B523" s="156">
        <v>45043</v>
      </c>
      <c r="C523" s="255" t="s">
        <v>1021</v>
      </c>
      <c r="D523" s="402">
        <f t="shared" si="33"/>
        <v>121023.06300000001</v>
      </c>
      <c r="E523" s="376">
        <v>805.21</v>
      </c>
      <c r="F523" s="402">
        <v>150.30000000000001</v>
      </c>
      <c r="G523" s="401">
        <f t="shared" si="34"/>
        <v>865.1</v>
      </c>
      <c r="H523" s="402">
        <f t="shared" si="35"/>
        <v>9001.4670000000042</v>
      </c>
      <c r="I523" s="402">
        <f t="shared" si="36"/>
        <v>130024.53000000001</v>
      </c>
    </row>
    <row r="524" spans="2:9" hidden="1">
      <c r="B524" s="156">
        <v>45043</v>
      </c>
      <c r="C524" s="255" t="s">
        <v>1022</v>
      </c>
      <c r="D524" s="402">
        <f t="shared" si="33"/>
        <v>130782.20819999999</v>
      </c>
      <c r="E524" s="376">
        <v>805.21</v>
      </c>
      <c r="F524" s="402">
        <v>162.41999999999999</v>
      </c>
      <c r="G524" s="401">
        <f t="shared" si="34"/>
        <v>865.1</v>
      </c>
      <c r="H524" s="402">
        <f t="shared" si="35"/>
        <v>9727.3337999999931</v>
      </c>
      <c r="I524" s="402">
        <f t="shared" si="36"/>
        <v>140509.54199999999</v>
      </c>
    </row>
    <row r="525" spans="2:9" hidden="1">
      <c r="B525" s="156">
        <v>45043</v>
      </c>
      <c r="C525" s="255" t="s">
        <v>1023</v>
      </c>
      <c r="D525" s="402">
        <f t="shared" si="33"/>
        <v>101456.46</v>
      </c>
      <c r="E525" s="376">
        <v>805.21</v>
      </c>
      <c r="F525" s="402">
        <v>126</v>
      </c>
      <c r="G525" s="401">
        <f t="shared" si="34"/>
        <v>865.1</v>
      </c>
      <c r="H525" s="402">
        <f t="shared" si="35"/>
        <v>7546.1399999999994</v>
      </c>
      <c r="I525" s="402">
        <f t="shared" si="36"/>
        <v>109002.6</v>
      </c>
    </row>
    <row r="526" spans="2:9" hidden="1">
      <c r="B526" s="156">
        <v>45043</v>
      </c>
      <c r="C526" s="255" t="s">
        <v>1024</v>
      </c>
      <c r="D526" s="402">
        <f t="shared" si="33"/>
        <v>101456.46</v>
      </c>
      <c r="E526" s="376">
        <v>805.21</v>
      </c>
      <c r="F526" s="402">
        <v>126</v>
      </c>
      <c r="G526" s="401">
        <f t="shared" si="34"/>
        <v>865.1</v>
      </c>
      <c r="H526" s="402">
        <f t="shared" si="35"/>
        <v>7546.1399999999994</v>
      </c>
      <c r="I526" s="402">
        <f t="shared" si="36"/>
        <v>109002.6</v>
      </c>
    </row>
    <row r="527" spans="2:9" hidden="1">
      <c r="B527" s="156">
        <v>45043</v>
      </c>
      <c r="C527" s="255" t="s">
        <v>1025</v>
      </c>
      <c r="D527" s="402">
        <f t="shared" si="33"/>
        <v>135661.78080000001</v>
      </c>
      <c r="E527" s="376">
        <v>805.21</v>
      </c>
      <c r="F527" s="402">
        <v>168.48</v>
      </c>
      <c r="G527" s="401">
        <f t="shared" si="34"/>
        <v>865.1</v>
      </c>
      <c r="H527" s="402">
        <f t="shared" si="35"/>
        <v>10090.267199999973</v>
      </c>
      <c r="I527" s="402">
        <f t="shared" si="36"/>
        <v>145752.04799999998</v>
      </c>
    </row>
    <row r="528" spans="2:9" hidden="1">
      <c r="B528" s="156">
        <v>45043</v>
      </c>
      <c r="C528" s="255" t="s">
        <v>1026</v>
      </c>
      <c r="D528" s="402">
        <f t="shared" si="33"/>
        <v>101456.46</v>
      </c>
      <c r="E528" s="376">
        <v>805.21</v>
      </c>
      <c r="F528" s="402">
        <v>126</v>
      </c>
      <c r="G528" s="401">
        <f t="shared" si="34"/>
        <v>865.1</v>
      </c>
      <c r="H528" s="402">
        <f t="shared" si="35"/>
        <v>7546.1399999999994</v>
      </c>
      <c r="I528" s="402">
        <f t="shared" si="36"/>
        <v>109002.6</v>
      </c>
    </row>
    <row r="529" spans="2:9" hidden="1">
      <c r="B529" s="156">
        <v>45043</v>
      </c>
      <c r="C529" s="255" t="s">
        <v>1027</v>
      </c>
      <c r="D529" s="402">
        <f t="shared" si="33"/>
        <v>101456.46</v>
      </c>
      <c r="E529" s="376">
        <v>805.21</v>
      </c>
      <c r="F529" s="402">
        <v>126</v>
      </c>
      <c r="G529" s="401">
        <f t="shared" si="34"/>
        <v>865.1</v>
      </c>
      <c r="H529" s="402">
        <f t="shared" si="35"/>
        <v>7546.1399999999994</v>
      </c>
      <c r="I529" s="402">
        <f t="shared" si="36"/>
        <v>109002.6</v>
      </c>
    </row>
    <row r="530" spans="2:9" hidden="1">
      <c r="B530" s="156">
        <v>45043</v>
      </c>
      <c r="C530" s="255" t="s">
        <v>1028</v>
      </c>
      <c r="D530" s="402">
        <f t="shared" si="33"/>
        <v>130782.20819999999</v>
      </c>
      <c r="E530" s="376">
        <v>805.21</v>
      </c>
      <c r="F530" s="402">
        <v>162.41999999999999</v>
      </c>
      <c r="G530" s="401">
        <f t="shared" si="34"/>
        <v>865.1</v>
      </c>
      <c r="H530" s="402">
        <f t="shared" si="35"/>
        <v>9727.3337999999931</v>
      </c>
      <c r="I530" s="402">
        <f t="shared" si="36"/>
        <v>140509.54199999999</v>
      </c>
    </row>
    <row r="531" spans="2:9" hidden="1">
      <c r="B531" s="156">
        <v>45043</v>
      </c>
      <c r="C531" s="255" t="s">
        <v>1029</v>
      </c>
      <c r="D531" s="402">
        <f t="shared" si="33"/>
        <v>121023.06300000001</v>
      </c>
      <c r="E531" s="376">
        <v>805.21</v>
      </c>
      <c r="F531" s="402">
        <v>150.30000000000001</v>
      </c>
      <c r="G531" s="401">
        <f t="shared" si="34"/>
        <v>865.1</v>
      </c>
      <c r="H531" s="402">
        <f t="shared" si="35"/>
        <v>9001.4670000000042</v>
      </c>
      <c r="I531" s="402">
        <f t="shared" si="36"/>
        <v>130024.53000000001</v>
      </c>
    </row>
    <row r="532" spans="2:9" hidden="1">
      <c r="B532" s="156">
        <v>45043</v>
      </c>
      <c r="C532" s="255" t="s">
        <v>1030</v>
      </c>
      <c r="D532" s="402">
        <f t="shared" si="33"/>
        <v>121023.06300000001</v>
      </c>
      <c r="E532" s="376">
        <v>805.21</v>
      </c>
      <c r="F532" s="402">
        <v>150.30000000000001</v>
      </c>
      <c r="G532" s="401">
        <f t="shared" si="34"/>
        <v>865.1</v>
      </c>
      <c r="H532" s="402">
        <f t="shared" si="35"/>
        <v>9001.4670000000042</v>
      </c>
      <c r="I532" s="402">
        <f t="shared" si="36"/>
        <v>130024.53000000001</v>
      </c>
    </row>
    <row r="533" spans="2:9" hidden="1">
      <c r="B533" s="156">
        <v>45043</v>
      </c>
      <c r="C533" s="255" t="s">
        <v>1031</v>
      </c>
      <c r="D533" s="402">
        <f t="shared" si="33"/>
        <v>108799.97520000002</v>
      </c>
      <c r="E533" s="376">
        <v>805.21</v>
      </c>
      <c r="F533" s="402">
        <v>135.12</v>
      </c>
      <c r="G533" s="401">
        <f t="shared" si="34"/>
        <v>865.1</v>
      </c>
      <c r="H533" s="402">
        <f t="shared" si="35"/>
        <v>8092.33679999999</v>
      </c>
      <c r="I533" s="402">
        <f t="shared" si="36"/>
        <v>116892.31200000001</v>
      </c>
    </row>
    <row r="534" spans="2:9" hidden="1">
      <c r="B534" s="156">
        <v>45043</v>
      </c>
      <c r="C534" s="255" t="s">
        <v>1032</v>
      </c>
      <c r="D534" s="402">
        <f t="shared" si="33"/>
        <v>135661.78080000001</v>
      </c>
      <c r="E534" s="376">
        <v>805.21</v>
      </c>
      <c r="F534" s="402">
        <v>168.48</v>
      </c>
      <c r="G534" s="401">
        <f t="shared" si="34"/>
        <v>865.1</v>
      </c>
      <c r="H534" s="402">
        <f t="shared" si="35"/>
        <v>10090.267199999973</v>
      </c>
      <c r="I534" s="402">
        <f t="shared" si="36"/>
        <v>145752.04799999998</v>
      </c>
    </row>
    <row r="535" spans="2:9" hidden="1">
      <c r="B535" s="156">
        <v>45043</v>
      </c>
      <c r="C535" s="255" t="s">
        <v>1033</v>
      </c>
      <c r="D535" s="402">
        <f t="shared" si="33"/>
        <v>135661.78080000001</v>
      </c>
      <c r="E535" s="376">
        <v>805.21</v>
      </c>
      <c r="F535" s="402">
        <v>168.48</v>
      </c>
      <c r="G535" s="401">
        <f t="shared" si="34"/>
        <v>865.1</v>
      </c>
      <c r="H535" s="402">
        <f t="shared" si="35"/>
        <v>10090.267199999973</v>
      </c>
      <c r="I535" s="402">
        <f t="shared" si="36"/>
        <v>145752.04799999998</v>
      </c>
    </row>
    <row r="536" spans="2:9" hidden="1">
      <c r="B536" s="156">
        <v>45043</v>
      </c>
      <c r="C536" s="255" t="s">
        <v>1034</v>
      </c>
      <c r="D536" s="402">
        <f t="shared" si="33"/>
        <v>135661.78080000001</v>
      </c>
      <c r="E536" s="376">
        <v>805.21</v>
      </c>
      <c r="F536" s="402">
        <v>168.48</v>
      </c>
      <c r="G536" s="401">
        <f t="shared" si="34"/>
        <v>865.1</v>
      </c>
      <c r="H536" s="402">
        <f t="shared" si="35"/>
        <v>10090.267199999973</v>
      </c>
      <c r="I536" s="402">
        <f t="shared" si="36"/>
        <v>145752.04799999998</v>
      </c>
    </row>
    <row r="537" spans="2:9" hidden="1">
      <c r="B537" s="156">
        <v>45043</v>
      </c>
      <c r="C537" s="255" t="s">
        <v>1035</v>
      </c>
      <c r="D537" s="402">
        <f t="shared" si="33"/>
        <v>108799.97520000002</v>
      </c>
      <c r="E537" s="376">
        <v>805.21</v>
      </c>
      <c r="F537" s="402">
        <v>135.12</v>
      </c>
      <c r="G537" s="401">
        <f t="shared" si="34"/>
        <v>865.1</v>
      </c>
      <c r="H537" s="402">
        <f t="shared" si="35"/>
        <v>8092.33679999999</v>
      </c>
      <c r="I537" s="402">
        <f t="shared" si="36"/>
        <v>116892.31200000001</v>
      </c>
    </row>
    <row r="538" spans="2:9" hidden="1">
      <c r="B538" s="156">
        <v>45043</v>
      </c>
      <c r="C538" s="255" t="s">
        <v>1036</v>
      </c>
      <c r="D538" s="402">
        <f t="shared" si="33"/>
        <v>101456.46</v>
      </c>
      <c r="E538" s="376">
        <v>805.21</v>
      </c>
      <c r="F538" s="402">
        <v>126</v>
      </c>
      <c r="G538" s="401">
        <f t="shared" si="34"/>
        <v>865.1</v>
      </c>
      <c r="H538" s="402">
        <f t="shared" si="35"/>
        <v>7546.1399999999994</v>
      </c>
      <c r="I538" s="402">
        <f t="shared" si="36"/>
        <v>109002.6</v>
      </c>
    </row>
    <row r="539" spans="2:9" hidden="1">
      <c r="B539" s="156">
        <v>45043</v>
      </c>
      <c r="C539" s="255" t="s">
        <v>1037</v>
      </c>
      <c r="D539" s="402">
        <f t="shared" si="33"/>
        <v>121023.06300000001</v>
      </c>
      <c r="E539" s="376">
        <v>805.21</v>
      </c>
      <c r="F539" s="402">
        <v>150.30000000000001</v>
      </c>
      <c r="G539" s="401">
        <f t="shared" si="34"/>
        <v>865.1</v>
      </c>
      <c r="H539" s="402">
        <f t="shared" si="35"/>
        <v>9001.4670000000042</v>
      </c>
      <c r="I539" s="402">
        <f t="shared" si="36"/>
        <v>130024.53000000001</v>
      </c>
    </row>
    <row r="540" spans="2:9" hidden="1">
      <c r="B540" s="156">
        <v>45043</v>
      </c>
      <c r="C540" s="255" t="s">
        <v>1038</v>
      </c>
      <c r="D540" s="402">
        <f t="shared" si="33"/>
        <v>108799.97520000002</v>
      </c>
      <c r="E540" s="376">
        <v>805.21</v>
      </c>
      <c r="F540" s="402">
        <v>135.12</v>
      </c>
      <c r="G540" s="401">
        <f t="shared" si="34"/>
        <v>865.1</v>
      </c>
      <c r="H540" s="402">
        <f t="shared" si="35"/>
        <v>8092.33679999999</v>
      </c>
      <c r="I540" s="402">
        <f t="shared" si="36"/>
        <v>116892.31200000001</v>
      </c>
    </row>
    <row r="541" spans="2:9" hidden="1">
      <c r="B541" s="156">
        <v>45043</v>
      </c>
      <c r="C541" s="255" t="s">
        <v>1039</v>
      </c>
      <c r="D541" s="402">
        <f t="shared" si="33"/>
        <v>101456.46</v>
      </c>
      <c r="E541" s="376">
        <v>805.21</v>
      </c>
      <c r="F541" s="402">
        <v>126</v>
      </c>
      <c r="G541" s="401">
        <f t="shared" si="34"/>
        <v>865.1</v>
      </c>
      <c r="H541" s="402">
        <f t="shared" si="35"/>
        <v>7546.1399999999994</v>
      </c>
      <c r="I541" s="402">
        <f t="shared" si="36"/>
        <v>109002.6</v>
      </c>
    </row>
    <row r="542" spans="2:9" hidden="1">
      <c r="B542" s="156">
        <v>45043</v>
      </c>
      <c r="C542" s="255" t="s">
        <v>1040</v>
      </c>
      <c r="D542" s="402">
        <f t="shared" si="33"/>
        <v>121023.06300000001</v>
      </c>
      <c r="E542" s="376">
        <v>805.21</v>
      </c>
      <c r="F542" s="402">
        <v>150.30000000000001</v>
      </c>
      <c r="G542" s="401">
        <f t="shared" si="34"/>
        <v>865.1</v>
      </c>
      <c r="H542" s="402">
        <f t="shared" si="35"/>
        <v>9001.4670000000042</v>
      </c>
      <c r="I542" s="402">
        <f t="shared" si="36"/>
        <v>130024.53000000001</v>
      </c>
    </row>
    <row r="543" spans="2:9" hidden="1">
      <c r="B543" s="156">
        <v>45043</v>
      </c>
      <c r="C543" s="255" t="s">
        <v>1041</v>
      </c>
      <c r="D543" s="402">
        <f t="shared" si="33"/>
        <v>121023.06300000001</v>
      </c>
      <c r="E543" s="376">
        <v>805.21</v>
      </c>
      <c r="F543" s="402">
        <v>150.30000000000001</v>
      </c>
      <c r="G543" s="401">
        <f t="shared" si="34"/>
        <v>865.1</v>
      </c>
      <c r="H543" s="402">
        <f t="shared" si="35"/>
        <v>9001.4670000000042</v>
      </c>
      <c r="I543" s="402">
        <f t="shared" si="36"/>
        <v>130024.53000000001</v>
      </c>
    </row>
    <row r="544" spans="2:9" hidden="1">
      <c r="B544" s="156">
        <v>45043</v>
      </c>
      <c r="C544" s="255" t="s">
        <v>1042</v>
      </c>
      <c r="D544" s="402">
        <f t="shared" si="33"/>
        <v>121023.06300000001</v>
      </c>
      <c r="E544" s="376">
        <v>805.21</v>
      </c>
      <c r="F544" s="402">
        <v>150.30000000000001</v>
      </c>
      <c r="G544" s="401">
        <f t="shared" si="34"/>
        <v>865.1</v>
      </c>
      <c r="H544" s="402">
        <f t="shared" si="35"/>
        <v>9001.4670000000042</v>
      </c>
      <c r="I544" s="402">
        <f t="shared" si="36"/>
        <v>130024.53000000001</v>
      </c>
    </row>
    <row r="545" spans="2:9" hidden="1">
      <c r="B545" s="156">
        <v>45043</v>
      </c>
      <c r="C545" s="255" t="s">
        <v>1043</v>
      </c>
      <c r="D545" s="402">
        <f t="shared" si="33"/>
        <v>108799.97520000002</v>
      </c>
      <c r="E545" s="376">
        <v>805.21</v>
      </c>
      <c r="F545" s="402">
        <v>135.12</v>
      </c>
      <c r="G545" s="401">
        <f t="shared" si="34"/>
        <v>865.1</v>
      </c>
      <c r="H545" s="402">
        <f t="shared" si="35"/>
        <v>8092.33679999999</v>
      </c>
      <c r="I545" s="402">
        <f t="shared" si="36"/>
        <v>116892.31200000001</v>
      </c>
    </row>
    <row r="546" spans="2:9" hidden="1">
      <c r="B546" s="156">
        <v>45043</v>
      </c>
      <c r="C546" s="255" t="s">
        <v>1044</v>
      </c>
      <c r="D546" s="402">
        <f t="shared" si="33"/>
        <v>101456.46</v>
      </c>
      <c r="E546" s="376">
        <v>805.21</v>
      </c>
      <c r="F546" s="402">
        <v>126</v>
      </c>
      <c r="G546" s="401">
        <f t="shared" si="34"/>
        <v>865.1</v>
      </c>
      <c r="H546" s="402">
        <f t="shared" si="35"/>
        <v>7546.1399999999994</v>
      </c>
      <c r="I546" s="402">
        <f t="shared" si="36"/>
        <v>109002.6</v>
      </c>
    </row>
    <row r="547" spans="2:9" hidden="1">
      <c r="B547" s="156">
        <v>45043</v>
      </c>
      <c r="C547" s="255" t="s">
        <v>1045</v>
      </c>
      <c r="D547" s="402">
        <f t="shared" si="33"/>
        <v>121023.06300000001</v>
      </c>
      <c r="E547" s="376">
        <v>805.21</v>
      </c>
      <c r="F547" s="402">
        <v>150.30000000000001</v>
      </c>
      <c r="G547" s="401">
        <f t="shared" si="34"/>
        <v>865.1</v>
      </c>
      <c r="H547" s="402">
        <f t="shared" si="35"/>
        <v>9001.4670000000042</v>
      </c>
      <c r="I547" s="402">
        <f t="shared" si="36"/>
        <v>130024.53000000001</v>
      </c>
    </row>
    <row r="548" spans="2:9" hidden="1">
      <c r="B548" s="156">
        <v>45043</v>
      </c>
      <c r="C548" s="255" t="s">
        <v>1046</v>
      </c>
      <c r="D548" s="402">
        <f t="shared" si="33"/>
        <v>121023.06300000001</v>
      </c>
      <c r="E548" s="376">
        <v>805.21</v>
      </c>
      <c r="F548" s="402">
        <v>150.30000000000001</v>
      </c>
      <c r="G548" s="401">
        <f t="shared" si="34"/>
        <v>865.1</v>
      </c>
      <c r="H548" s="402">
        <f t="shared" si="35"/>
        <v>9001.4670000000042</v>
      </c>
      <c r="I548" s="402">
        <f t="shared" si="36"/>
        <v>130024.53000000001</v>
      </c>
    </row>
    <row r="549" spans="2:9" hidden="1">
      <c r="B549" s="156">
        <v>45043</v>
      </c>
      <c r="C549" s="255" t="s">
        <v>1047</v>
      </c>
      <c r="D549" s="402">
        <f t="shared" si="33"/>
        <v>121023.06300000001</v>
      </c>
      <c r="E549" s="376">
        <v>805.21</v>
      </c>
      <c r="F549" s="402">
        <v>150.30000000000001</v>
      </c>
      <c r="G549" s="401">
        <f t="shared" si="34"/>
        <v>865.1</v>
      </c>
      <c r="H549" s="402">
        <f t="shared" si="35"/>
        <v>9001.4670000000042</v>
      </c>
      <c r="I549" s="402">
        <f t="shared" si="36"/>
        <v>130024.53000000001</v>
      </c>
    </row>
    <row r="550" spans="2:9" hidden="1">
      <c r="B550" s="156">
        <v>45043</v>
      </c>
      <c r="C550" s="255" t="s">
        <v>1048</v>
      </c>
      <c r="D550" s="402">
        <f t="shared" si="33"/>
        <v>111215.60520000001</v>
      </c>
      <c r="E550" s="376">
        <v>805.21</v>
      </c>
      <c r="F550" s="402">
        <v>138.12</v>
      </c>
      <c r="G550" s="401">
        <f t="shared" si="34"/>
        <v>865.1</v>
      </c>
      <c r="H550" s="402">
        <f t="shared" si="35"/>
        <v>8272.0068000000028</v>
      </c>
      <c r="I550" s="402">
        <f t="shared" si="36"/>
        <v>119487.61200000001</v>
      </c>
    </row>
    <row r="551" spans="2:9" hidden="1">
      <c r="B551" s="156">
        <v>45043</v>
      </c>
      <c r="C551" s="255" t="s">
        <v>1049</v>
      </c>
      <c r="D551" s="402">
        <f t="shared" si="33"/>
        <v>101456.46</v>
      </c>
      <c r="E551" s="376">
        <v>805.21</v>
      </c>
      <c r="F551" s="402">
        <v>126</v>
      </c>
      <c r="G551" s="401">
        <f t="shared" si="34"/>
        <v>865.1</v>
      </c>
      <c r="H551" s="402">
        <f t="shared" si="35"/>
        <v>7546.1399999999994</v>
      </c>
      <c r="I551" s="402">
        <f t="shared" si="36"/>
        <v>109002.6</v>
      </c>
    </row>
    <row r="552" spans="2:9" hidden="1">
      <c r="B552" s="156">
        <v>45043</v>
      </c>
      <c r="C552" s="255" t="s">
        <v>1050</v>
      </c>
      <c r="D552" s="402">
        <f t="shared" si="33"/>
        <v>101456.46</v>
      </c>
      <c r="E552" s="376">
        <v>805.21</v>
      </c>
      <c r="F552" s="402">
        <v>126</v>
      </c>
      <c r="G552" s="401">
        <f t="shared" si="34"/>
        <v>865.1</v>
      </c>
      <c r="H552" s="402">
        <f t="shared" si="35"/>
        <v>7546.1399999999994</v>
      </c>
      <c r="I552" s="402">
        <f t="shared" si="36"/>
        <v>109002.6</v>
      </c>
    </row>
    <row r="553" spans="2:9" hidden="1">
      <c r="B553" s="156">
        <v>45043</v>
      </c>
      <c r="C553" s="255" t="s">
        <v>1051</v>
      </c>
      <c r="D553" s="402">
        <f t="shared" si="33"/>
        <v>101456.46</v>
      </c>
      <c r="E553" s="376">
        <v>805.21</v>
      </c>
      <c r="F553" s="402">
        <v>126</v>
      </c>
      <c r="G553" s="401">
        <f t="shared" si="34"/>
        <v>865.1</v>
      </c>
      <c r="H553" s="402">
        <f t="shared" si="35"/>
        <v>7546.1399999999994</v>
      </c>
      <c r="I553" s="402">
        <f t="shared" si="36"/>
        <v>109002.6</v>
      </c>
    </row>
    <row r="554" spans="2:9" hidden="1">
      <c r="B554" s="156">
        <v>45043</v>
      </c>
      <c r="C554" s="255" t="s">
        <v>1052</v>
      </c>
      <c r="D554" s="402">
        <f t="shared" si="33"/>
        <v>101456.46</v>
      </c>
      <c r="E554" s="376">
        <v>805.21</v>
      </c>
      <c r="F554" s="402">
        <v>126</v>
      </c>
      <c r="G554" s="401">
        <f t="shared" si="34"/>
        <v>865.1</v>
      </c>
      <c r="H554" s="402">
        <f t="shared" si="35"/>
        <v>7546.1399999999994</v>
      </c>
      <c r="I554" s="402">
        <f t="shared" si="36"/>
        <v>109002.6</v>
      </c>
    </row>
    <row r="555" spans="2:9" hidden="1">
      <c r="B555" s="156">
        <v>45043</v>
      </c>
      <c r="C555" s="255" t="s">
        <v>1053</v>
      </c>
      <c r="D555" s="402">
        <f t="shared" si="33"/>
        <v>135661.78080000001</v>
      </c>
      <c r="E555" s="376">
        <v>805.21</v>
      </c>
      <c r="F555" s="402">
        <v>168.48</v>
      </c>
      <c r="G555" s="401">
        <f t="shared" si="34"/>
        <v>865.1</v>
      </c>
      <c r="H555" s="402">
        <f t="shared" si="35"/>
        <v>10090.267199999973</v>
      </c>
      <c r="I555" s="402">
        <f t="shared" si="36"/>
        <v>145752.04799999998</v>
      </c>
    </row>
    <row r="556" spans="2:9" hidden="1">
      <c r="B556" s="156">
        <v>45043</v>
      </c>
      <c r="C556" s="255" t="s">
        <v>1054</v>
      </c>
      <c r="D556" s="402">
        <f t="shared" si="33"/>
        <v>121023.06300000001</v>
      </c>
      <c r="E556" s="376">
        <v>805.21</v>
      </c>
      <c r="F556" s="402">
        <v>150.30000000000001</v>
      </c>
      <c r="G556" s="401">
        <f t="shared" si="34"/>
        <v>865.1</v>
      </c>
      <c r="H556" s="402">
        <f t="shared" si="35"/>
        <v>9001.4670000000042</v>
      </c>
      <c r="I556" s="402">
        <f t="shared" si="36"/>
        <v>130024.53000000001</v>
      </c>
    </row>
    <row r="557" spans="2:9" hidden="1">
      <c r="B557" s="156">
        <v>45043</v>
      </c>
      <c r="C557" s="255" t="s">
        <v>1055</v>
      </c>
      <c r="D557" s="402">
        <f t="shared" si="33"/>
        <v>121023.06300000001</v>
      </c>
      <c r="E557" s="376">
        <v>805.21</v>
      </c>
      <c r="F557" s="402">
        <v>150.30000000000001</v>
      </c>
      <c r="G557" s="401">
        <f t="shared" si="34"/>
        <v>865.1</v>
      </c>
      <c r="H557" s="402">
        <f t="shared" si="35"/>
        <v>9001.4670000000042</v>
      </c>
      <c r="I557" s="402">
        <f t="shared" si="36"/>
        <v>130024.53000000001</v>
      </c>
    </row>
    <row r="558" spans="2:9" hidden="1">
      <c r="B558" s="156">
        <v>45043</v>
      </c>
      <c r="C558" s="255" t="s">
        <v>1056</v>
      </c>
      <c r="D558" s="402">
        <f t="shared" si="33"/>
        <v>135661.78080000001</v>
      </c>
      <c r="E558" s="376">
        <v>805.21</v>
      </c>
      <c r="F558" s="402">
        <v>168.48</v>
      </c>
      <c r="G558" s="401">
        <f t="shared" si="34"/>
        <v>865.1</v>
      </c>
      <c r="H558" s="402">
        <f t="shared" si="35"/>
        <v>10090.267199999973</v>
      </c>
      <c r="I558" s="402">
        <f t="shared" si="36"/>
        <v>145752.04799999998</v>
      </c>
    </row>
    <row r="559" spans="2:9" hidden="1">
      <c r="B559" s="156">
        <v>45043</v>
      </c>
      <c r="C559" s="255" t="s">
        <v>1057</v>
      </c>
      <c r="D559" s="402">
        <f t="shared" si="33"/>
        <v>135661.78080000001</v>
      </c>
      <c r="E559" s="376">
        <v>805.21</v>
      </c>
      <c r="F559" s="402">
        <v>168.48</v>
      </c>
      <c r="G559" s="401">
        <f t="shared" si="34"/>
        <v>865.1</v>
      </c>
      <c r="H559" s="402">
        <f t="shared" si="35"/>
        <v>10090.267199999973</v>
      </c>
      <c r="I559" s="402">
        <f t="shared" si="36"/>
        <v>145752.04799999998</v>
      </c>
    </row>
    <row r="560" spans="2:9" hidden="1">
      <c r="B560" s="156">
        <v>45043</v>
      </c>
      <c r="C560" s="255" t="s">
        <v>1058</v>
      </c>
      <c r="D560" s="402">
        <f t="shared" si="33"/>
        <v>135661.78080000001</v>
      </c>
      <c r="E560" s="376">
        <v>805.21</v>
      </c>
      <c r="F560" s="402">
        <v>168.48</v>
      </c>
      <c r="G560" s="401">
        <f t="shared" si="34"/>
        <v>865.1</v>
      </c>
      <c r="H560" s="402">
        <f t="shared" si="35"/>
        <v>10090.267199999973</v>
      </c>
      <c r="I560" s="402">
        <f t="shared" si="36"/>
        <v>145752.04799999998</v>
      </c>
    </row>
    <row r="561" spans="2:9" hidden="1">
      <c r="B561" s="156">
        <v>45043</v>
      </c>
      <c r="C561" s="255" t="s">
        <v>1059</v>
      </c>
      <c r="D561" s="402">
        <f t="shared" si="33"/>
        <v>121023.06300000001</v>
      </c>
      <c r="E561" s="376">
        <v>805.21</v>
      </c>
      <c r="F561" s="402">
        <v>150.30000000000001</v>
      </c>
      <c r="G561" s="401">
        <f t="shared" si="34"/>
        <v>865.1</v>
      </c>
      <c r="H561" s="402">
        <f t="shared" si="35"/>
        <v>9001.4670000000042</v>
      </c>
      <c r="I561" s="402">
        <f t="shared" si="36"/>
        <v>130024.53000000001</v>
      </c>
    </row>
    <row r="562" spans="2:9" hidden="1">
      <c r="B562" s="156">
        <v>45043</v>
      </c>
      <c r="C562" s="255" t="s">
        <v>1060</v>
      </c>
      <c r="D562" s="402">
        <f t="shared" si="33"/>
        <v>111215.60520000001</v>
      </c>
      <c r="E562" s="376">
        <v>805.21</v>
      </c>
      <c r="F562" s="402">
        <v>138.12</v>
      </c>
      <c r="G562" s="401">
        <f t="shared" si="34"/>
        <v>865.1</v>
      </c>
      <c r="H562" s="402">
        <f t="shared" si="35"/>
        <v>8272.0068000000028</v>
      </c>
      <c r="I562" s="402">
        <f t="shared" si="36"/>
        <v>119487.61200000001</v>
      </c>
    </row>
    <row r="563" spans="2:9" hidden="1">
      <c r="B563" s="156">
        <v>45043</v>
      </c>
      <c r="C563" s="255" t="s">
        <v>1061</v>
      </c>
      <c r="D563" s="402">
        <f t="shared" si="33"/>
        <v>135661.78080000001</v>
      </c>
      <c r="E563" s="376">
        <v>805.21</v>
      </c>
      <c r="F563" s="402">
        <v>168.48</v>
      </c>
      <c r="G563" s="401">
        <f t="shared" si="34"/>
        <v>865.1</v>
      </c>
      <c r="H563" s="402">
        <f t="shared" si="35"/>
        <v>10090.267199999973</v>
      </c>
      <c r="I563" s="402">
        <f t="shared" si="36"/>
        <v>145752.04799999998</v>
      </c>
    </row>
    <row r="564" spans="2:9" hidden="1">
      <c r="B564" s="156">
        <v>45043</v>
      </c>
      <c r="C564" s="255" t="s">
        <v>1062</v>
      </c>
      <c r="D564" s="402">
        <f t="shared" si="33"/>
        <v>135661.78080000001</v>
      </c>
      <c r="E564" s="376">
        <v>805.21</v>
      </c>
      <c r="F564" s="402">
        <v>168.48</v>
      </c>
      <c r="G564" s="401">
        <f t="shared" si="34"/>
        <v>865.1</v>
      </c>
      <c r="H564" s="402">
        <f t="shared" si="35"/>
        <v>10090.267199999973</v>
      </c>
      <c r="I564" s="402">
        <f t="shared" si="36"/>
        <v>145752.04799999998</v>
      </c>
    </row>
    <row r="565" spans="2:9" hidden="1">
      <c r="B565" s="156">
        <v>45043</v>
      </c>
      <c r="C565" s="255" t="s">
        <v>1063</v>
      </c>
      <c r="D565" s="402">
        <f t="shared" si="33"/>
        <v>108799.97520000002</v>
      </c>
      <c r="E565" s="376">
        <v>805.21</v>
      </c>
      <c r="F565" s="402">
        <v>135.12</v>
      </c>
      <c r="G565" s="401">
        <f t="shared" si="34"/>
        <v>865.1</v>
      </c>
      <c r="H565" s="402">
        <f t="shared" si="35"/>
        <v>8092.33679999999</v>
      </c>
      <c r="I565" s="402">
        <f t="shared" si="36"/>
        <v>116892.31200000001</v>
      </c>
    </row>
    <row r="566" spans="2:9" hidden="1">
      <c r="B566" s="156">
        <v>45043</v>
      </c>
      <c r="C566" s="255" t="s">
        <v>1064</v>
      </c>
      <c r="D566" s="402">
        <f t="shared" si="33"/>
        <v>108799.97520000002</v>
      </c>
      <c r="E566" s="376">
        <v>805.21</v>
      </c>
      <c r="F566" s="402">
        <v>135.12</v>
      </c>
      <c r="G566" s="401">
        <f t="shared" si="34"/>
        <v>865.1</v>
      </c>
      <c r="H566" s="402">
        <f t="shared" si="35"/>
        <v>8092.33679999999</v>
      </c>
      <c r="I566" s="402">
        <f t="shared" si="36"/>
        <v>116892.31200000001</v>
      </c>
    </row>
    <row r="567" spans="2:9" hidden="1">
      <c r="B567" s="156">
        <v>45043</v>
      </c>
      <c r="C567" s="255" t="s">
        <v>1065</v>
      </c>
      <c r="D567" s="402">
        <f t="shared" si="33"/>
        <v>108799.97520000002</v>
      </c>
      <c r="E567" s="376">
        <v>805.21</v>
      </c>
      <c r="F567" s="402">
        <v>135.12</v>
      </c>
      <c r="G567" s="401">
        <f t="shared" si="34"/>
        <v>865.1</v>
      </c>
      <c r="H567" s="402">
        <f t="shared" si="35"/>
        <v>8092.33679999999</v>
      </c>
      <c r="I567" s="402">
        <f t="shared" si="36"/>
        <v>116892.31200000001</v>
      </c>
    </row>
    <row r="568" spans="2:9" hidden="1">
      <c r="B568" s="156">
        <v>45043</v>
      </c>
      <c r="C568" s="255" t="s">
        <v>1066</v>
      </c>
      <c r="D568" s="402">
        <f t="shared" si="33"/>
        <v>130782.20819999999</v>
      </c>
      <c r="E568" s="376">
        <v>805.21</v>
      </c>
      <c r="F568" s="402">
        <v>162.41999999999999</v>
      </c>
      <c r="G568" s="401">
        <f t="shared" si="34"/>
        <v>865.1</v>
      </c>
      <c r="H568" s="402">
        <f t="shared" si="35"/>
        <v>9727.3337999999931</v>
      </c>
      <c r="I568" s="402">
        <f t="shared" si="36"/>
        <v>140509.54199999999</v>
      </c>
    </row>
    <row r="569" spans="2:9" hidden="1">
      <c r="B569" s="156">
        <v>45043</v>
      </c>
      <c r="C569" s="255" t="s">
        <v>1067</v>
      </c>
      <c r="D569" s="402">
        <f t="shared" si="33"/>
        <v>111215.60520000001</v>
      </c>
      <c r="E569" s="376">
        <v>805.21</v>
      </c>
      <c r="F569" s="402">
        <v>138.12</v>
      </c>
      <c r="G569" s="401">
        <f t="shared" si="34"/>
        <v>865.1</v>
      </c>
      <c r="H569" s="402">
        <f t="shared" si="35"/>
        <v>8272.0068000000028</v>
      </c>
      <c r="I569" s="402">
        <f t="shared" si="36"/>
        <v>119487.61200000001</v>
      </c>
    </row>
    <row r="570" spans="2:9" hidden="1">
      <c r="B570" s="156">
        <v>45043</v>
      </c>
      <c r="C570" s="255" t="s">
        <v>1068</v>
      </c>
      <c r="D570" s="402">
        <f t="shared" si="33"/>
        <v>108799.97520000002</v>
      </c>
      <c r="E570" s="376">
        <v>805.21</v>
      </c>
      <c r="F570" s="402">
        <v>135.12</v>
      </c>
      <c r="G570" s="401">
        <f t="shared" si="34"/>
        <v>865.1</v>
      </c>
      <c r="H570" s="402">
        <f t="shared" si="35"/>
        <v>8092.33679999999</v>
      </c>
      <c r="I570" s="402">
        <f t="shared" si="36"/>
        <v>116892.31200000001</v>
      </c>
    </row>
    <row r="571" spans="2:9" hidden="1">
      <c r="B571" s="156">
        <v>45043</v>
      </c>
      <c r="C571" s="255" t="s">
        <v>1069</v>
      </c>
      <c r="D571" s="402">
        <f t="shared" si="33"/>
        <v>135661.78080000001</v>
      </c>
      <c r="E571" s="376">
        <v>805.21</v>
      </c>
      <c r="F571" s="402">
        <v>168.48</v>
      </c>
      <c r="G571" s="401">
        <f t="shared" si="34"/>
        <v>865.1</v>
      </c>
      <c r="H571" s="402">
        <f t="shared" si="35"/>
        <v>10090.267199999973</v>
      </c>
      <c r="I571" s="402">
        <f t="shared" si="36"/>
        <v>145752.04799999998</v>
      </c>
    </row>
    <row r="572" spans="2:9" hidden="1">
      <c r="B572" s="156">
        <v>45043</v>
      </c>
      <c r="C572" s="255" t="s">
        <v>1070</v>
      </c>
      <c r="D572" s="402">
        <f t="shared" si="33"/>
        <v>108799.97520000002</v>
      </c>
      <c r="E572" s="376">
        <v>805.21</v>
      </c>
      <c r="F572" s="402">
        <v>135.12</v>
      </c>
      <c r="G572" s="401">
        <f t="shared" si="34"/>
        <v>865.1</v>
      </c>
      <c r="H572" s="402">
        <f t="shared" si="35"/>
        <v>8092.33679999999</v>
      </c>
      <c r="I572" s="402">
        <f t="shared" si="36"/>
        <v>116892.31200000001</v>
      </c>
    </row>
    <row r="573" spans="2:9" hidden="1">
      <c r="B573" s="156">
        <v>45043</v>
      </c>
      <c r="C573" s="255" t="s">
        <v>1071</v>
      </c>
      <c r="D573" s="402">
        <f t="shared" si="33"/>
        <v>108799.97520000002</v>
      </c>
      <c r="E573" s="376">
        <v>805.21</v>
      </c>
      <c r="F573" s="402">
        <v>135.12</v>
      </c>
      <c r="G573" s="401">
        <f t="shared" si="34"/>
        <v>865.1</v>
      </c>
      <c r="H573" s="402">
        <f t="shared" si="35"/>
        <v>8092.33679999999</v>
      </c>
      <c r="I573" s="402">
        <f t="shared" si="36"/>
        <v>116892.31200000001</v>
      </c>
    </row>
    <row r="574" spans="2:9" hidden="1">
      <c r="B574" s="156">
        <v>45043</v>
      </c>
      <c r="C574" s="255" t="s">
        <v>1072</v>
      </c>
      <c r="D574" s="402">
        <f t="shared" si="33"/>
        <v>130782.20819999999</v>
      </c>
      <c r="E574" s="376">
        <v>805.21</v>
      </c>
      <c r="F574" s="402">
        <v>162.41999999999999</v>
      </c>
      <c r="G574" s="401">
        <f t="shared" si="34"/>
        <v>865.1</v>
      </c>
      <c r="H574" s="402">
        <f t="shared" si="35"/>
        <v>9727.3337999999931</v>
      </c>
      <c r="I574" s="402">
        <f t="shared" si="36"/>
        <v>140509.54199999999</v>
      </c>
    </row>
    <row r="575" spans="2:9" hidden="1">
      <c r="B575" s="156">
        <v>45043</v>
      </c>
      <c r="C575" s="255" t="s">
        <v>1073</v>
      </c>
      <c r="D575" s="402">
        <f t="shared" si="33"/>
        <v>135661.78080000001</v>
      </c>
      <c r="E575" s="376">
        <v>805.21</v>
      </c>
      <c r="F575" s="402">
        <v>168.48</v>
      </c>
      <c r="G575" s="401">
        <f t="shared" si="34"/>
        <v>865.1</v>
      </c>
      <c r="H575" s="402">
        <f t="shared" si="35"/>
        <v>10090.267199999973</v>
      </c>
      <c r="I575" s="402">
        <f t="shared" si="36"/>
        <v>145752.04799999998</v>
      </c>
    </row>
    <row r="576" spans="2:9" hidden="1">
      <c r="B576" s="156">
        <v>45043</v>
      </c>
      <c r="C576" s="255" t="s">
        <v>1074</v>
      </c>
      <c r="D576" s="402">
        <f t="shared" si="33"/>
        <v>135661.78080000001</v>
      </c>
      <c r="E576" s="376">
        <v>805.21</v>
      </c>
      <c r="F576" s="402">
        <v>168.48</v>
      </c>
      <c r="G576" s="401">
        <f t="shared" si="34"/>
        <v>865.1</v>
      </c>
      <c r="H576" s="402">
        <f t="shared" si="35"/>
        <v>10090.267199999973</v>
      </c>
      <c r="I576" s="402">
        <f t="shared" si="36"/>
        <v>145752.04799999998</v>
      </c>
    </row>
    <row r="577" spans="2:9" hidden="1">
      <c r="B577" s="156">
        <v>45043</v>
      </c>
      <c r="C577" s="255" t="s">
        <v>1075</v>
      </c>
      <c r="D577" s="402">
        <f t="shared" si="33"/>
        <v>111215.60520000001</v>
      </c>
      <c r="E577" s="376">
        <v>805.21</v>
      </c>
      <c r="F577" s="402">
        <v>138.12</v>
      </c>
      <c r="G577" s="401">
        <f t="shared" si="34"/>
        <v>865.1</v>
      </c>
      <c r="H577" s="402">
        <f t="shared" si="35"/>
        <v>8272.0068000000028</v>
      </c>
      <c r="I577" s="402">
        <f t="shared" si="36"/>
        <v>119487.61200000001</v>
      </c>
    </row>
    <row r="578" spans="2:9" hidden="1">
      <c r="B578" s="156">
        <v>45043</v>
      </c>
      <c r="C578" s="255" t="s">
        <v>1076</v>
      </c>
      <c r="D578" s="402">
        <f t="shared" si="33"/>
        <v>101456.46</v>
      </c>
      <c r="E578" s="376">
        <v>805.21</v>
      </c>
      <c r="F578" s="402">
        <v>126</v>
      </c>
      <c r="G578" s="401">
        <f t="shared" si="34"/>
        <v>865.1</v>
      </c>
      <c r="H578" s="402">
        <f t="shared" si="35"/>
        <v>7546.1399999999994</v>
      </c>
      <c r="I578" s="402">
        <f t="shared" si="36"/>
        <v>109002.6</v>
      </c>
    </row>
    <row r="579" spans="2:9" hidden="1">
      <c r="B579" s="156">
        <v>45043</v>
      </c>
      <c r="C579" s="255" t="s">
        <v>1077</v>
      </c>
      <c r="D579" s="402">
        <f t="shared" si="33"/>
        <v>101456.46</v>
      </c>
      <c r="E579" s="376">
        <v>805.21</v>
      </c>
      <c r="F579" s="402">
        <v>126</v>
      </c>
      <c r="G579" s="401">
        <f t="shared" si="34"/>
        <v>865.1</v>
      </c>
      <c r="H579" s="402">
        <f t="shared" si="35"/>
        <v>7546.1399999999994</v>
      </c>
      <c r="I579" s="402">
        <f t="shared" si="36"/>
        <v>109002.6</v>
      </c>
    </row>
    <row r="580" spans="2:9" hidden="1">
      <c r="B580" s="156">
        <v>45043</v>
      </c>
      <c r="C580" s="255" t="s">
        <v>1078</v>
      </c>
      <c r="D580" s="402">
        <f t="shared" ref="D580:D643" si="37">F580*E580</f>
        <v>101456.46</v>
      </c>
      <c r="E580" s="376">
        <v>805.21</v>
      </c>
      <c r="F580" s="402">
        <v>126</v>
      </c>
      <c r="G580" s="401">
        <f t="shared" si="34"/>
        <v>865.1</v>
      </c>
      <c r="H580" s="402">
        <f t="shared" si="35"/>
        <v>7546.1399999999994</v>
      </c>
      <c r="I580" s="402">
        <f t="shared" si="36"/>
        <v>109002.6</v>
      </c>
    </row>
    <row r="581" spans="2:9" hidden="1">
      <c r="B581" s="156">
        <v>45043</v>
      </c>
      <c r="C581" s="255" t="s">
        <v>1079</v>
      </c>
      <c r="D581" s="402">
        <f t="shared" si="37"/>
        <v>6499494.0780000007</v>
      </c>
      <c r="E581" s="376">
        <v>805.21</v>
      </c>
      <c r="F581" s="402">
        <v>8071.8</v>
      </c>
      <c r="G581" s="401">
        <f t="shared" ref="G581:G644" si="38">+G476</f>
        <v>865.1</v>
      </c>
      <c r="H581" s="402">
        <f t="shared" si="35"/>
        <v>483420.10199999996</v>
      </c>
      <c r="I581" s="402">
        <f t="shared" si="36"/>
        <v>6982914.1800000006</v>
      </c>
    </row>
    <row r="582" spans="2:9" hidden="1">
      <c r="B582" s="156">
        <v>45043</v>
      </c>
      <c r="C582" s="255" t="s">
        <v>1080</v>
      </c>
      <c r="D582" s="402">
        <f t="shared" si="37"/>
        <v>7755331.8024000004</v>
      </c>
      <c r="E582" s="376">
        <v>805.21</v>
      </c>
      <c r="F582" s="402">
        <v>9631.44</v>
      </c>
      <c r="G582" s="401">
        <f t="shared" si="38"/>
        <v>865.1</v>
      </c>
      <c r="H582" s="402">
        <f t="shared" si="35"/>
        <v>576826.94160000049</v>
      </c>
      <c r="I582" s="402">
        <f t="shared" si="36"/>
        <v>8332158.7440000009</v>
      </c>
    </row>
    <row r="583" spans="2:9" hidden="1">
      <c r="B583" s="156">
        <v>45044</v>
      </c>
      <c r="C583" s="255" t="s">
        <v>1081</v>
      </c>
      <c r="D583" s="402">
        <f t="shared" si="37"/>
        <v>277485.31760000001</v>
      </c>
      <c r="E583" s="376">
        <v>801.61</v>
      </c>
      <c r="F583" s="402">
        <v>346.16</v>
      </c>
      <c r="G583" s="401">
        <f t="shared" si="38"/>
        <v>865.1</v>
      </c>
      <c r="H583" s="402">
        <f t="shared" ref="H583:H646" si="39">+I583-D583</f>
        <v>21977.698399999994</v>
      </c>
      <c r="I583" s="402">
        <f t="shared" ref="I583:I646" si="40">+F583*G583</f>
        <v>299463.016</v>
      </c>
    </row>
    <row r="584" spans="2:9" hidden="1">
      <c r="B584" s="156">
        <v>45044</v>
      </c>
      <c r="C584" s="255" t="s">
        <v>1082</v>
      </c>
      <c r="D584" s="402">
        <f t="shared" si="37"/>
        <v>7533226.1682000011</v>
      </c>
      <c r="E584" s="376">
        <v>801.61</v>
      </c>
      <c r="F584" s="402">
        <v>9397.6200000000008</v>
      </c>
      <c r="G584" s="401">
        <f t="shared" si="38"/>
        <v>865.1</v>
      </c>
      <c r="H584" s="402">
        <f t="shared" si="39"/>
        <v>596654.89379999973</v>
      </c>
      <c r="I584" s="402">
        <f t="shared" si="40"/>
        <v>8129881.0620000008</v>
      </c>
    </row>
    <row r="585" spans="2:9" hidden="1">
      <c r="B585" s="156">
        <v>45044</v>
      </c>
      <c r="C585" s="255" t="s">
        <v>1083</v>
      </c>
      <c r="D585" s="402">
        <f t="shared" si="37"/>
        <v>5132340.0893999999</v>
      </c>
      <c r="E585" s="376">
        <v>801.61</v>
      </c>
      <c r="F585" s="402">
        <v>6402.54</v>
      </c>
      <c r="G585" s="401">
        <f t="shared" si="38"/>
        <v>865.1</v>
      </c>
      <c r="H585" s="402">
        <f t="shared" si="39"/>
        <v>406497.26460000034</v>
      </c>
      <c r="I585" s="402">
        <f t="shared" si="40"/>
        <v>5538837.3540000003</v>
      </c>
    </row>
    <row r="586" spans="2:9" hidden="1">
      <c r="B586" s="156">
        <v>45044</v>
      </c>
      <c r="C586" s="255" t="s">
        <v>1084</v>
      </c>
      <c r="D586" s="402">
        <f t="shared" si="37"/>
        <v>110718.3732</v>
      </c>
      <c r="E586" s="376">
        <v>801.61</v>
      </c>
      <c r="F586" s="402">
        <v>138.12</v>
      </c>
      <c r="G586" s="401">
        <f t="shared" si="38"/>
        <v>865.1</v>
      </c>
      <c r="H586" s="402">
        <f t="shared" si="39"/>
        <v>8769.2388000000064</v>
      </c>
      <c r="I586" s="402">
        <f t="shared" si="40"/>
        <v>119487.61200000001</v>
      </c>
    </row>
    <row r="587" spans="2:9" hidden="1">
      <c r="B587" s="156">
        <v>45044</v>
      </c>
      <c r="C587" s="255" t="s">
        <v>1085</v>
      </c>
      <c r="D587" s="402">
        <f t="shared" si="37"/>
        <v>120481.98300000001</v>
      </c>
      <c r="E587" s="376">
        <v>801.61</v>
      </c>
      <c r="F587" s="402">
        <v>150.30000000000001</v>
      </c>
      <c r="G587" s="401">
        <f t="shared" si="38"/>
        <v>865.1</v>
      </c>
      <c r="H587" s="402">
        <f t="shared" si="39"/>
        <v>9542.5470000000059</v>
      </c>
      <c r="I587" s="402">
        <f t="shared" si="40"/>
        <v>130024.53000000001</v>
      </c>
    </row>
    <row r="588" spans="2:9" hidden="1">
      <c r="B588" s="156">
        <v>45044</v>
      </c>
      <c r="C588" s="255" t="s">
        <v>1086</v>
      </c>
      <c r="D588" s="402">
        <f t="shared" si="37"/>
        <v>110718.3732</v>
      </c>
      <c r="E588" s="376">
        <v>801.61</v>
      </c>
      <c r="F588" s="402">
        <v>138.12</v>
      </c>
      <c r="G588" s="401">
        <f t="shared" si="38"/>
        <v>865.1</v>
      </c>
      <c r="H588" s="402">
        <f t="shared" si="39"/>
        <v>8769.2388000000064</v>
      </c>
      <c r="I588" s="402">
        <f t="shared" si="40"/>
        <v>119487.61200000001</v>
      </c>
    </row>
    <row r="589" spans="2:9" hidden="1">
      <c r="B589" s="156">
        <v>45044</v>
      </c>
      <c r="C589" s="255" t="s">
        <v>1087</v>
      </c>
      <c r="D589" s="402">
        <f t="shared" si="37"/>
        <v>110718.3732</v>
      </c>
      <c r="E589" s="376">
        <v>801.61</v>
      </c>
      <c r="F589" s="402">
        <v>138.12</v>
      </c>
      <c r="G589" s="401">
        <f t="shared" si="38"/>
        <v>865.1</v>
      </c>
      <c r="H589" s="402">
        <f t="shared" si="39"/>
        <v>8769.2388000000064</v>
      </c>
      <c r="I589" s="402">
        <f t="shared" si="40"/>
        <v>119487.61200000001</v>
      </c>
    </row>
    <row r="590" spans="2:9" hidden="1">
      <c r="B590" s="156">
        <v>45044</v>
      </c>
      <c r="C590" s="255" t="s">
        <v>1088</v>
      </c>
      <c r="D590" s="402">
        <f t="shared" si="37"/>
        <v>110718.3732</v>
      </c>
      <c r="E590" s="376">
        <v>801.61</v>
      </c>
      <c r="F590" s="402">
        <v>138.12</v>
      </c>
      <c r="G590" s="401">
        <f t="shared" si="38"/>
        <v>865.1</v>
      </c>
      <c r="H590" s="402">
        <f t="shared" si="39"/>
        <v>8769.2388000000064</v>
      </c>
      <c r="I590" s="402">
        <f t="shared" si="40"/>
        <v>119487.61200000001</v>
      </c>
    </row>
    <row r="591" spans="2:9" hidden="1">
      <c r="B591" s="156">
        <v>45044</v>
      </c>
      <c r="C591" s="255" t="s">
        <v>1089</v>
      </c>
      <c r="D591" s="402">
        <f t="shared" si="37"/>
        <v>130197.49619999999</v>
      </c>
      <c r="E591" s="376">
        <v>801.61</v>
      </c>
      <c r="F591" s="402">
        <v>162.41999999999999</v>
      </c>
      <c r="G591" s="401">
        <f t="shared" si="38"/>
        <v>865.1</v>
      </c>
      <c r="H591" s="402">
        <f t="shared" si="39"/>
        <v>10312.045799999993</v>
      </c>
      <c r="I591" s="402">
        <f t="shared" si="40"/>
        <v>140509.54199999999</v>
      </c>
    </row>
    <row r="592" spans="2:9" hidden="1">
      <c r="B592" s="156">
        <v>45044</v>
      </c>
      <c r="C592" s="255" t="s">
        <v>1090</v>
      </c>
      <c r="D592" s="402">
        <f t="shared" si="37"/>
        <v>120481.98300000001</v>
      </c>
      <c r="E592" s="376">
        <v>801.61</v>
      </c>
      <c r="F592" s="402">
        <v>150.30000000000001</v>
      </c>
      <c r="G592" s="401">
        <f t="shared" si="38"/>
        <v>865.1</v>
      </c>
      <c r="H592" s="402">
        <f t="shared" si="39"/>
        <v>9542.5470000000059</v>
      </c>
      <c r="I592" s="402">
        <f t="shared" si="40"/>
        <v>130024.53000000001</v>
      </c>
    </row>
    <row r="593" spans="2:9" hidden="1">
      <c r="B593" s="156">
        <v>45044</v>
      </c>
      <c r="C593" s="255" t="s">
        <v>1091</v>
      </c>
      <c r="D593" s="402">
        <f t="shared" si="37"/>
        <v>120481.98300000001</v>
      </c>
      <c r="E593" s="376">
        <v>801.61</v>
      </c>
      <c r="F593" s="402">
        <v>150.30000000000001</v>
      </c>
      <c r="G593" s="401">
        <f t="shared" si="38"/>
        <v>865.1</v>
      </c>
      <c r="H593" s="402">
        <f t="shared" si="39"/>
        <v>9542.5470000000059</v>
      </c>
      <c r="I593" s="402">
        <f t="shared" si="40"/>
        <v>130024.53000000001</v>
      </c>
    </row>
    <row r="594" spans="2:9" hidden="1">
      <c r="B594" s="156">
        <v>45044</v>
      </c>
      <c r="C594" s="255" t="s">
        <v>1092</v>
      </c>
      <c r="D594" s="402">
        <f t="shared" si="37"/>
        <v>120481.98300000001</v>
      </c>
      <c r="E594" s="376">
        <v>801.61</v>
      </c>
      <c r="F594" s="402">
        <v>150.30000000000001</v>
      </c>
      <c r="G594" s="401">
        <f t="shared" si="38"/>
        <v>865.1</v>
      </c>
      <c r="H594" s="402">
        <f t="shared" si="39"/>
        <v>9542.5470000000059</v>
      </c>
      <c r="I594" s="402">
        <f t="shared" si="40"/>
        <v>130024.53000000001</v>
      </c>
    </row>
    <row r="595" spans="2:9" hidden="1">
      <c r="B595" s="156">
        <v>45044</v>
      </c>
      <c r="C595" s="255" t="s">
        <v>1093</v>
      </c>
      <c r="D595" s="402">
        <f t="shared" si="37"/>
        <v>110718.3732</v>
      </c>
      <c r="E595" s="376">
        <v>801.61</v>
      </c>
      <c r="F595" s="402">
        <v>138.12</v>
      </c>
      <c r="G595" s="401">
        <f t="shared" si="38"/>
        <v>865.1</v>
      </c>
      <c r="H595" s="402">
        <f t="shared" si="39"/>
        <v>8769.2388000000064</v>
      </c>
      <c r="I595" s="402">
        <f t="shared" si="40"/>
        <v>119487.61200000001</v>
      </c>
    </row>
    <row r="596" spans="2:9" hidden="1">
      <c r="B596" s="156">
        <v>45044</v>
      </c>
      <c r="C596" s="255" t="s">
        <v>1094</v>
      </c>
      <c r="D596" s="402">
        <f t="shared" si="37"/>
        <v>130197.49619999999</v>
      </c>
      <c r="E596" s="376">
        <v>801.61</v>
      </c>
      <c r="F596" s="402">
        <v>162.41999999999999</v>
      </c>
      <c r="G596" s="401">
        <f t="shared" si="38"/>
        <v>865.1</v>
      </c>
      <c r="H596" s="402">
        <f t="shared" si="39"/>
        <v>10312.045799999993</v>
      </c>
      <c r="I596" s="402">
        <f t="shared" si="40"/>
        <v>140509.54199999999</v>
      </c>
    </row>
    <row r="597" spans="2:9" hidden="1">
      <c r="B597" s="156">
        <v>45044</v>
      </c>
      <c r="C597" s="255" t="s">
        <v>1095</v>
      </c>
      <c r="D597" s="402">
        <f t="shared" si="37"/>
        <v>120481.98300000001</v>
      </c>
      <c r="E597" s="376">
        <v>801.61</v>
      </c>
      <c r="F597" s="402">
        <v>150.30000000000001</v>
      </c>
      <c r="G597" s="401">
        <f t="shared" si="38"/>
        <v>865.1</v>
      </c>
      <c r="H597" s="402">
        <f t="shared" si="39"/>
        <v>9542.5470000000059</v>
      </c>
      <c r="I597" s="402">
        <f t="shared" si="40"/>
        <v>130024.53000000001</v>
      </c>
    </row>
    <row r="598" spans="2:9" hidden="1">
      <c r="B598" s="156">
        <v>45044</v>
      </c>
      <c r="C598" s="255" t="s">
        <v>1096</v>
      </c>
      <c r="D598" s="402">
        <f t="shared" si="37"/>
        <v>120481.98300000001</v>
      </c>
      <c r="E598" s="376">
        <v>801.61</v>
      </c>
      <c r="F598" s="402">
        <v>150.30000000000001</v>
      </c>
      <c r="G598" s="401">
        <f t="shared" si="38"/>
        <v>865.1</v>
      </c>
      <c r="H598" s="402">
        <f t="shared" si="39"/>
        <v>9542.5470000000059</v>
      </c>
      <c r="I598" s="402">
        <f t="shared" si="40"/>
        <v>130024.53000000001</v>
      </c>
    </row>
    <row r="599" spans="2:9" hidden="1">
      <c r="B599" s="156">
        <v>45044</v>
      </c>
      <c r="C599" s="255" t="s">
        <v>1097</v>
      </c>
      <c r="D599" s="402">
        <f t="shared" si="37"/>
        <v>120481.98300000001</v>
      </c>
      <c r="E599" s="376">
        <v>801.61</v>
      </c>
      <c r="F599" s="402">
        <v>150.30000000000001</v>
      </c>
      <c r="G599" s="401">
        <f t="shared" si="38"/>
        <v>865.1</v>
      </c>
      <c r="H599" s="402">
        <f t="shared" si="39"/>
        <v>9542.5470000000059</v>
      </c>
      <c r="I599" s="402">
        <f t="shared" si="40"/>
        <v>130024.53000000001</v>
      </c>
    </row>
    <row r="600" spans="2:9" hidden="1">
      <c r="B600" s="156">
        <v>45044</v>
      </c>
      <c r="C600" s="255" t="s">
        <v>1098</v>
      </c>
      <c r="D600" s="402">
        <f t="shared" si="37"/>
        <v>130197.49619999999</v>
      </c>
      <c r="E600" s="376">
        <v>801.61</v>
      </c>
      <c r="F600" s="402">
        <v>162.41999999999999</v>
      </c>
      <c r="G600" s="401">
        <f t="shared" si="38"/>
        <v>865.1</v>
      </c>
      <c r="H600" s="402">
        <f t="shared" si="39"/>
        <v>10312.045799999993</v>
      </c>
      <c r="I600" s="402">
        <f t="shared" si="40"/>
        <v>140509.54199999999</v>
      </c>
    </row>
    <row r="601" spans="2:9" hidden="1">
      <c r="B601" s="156">
        <v>45044</v>
      </c>
      <c r="C601" s="255" t="s">
        <v>1099</v>
      </c>
      <c r="D601" s="402">
        <f t="shared" si="37"/>
        <v>120481.98300000001</v>
      </c>
      <c r="E601" s="376">
        <v>801.61</v>
      </c>
      <c r="F601" s="402">
        <v>150.30000000000001</v>
      </c>
      <c r="G601" s="401">
        <f t="shared" si="38"/>
        <v>865.1</v>
      </c>
      <c r="H601" s="402">
        <f t="shared" si="39"/>
        <v>9542.5470000000059</v>
      </c>
      <c r="I601" s="402">
        <f t="shared" si="40"/>
        <v>130024.53000000001</v>
      </c>
    </row>
    <row r="602" spans="2:9" hidden="1">
      <c r="B602" s="156">
        <v>45044</v>
      </c>
      <c r="C602" s="255" t="s">
        <v>1100</v>
      </c>
      <c r="D602" s="402">
        <f t="shared" si="37"/>
        <v>130197.49619999999</v>
      </c>
      <c r="E602" s="376">
        <v>801.61</v>
      </c>
      <c r="F602" s="402">
        <v>162.41999999999999</v>
      </c>
      <c r="G602" s="401">
        <f t="shared" si="38"/>
        <v>865.1</v>
      </c>
      <c r="H602" s="402">
        <f t="shared" si="39"/>
        <v>10312.045799999993</v>
      </c>
      <c r="I602" s="402">
        <f t="shared" si="40"/>
        <v>140509.54199999999</v>
      </c>
    </row>
    <row r="603" spans="2:9" hidden="1">
      <c r="B603" s="156">
        <v>45044</v>
      </c>
      <c r="C603" s="255" t="s">
        <v>1101</v>
      </c>
      <c r="D603" s="402">
        <f t="shared" si="37"/>
        <v>120481.98300000001</v>
      </c>
      <c r="E603" s="376">
        <v>801.61</v>
      </c>
      <c r="F603" s="402">
        <v>150.30000000000001</v>
      </c>
      <c r="G603" s="401">
        <f t="shared" si="38"/>
        <v>865.1</v>
      </c>
      <c r="H603" s="402">
        <f t="shared" si="39"/>
        <v>9542.5470000000059</v>
      </c>
      <c r="I603" s="402">
        <f t="shared" si="40"/>
        <v>130024.53000000001</v>
      </c>
    </row>
    <row r="604" spans="2:9" hidden="1">
      <c r="B604" s="156">
        <v>45044</v>
      </c>
      <c r="C604" s="255" t="s">
        <v>1102</v>
      </c>
      <c r="D604" s="402">
        <f t="shared" si="37"/>
        <v>120481.98300000001</v>
      </c>
      <c r="E604" s="376">
        <v>801.61</v>
      </c>
      <c r="F604" s="402">
        <v>150.30000000000001</v>
      </c>
      <c r="G604" s="401">
        <f t="shared" si="38"/>
        <v>865.1</v>
      </c>
      <c r="H604" s="402">
        <f t="shared" si="39"/>
        <v>9542.5470000000059</v>
      </c>
      <c r="I604" s="402">
        <f t="shared" si="40"/>
        <v>130024.53000000001</v>
      </c>
    </row>
    <row r="605" spans="2:9" hidden="1">
      <c r="B605" s="156">
        <v>45044</v>
      </c>
      <c r="C605" s="255" t="s">
        <v>1103</v>
      </c>
      <c r="D605" s="402">
        <f t="shared" si="37"/>
        <v>130197.49619999999</v>
      </c>
      <c r="E605" s="376">
        <v>801.61</v>
      </c>
      <c r="F605" s="402">
        <v>162.41999999999999</v>
      </c>
      <c r="G605" s="401">
        <f t="shared" si="38"/>
        <v>865.1</v>
      </c>
      <c r="H605" s="402">
        <f t="shared" si="39"/>
        <v>10312.045799999993</v>
      </c>
      <c r="I605" s="402">
        <f t="shared" si="40"/>
        <v>140509.54199999999</v>
      </c>
    </row>
    <row r="606" spans="2:9" hidden="1">
      <c r="B606" s="156">
        <v>45044</v>
      </c>
      <c r="C606" s="255" t="s">
        <v>1104</v>
      </c>
      <c r="D606" s="402">
        <f t="shared" si="37"/>
        <v>115576.12980000001</v>
      </c>
      <c r="E606" s="376">
        <v>801.61</v>
      </c>
      <c r="F606" s="402">
        <v>144.18</v>
      </c>
      <c r="G606" s="401">
        <f t="shared" si="38"/>
        <v>865.1</v>
      </c>
      <c r="H606" s="402">
        <f t="shared" si="39"/>
        <v>9153.9881999999925</v>
      </c>
      <c r="I606" s="402">
        <f t="shared" si="40"/>
        <v>124730.118</v>
      </c>
    </row>
    <row r="607" spans="2:9" hidden="1">
      <c r="B607" s="156">
        <v>45044</v>
      </c>
      <c r="C607" s="255" t="s">
        <v>1105</v>
      </c>
      <c r="D607" s="402">
        <f t="shared" si="37"/>
        <v>120481.98300000001</v>
      </c>
      <c r="E607" s="376">
        <v>801.61</v>
      </c>
      <c r="F607" s="402">
        <v>150.30000000000001</v>
      </c>
      <c r="G607" s="401">
        <f t="shared" si="38"/>
        <v>865.1</v>
      </c>
      <c r="H607" s="402">
        <f t="shared" si="39"/>
        <v>9542.5470000000059</v>
      </c>
      <c r="I607" s="402">
        <f t="shared" si="40"/>
        <v>130024.53000000001</v>
      </c>
    </row>
    <row r="608" spans="2:9" hidden="1">
      <c r="B608" s="156">
        <v>45044</v>
      </c>
      <c r="C608" s="255" t="s">
        <v>1106</v>
      </c>
      <c r="D608" s="402">
        <f t="shared" si="37"/>
        <v>110718.3732</v>
      </c>
      <c r="E608" s="376">
        <v>801.61</v>
      </c>
      <c r="F608" s="402">
        <v>138.12</v>
      </c>
      <c r="G608" s="401">
        <f t="shared" si="38"/>
        <v>865.1</v>
      </c>
      <c r="H608" s="402">
        <f t="shared" si="39"/>
        <v>8769.2388000000064</v>
      </c>
      <c r="I608" s="402">
        <f t="shared" si="40"/>
        <v>119487.61200000001</v>
      </c>
    </row>
    <row r="609" spans="2:9" hidden="1">
      <c r="B609" s="156">
        <v>45044</v>
      </c>
      <c r="C609" s="255" t="s">
        <v>1107</v>
      </c>
      <c r="D609" s="402">
        <f t="shared" si="37"/>
        <v>110718.3732</v>
      </c>
      <c r="E609" s="376">
        <v>801.61</v>
      </c>
      <c r="F609" s="402">
        <v>138.12</v>
      </c>
      <c r="G609" s="401">
        <f t="shared" si="38"/>
        <v>865.1</v>
      </c>
      <c r="H609" s="402">
        <f t="shared" si="39"/>
        <v>8769.2388000000064</v>
      </c>
      <c r="I609" s="402">
        <f t="shared" si="40"/>
        <v>119487.61200000001</v>
      </c>
    </row>
    <row r="610" spans="2:9" hidden="1">
      <c r="B610" s="156">
        <v>45044</v>
      </c>
      <c r="C610" s="255" t="s">
        <v>1108</v>
      </c>
      <c r="D610" s="402">
        <f t="shared" si="37"/>
        <v>110718.3732</v>
      </c>
      <c r="E610" s="376">
        <v>801.61</v>
      </c>
      <c r="F610" s="402">
        <v>138.12</v>
      </c>
      <c r="G610" s="401">
        <f t="shared" si="38"/>
        <v>865.1</v>
      </c>
      <c r="H610" s="402">
        <f t="shared" si="39"/>
        <v>8769.2388000000064</v>
      </c>
      <c r="I610" s="402">
        <f t="shared" si="40"/>
        <v>119487.61200000001</v>
      </c>
    </row>
    <row r="611" spans="2:9" hidden="1">
      <c r="B611" s="156">
        <v>45044</v>
      </c>
      <c r="C611" s="255" t="s">
        <v>1109</v>
      </c>
      <c r="D611" s="402">
        <f t="shared" si="37"/>
        <v>120481.98300000001</v>
      </c>
      <c r="E611" s="376">
        <v>801.61</v>
      </c>
      <c r="F611" s="402">
        <v>150.30000000000001</v>
      </c>
      <c r="G611" s="401">
        <f t="shared" si="38"/>
        <v>865.1</v>
      </c>
      <c r="H611" s="402">
        <f t="shared" si="39"/>
        <v>9542.5470000000059</v>
      </c>
      <c r="I611" s="402">
        <f t="shared" si="40"/>
        <v>130024.53000000001</v>
      </c>
    </row>
    <row r="612" spans="2:9" hidden="1">
      <c r="B612" s="156">
        <v>45044</v>
      </c>
      <c r="C612" s="255" t="s">
        <v>1110</v>
      </c>
      <c r="D612" s="402">
        <f t="shared" si="37"/>
        <v>115576.12980000001</v>
      </c>
      <c r="E612" s="376">
        <v>801.61</v>
      </c>
      <c r="F612" s="402">
        <v>144.18</v>
      </c>
      <c r="G612" s="401">
        <f t="shared" si="38"/>
        <v>865.1</v>
      </c>
      <c r="H612" s="402">
        <f t="shared" si="39"/>
        <v>9153.9881999999925</v>
      </c>
      <c r="I612" s="402">
        <f t="shared" si="40"/>
        <v>124730.118</v>
      </c>
    </row>
    <row r="613" spans="2:9" hidden="1">
      <c r="B613" s="156">
        <v>45044</v>
      </c>
      <c r="C613" s="255" t="s">
        <v>1111</v>
      </c>
      <c r="D613" s="402">
        <f t="shared" si="37"/>
        <v>120481.98300000001</v>
      </c>
      <c r="E613" s="376">
        <v>801.61</v>
      </c>
      <c r="F613" s="402">
        <v>150.30000000000001</v>
      </c>
      <c r="G613" s="401">
        <f t="shared" si="38"/>
        <v>865.1</v>
      </c>
      <c r="H613" s="402">
        <f t="shared" si="39"/>
        <v>9542.5470000000059</v>
      </c>
      <c r="I613" s="402">
        <f t="shared" si="40"/>
        <v>130024.53000000001</v>
      </c>
    </row>
    <row r="614" spans="2:9" hidden="1">
      <c r="B614" s="156">
        <v>45044</v>
      </c>
      <c r="C614" s="255" t="s">
        <v>1112</v>
      </c>
      <c r="D614" s="402">
        <f t="shared" si="37"/>
        <v>130197.49619999999</v>
      </c>
      <c r="E614" s="376">
        <v>801.61</v>
      </c>
      <c r="F614" s="402">
        <v>162.41999999999999</v>
      </c>
      <c r="G614" s="401">
        <f t="shared" si="38"/>
        <v>865.1</v>
      </c>
      <c r="H614" s="402">
        <f t="shared" si="39"/>
        <v>10312.045799999993</v>
      </c>
      <c r="I614" s="402">
        <f t="shared" si="40"/>
        <v>140509.54199999999</v>
      </c>
    </row>
    <row r="615" spans="2:9" hidden="1">
      <c r="B615" s="156">
        <v>45044</v>
      </c>
      <c r="C615" s="255" t="s">
        <v>1113</v>
      </c>
      <c r="D615" s="402">
        <f t="shared" si="37"/>
        <v>130197.49619999999</v>
      </c>
      <c r="E615" s="376">
        <v>801.61</v>
      </c>
      <c r="F615" s="402">
        <v>162.41999999999999</v>
      </c>
      <c r="G615" s="401">
        <f t="shared" si="38"/>
        <v>865.1</v>
      </c>
      <c r="H615" s="402">
        <f t="shared" si="39"/>
        <v>10312.045799999993</v>
      </c>
      <c r="I615" s="402">
        <f t="shared" si="40"/>
        <v>140509.54199999999</v>
      </c>
    </row>
    <row r="616" spans="2:9" hidden="1">
      <c r="B616" s="156">
        <v>45044</v>
      </c>
      <c r="C616" s="255" t="s">
        <v>1114</v>
      </c>
      <c r="D616" s="402">
        <f t="shared" si="37"/>
        <v>130197.49619999999</v>
      </c>
      <c r="E616" s="376">
        <v>801.61</v>
      </c>
      <c r="F616" s="402">
        <v>162.41999999999999</v>
      </c>
      <c r="G616" s="401">
        <f t="shared" si="38"/>
        <v>865.1</v>
      </c>
      <c r="H616" s="402">
        <f t="shared" si="39"/>
        <v>10312.045799999993</v>
      </c>
      <c r="I616" s="402">
        <f t="shared" si="40"/>
        <v>140509.54199999999</v>
      </c>
    </row>
    <row r="617" spans="2:9" hidden="1">
      <c r="B617" s="156">
        <v>45044</v>
      </c>
      <c r="C617" s="255" t="s">
        <v>1115</v>
      </c>
      <c r="D617" s="402">
        <f t="shared" si="37"/>
        <v>130197.49619999999</v>
      </c>
      <c r="E617" s="376">
        <v>801.61</v>
      </c>
      <c r="F617" s="402">
        <v>162.41999999999999</v>
      </c>
      <c r="G617" s="401">
        <f t="shared" si="38"/>
        <v>865.1</v>
      </c>
      <c r="H617" s="402">
        <f t="shared" si="39"/>
        <v>10312.045799999993</v>
      </c>
      <c r="I617" s="402">
        <f t="shared" si="40"/>
        <v>140509.54199999999</v>
      </c>
    </row>
    <row r="618" spans="2:9" hidden="1">
      <c r="B618" s="156">
        <v>45044</v>
      </c>
      <c r="C618" s="255" t="s">
        <v>1116</v>
      </c>
      <c r="D618" s="402">
        <f t="shared" si="37"/>
        <v>110718.3732</v>
      </c>
      <c r="E618" s="376">
        <v>801.61</v>
      </c>
      <c r="F618" s="402">
        <v>138.12</v>
      </c>
      <c r="G618" s="401">
        <f t="shared" si="38"/>
        <v>865.1</v>
      </c>
      <c r="H618" s="402">
        <f t="shared" si="39"/>
        <v>8769.2388000000064</v>
      </c>
      <c r="I618" s="402">
        <f t="shared" si="40"/>
        <v>119487.61200000001</v>
      </c>
    </row>
    <row r="619" spans="2:9" hidden="1">
      <c r="B619" s="156">
        <v>45044</v>
      </c>
      <c r="C619" s="255" t="s">
        <v>1117</v>
      </c>
      <c r="D619" s="402">
        <f t="shared" si="37"/>
        <v>120481.98300000001</v>
      </c>
      <c r="E619" s="376">
        <v>801.61</v>
      </c>
      <c r="F619" s="402">
        <v>150.30000000000001</v>
      </c>
      <c r="G619" s="401">
        <f t="shared" si="38"/>
        <v>865.1</v>
      </c>
      <c r="H619" s="402">
        <f t="shared" si="39"/>
        <v>9542.5470000000059</v>
      </c>
      <c r="I619" s="402">
        <f t="shared" si="40"/>
        <v>130024.53000000001</v>
      </c>
    </row>
    <row r="620" spans="2:9" hidden="1">
      <c r="B620" s="156">
        <v>45044</v>
      </c>
      <c r="C620" s="255" t="s">
        <v>1118</v>
      </c>
      <c r="D620" s="402">
        <f t="shared" si="37"/>
        <v>110718.3732</v>
      </c>
      <c r="E620" s="376">
        <v>801.61</v>
      </c>
      <c r="F620" s="402">
        <v>138.12</v>
      </c>
      <c r="G620" s="401">
        <f t="shared" si="38"/>
        <v>865.1</v>
      </c>
      <c r="H620" s="402">
        <f t="shared" si="39"/>
        <v>8769.2388000000064</v>
      </c>
      <c r="I620" s="402">
        <f t="shared" si="40"/>
        <v>119487.61200000001</v>
      </c>
    </row>
    <row r="621" spans="2:9" hidden="1">
      <c r="B621" s="156">
        <v>45044</v>
      </c>
      <c r="C621" s="255" t="s">
        <v>1119</v>
      </c>
      <c r="D621" s="402">
        <f t="shared" si="37"/>
        <v>120481.98300000001</v>
      </c>
      <c r="E621" s="376">
        <v>801.61</v>
      </c>
      <c r="F621" s="402">
        <v>150.30000000000001</v>
      </c>
      <c r="G621" s="401">
        <f t="shared" si="38"/>
        <v>865.1</v>
      </c>
      <c r="H621" s="402">
        <f t="shared" si="39"/>
        <v>9542.5470000000059</v>
      </c>
      <c r="I621" s="402">
        <f t="shared" si="40"/>
        <v>130024.53000000001</v>
      </c>
    </row>
    <row r="622" spans="2:9" hidden="1">
      <c r="B622" s="156">
        <v>45044</v>
      </c>
      <c r="C622" s="255" t="s">
        <v>1120</v>
      </c>
      <c r="D622" s="402">
        <f t="shared" si="37"/>
        <v>115576.12980000001</v>
      </c>
      <c r="E622" s="376">
        <v>801.61</v>
      </c>
      <c r="F622" s="402">
        <v>144.18</v>
      </c>
      <c r="G622" s="401">
        <f t="shared" si="38"/>
        <v>865.1</v>
      </c>
      <c r="H622" s="402">
        <f t="shared" si="39"/>
        <v>9153.9881999999925</v>
      </c>
      <c r="I622" s="402">
        <f t="shared" si="40"/>
        <v>124730.118</v>
      </c>
    </row>
    <row r="623" spans="2:9" hidden="1">
      <c r="B623" s="156">
        <v>45044</v>
      </c>
      <c r="C623" s="255" t="s">
        <v>1121</v>
      </c>
      <c r="D623" s="402">
        <f t="shared" si="37"/>
        <v>110718.3732</v>
      </c>
      <c r="E623" s="376">
        <v>801.61</v>
      </c>
      <c r="F623" s="402">
        <v>138.12</v>
      </c>
      <c r="G623" s="401">
        <f t="shared" si="38"/>
        <v>865.1</v>
      </c>
      <c r="H623" s="402">
        <f t="shared" si="39"/>
        <v>8769.2388000000064</v>
      </c>
      <c r="I623" s="402">
        <f t="shared" si="40"/>
        <v>119487.61200000001</v>
      </c>
    </row>
    <row r="624" spans="2:9" hidden="1">
      <c r="B624" s="156">
        <v>45044</v>
      </c>
      <c r="C624" s="255" t="s">
        <v>1122</v>
      </c>
      <c r="D624" s="402">
        <f t="shared" si="37"/>
        <v>115576.12980000001</v>
      </c>
      <c r="E624" s="376">
        <v>801.61</v>
      </c>
      <c r="F624" s="402">
        <v>144.18</v>
      </c>
      <c r="G624" s="401">
        <f t="shared" si="38"/>
        <v>865.1</v>
      </c>
      <c r="H624" s="402">
        <f t="shared" si="39"/>
        <v>9153.9881999999925</v>
      </c>
      <c r="I624" s="402">
        <f t="shared" si="40"/>
        <v>124730.118</v>
      </c>
    </row>
    <row r="625" spans="2:9" hidden="1">
      <c r="B625" s="156">
        <v>45044</v>
      </c>
      <c r="C625" s="255" t="s">
        <v>1123</v>
      </c>
      <c r="D625" s="402">
        <f t="shared" si="37"/>
        <v>120481.98300000001</v>
      </c>
      <c r="E625" s="376">
        <v>801.61</v>
      </c>
      <c r="F625" s="402">
        <v>150.30000000000001</v>
      </c>
      <c r="G625" s="401">
        <f t="shared" si="38"/>
        <v>865.1</v>
      </c>
      <c r="H625" s="402">
        <f t="shared" si="39"/>
        <v>9542.5470000000059</v>
      </c>
      <c r="I625" s="402">
        <f t="shared" si="40"/>
        <v>130024.53000000001</v>
      </c>
    </row>
    <row r="626" spans="2:9" hidden="1">
      <c r="B626" s="156">
        <v>45044</v>
      </c>
      <c r="C626" s="255" t="s">
        <v>1124</v>
      </c>
      <c r="D626" s="402">
        <f t="shared" si="37"/>
        <v>115576.12980000001</v>
      </c>
      <c r="E626" s="376">
        <v>801.61</v>
      </c>
      <c r="F626" s="402">
        <v>144.18</v>
      </c>
      <c r="G626" s="401">
        <f t="shared" si="38"/>
        <v>865.1</v>
      </c>
      <c r="H626" s="402">
        <f t="shared" si="39"/>
        <v>9153.9881999999925</v>
      </c>
      <c r="I626" s="402">
        <f t="shared" si="40"/>
        <v>124730.118</v>
      </c>
    </row>
    <row r="627" spans="2:9" hidden="1">
      <c r="B627" s="156">
        <v>45044</v>
      </c>
      <c r="C627" s="255" t="s">
        <v>1125</v>
      </c>
      <c r="D627" s="402">
        <f t="shared" si="37"/>
        <v>120481.98300000001</v>
      </c>
      <c r="E627" s="376">
        <v>801.61</v>
      </c>
      <c r="F627" s="402">
        <v>150.30000000000001</v>
      </c>
      <c r="G627" s="401">
        <f t="shared" si="38"/>
        <v>865.1</v>
      </c>
      <c r="H627" s="402">
        <f t="shared" si="39"/>
        <v>9542.5470000000059</v>
      </c>
      <c r="I627" s="402">
        <f t="shared" si="40"/>
        <v>130024.53000000001</v>
      </c>
    </row>
    <row r="628" spans="2:9" hidden="1">
      <c r="B628" s="156">
        <v>45044</v>
      </c>
      <c r="C628" s="255" t="s">
        <v>1126</v>
      </c>
      <c r="D628" s="402">
        <f t="shared" si="37"/>
        <v>120481.98300000001</v>
      </c>
      <c r="E628" s="376">
        <v>801.61</v>
      </c>
      <c r="F628" s="402">
        <v>150.30000000000001</v>
      </c>
      <c r="G628" s="401">
        <f t="shared" si="38"/>
        <v>865.1</v>
      </c>
      <c r="H628" s="402">
        <f t="shared" si="39"/>
        <v>9542.5470000000059</v>
      </c>
      <c r="I628" s="402">
        <f t="shared" si="40"/>
        <v>130024.53000000001</v>
      </c>
    </row>
    <row r="629" spans="2:9" hidden="1">
      <c r="B629" s="156">
        <v>45044</v>
      </c>
      <c r="C629" s="255" t="s">
        <v>1127</v>
      </c>
      <c r="D629" s="402">
        <f t="shared" si="37"/>
        <v>120481.98300000001</v>
      </c>
      <c r="E629" s="376">
        <v>801.61</v>
      </c>
      <c r="F629" s="402">
        <v>150.30000000000001</v>
      </c>
      <c r="G629" s="401">
        <f t="shared" si="38"/>
        <v>865.1</v>
      </c>
      <c r="H629" s="402">
        <f t="shared" si="39"/>
        <v>9542.5470000000059</v>
      </c>
      <c r="I629" s="402">
        <f t="shared" si="40"/>
        <v>130024.53000000001</v>
      </c>
    </row>
    <row r="630" spans="2:9" hidden="1">
      <c r="B630" s="156">
        <v>45044</v>
      </c>
      <c r="C630" s="255" t="s">
        <v>1128</v>
      </c>
      <c r="D630" s="402">
        <f t="shared" si="37"/>
        <v>115576.12980000001</v>
      </c>
      <c r="E630" s="376">
        <v>801.61</v>
      </c>
      <c r="F630" s="402">
        <v>144.18</v>
      </c>
      <c r="G630" s="401">
        <f t="shared" si="38"/>
        <v>865.1</v>
      </c>
      <c r="H630" s="402">
        <f t="shared" si="39"/>
        <v>9153.9881999999925</v>
      </c>
      <c r="I630" s="402">
        <f t="shared" si="40"/>
        <v>124730.118</v>
      </c>
    </row>
    <row r="631" spans="2:9" hidden="1">
      <c r="B631" s="156">
        <v>45044</v>
      </c>
      <c r="C631" s="255" t="s">
        <v>1129</v>
      </c>
      <c r="D631" s="402">
        <f t="shared" si="37"/>
        <v>120481.98300000001</v>
      </c>
      <c r="E631" s="376">
        <v>801.61</v>
      </c>
      <c r="F631" s="402">
        <v>150.30000000000001</v>
      </c>
      <c r="G631" s="401">
        <f t="shared" si="38"/>
        <v>865.1</v>
      </c>
      <c r="H631" s="402">
        <f t="shared" si="39"/>
        <v>9542.5470000000059</v>
      </c>
      <c r="I631" s="402">
        <f t="shared" si="40"/>
        <v>130024.53000000001</v>
      </c>
    </row>
    <row r="632" spans="2:9" hidden="1">
      <c r="B632" s="156">
        <v>45044</v>
      </c>
      <c r="C632" s="255" t="s">
        <v>1130</v>
      </c>
      <c r="D632" s="402">
        <f t="shared" si="37"/>
        <v>130197.49619999999</v>
      </c>
      <c r="E632" s="376">
        <v>801.61</v>
      </c>
      <c r="F632" s="402">
        <v>162.41999999999999</v>
      </c>
      <c r="G632" s="401">
        <f t="shared" si="38"/>
        <v>865.1</v>
      </c>
      <c r="H632" s="402">
        <f t="shared" si="39"/>
        <v>10312.045799999993</v>
      </c>
      <c r="I632" s="402">
        <f t="shared" si="40"/>
        <v>140509.54199999999</v>
      </c>
    </row>
    <row r="633" spans="2:9" hidden="1">
      <c r="B633" s="156">
        <v>45044</v>
      </c>
      <c r="C633" s="255" t="s">
        <v>1131</v>
      </c>
      <c r="D633" s="402">
        <f t="shared" si="37"/>
        <v>110718.3732</v>
      </c>
      <c r="E633" s="376">
        <v>801.61</v>
      </c>
      <c r="F633" s="402">
        <v>138.12</v>
      </c>
      <c r="G633" s="401">
        <f t="shared" si="38"/>
        <v>865.1</v>
      </c>
      <c r="H633" s="402">
        <f t="shared" si="39"/>
        <v>8769.2388000000064</v>
      </c>
      <c r="I633" s="402">
        <f t="shared" si="40"/>
        <v>119487.61200000001</v>
      </c>
    </row>
    <row r="634" spans="2:9" hidden="1">
      <c r="B634" s="156">
        <v>45044</v>
      </c>
      <c r="C634" s="255" t="s">
        <v>1132</v>
      </c>
      <c r="D634" s="402">
        <f t="shared" si="37"/>
        <v>110718.3732</v>
      </c>
      <c r="E634" s="376">
        <v>801.61</v>
      </c>
      <c r="F634" s="402">
        <v>138.12</v>
      </c>
      <c r="G634" s="401">
        <f t="shared" si="38"/>
        <v>865.1</v>
      </c>
      <c r="H634" s="402">
        <f t="shared" si="39"/>
        <v>8769.2388000000064</v>
      </c>
      <c r="I634" s="402">
        <f t="shared" si="40"/>
        <v>119487.61200000001</v>
      </c>
    </row>
    <row r="635" spans="2:9" hidden="1">
      <c r="B635" s="156">
        <v>45044</v>
      </c>
      <c r="C635" s="255" t="s">
        <v>1133</v>
      </c>
      <c r="D635" s="402">
        <f t="shared" si="37"/>
        <v>110718.3732</v>
      </c>
      <c r="E635" s="376">
        <v>801.61</v>
      </c>
      <c r="F635" s="402">
        <v>138.12</v>
      </c>
      <c r="G635" s="401">
        <f t="shared" si="38"/>
        <v>865.1</v>
      </c>
      <c r="H635" s="402">
        <f t="shared" si="39"/>
        <v>8769.2388000000064</v>
      </c>
      <c r="I635" s="402">
        <f t="shared" si="40"/>
        <v>119487.61200000001</v>
      </c>
    </row>
    <row r="636" spans="2:9" hidden="1">
      <c r="B636" s="156">
        <v>45044</v>
      </c>
      <c r="C636" s="255" t="s">
        <v>1134</v>
      </c>
      <c r="D636" s="402">
        <f t="shared" si="37"/>
        <v>110718.3732</v>
      </c>
      <c r="E636" s="376">
        <v>801.61</v>
      </c>
      <c r="F636" s="402">
        <v>138.12</v>
      </c>
      <c r="G636" s="401">
        <f t="shared" si="38"/>
        <v>865.1</v>
      </c>
      <c r="H636" s="402">
        <f t="shared" si="39"/>
        <v>8769.2388000000064</v>
      </c>
      <c r="I636" s="402">
        <f t="shared" si="40"/>
        <v>119487.61200000001</v>
      </c>
    </row>
    <row r="637" spans="2:9" hidden="1">
      <c r="B637" s="156">
        <v>45044</v>
      </c>
      <c r="C637" s="255" t="s">
        <v>1135</v>
      </c>
      <c r="D637" s="402">
        <f t="shared" si="37"/>
        <v>110718.3732</v>
      </c>
      <c r="E637" s="376">
        <v>801.61</v>
      </c>
      <c r="F637" s="402">
        <v>138.12</v>
      </c>
      <c r="G637" s="401">
        <f t="shared" si="38"/>
        <v>865.1</v>
      </c>
      <c r="H637" s="402">
        <f t="shared" si="39"/>
        <v>8769.2388000000064</v>
      </c>
      <c r="I637" s="402">
        <f t="shared" si="40"/>
        <v>119487.61200000001</v>
      </c>
    </row>
    <row r="638" spans="2:9" hidden="1">
      <c r="B638" s="156">
        <v>45044</v>
      </c>
      <c r="C638" s="255" t="s">
        <v>1136</v>
      </c>
      <c r="D638" s="402">
        <f t="shared" si="37"/>
        <v>115576.12980000001</v>
      </c>
      <c r="E638" s="376">
        <v>801.61</v>
      </c>
      <c r="F638" s="402">
        <v>144.18</v>
      </c>
      <c r="G638" s="401">
        <f t="shared" si="38"/>
        <v>865.1</v>
      </c>
      <c r="H638" s="402">
        <f t="shared" si="39"/>
        <v>9153.9881999999925</v>
      </c>
      <c r="I638" s="402">
        <f t="shared" si="40"/>
        <v>124730.118</v>
      </c>
    </row>
    <row r="639" spans="2:9" hidden="1">
      <c r="B639" s="156">
        <v>45044</v>
      </c>
      <c r="C639" s="255" t="s">
        <v>1137</v>
      </c>
      <c r="D639" s="402">
        <f t="shared" si="37"/>
        <v>120481.98300000001</v>
      </c>
      <c r="E639" s="376">
        <v>801.61</v>
      </c>
      <c r="F639" s="402">
        <v>150.30000000000001</v>
      </c>
      <c r="G639" s="401">
        <f t="shared" si="38"/>
        <v>865.1</v>
      </c>
      <c r="H639" s="402">
        <f t="shared" si="39"/>
        <v>9542.5470000000059</v>
      </c>
      <c r="I639" s="402">
        <f t="shared" si="40"/>
        <v>130024.53000000001</v>
      </c>
    </row>
    <row r="640" spans="2:9" hidden="1">
      <c r="B640" s="156">
        <v>45044</v>
      </c>
      <c r="C640" s="255" t="s">
        <v>1138</v>
      </c>
      <c r="D640" s="402">
        <f t="shared" si="37"/>
        <v>120481.98300000001</v>
      </c>
      <c r="E640" s="376">
        <v>801.61</v>
      </c>
      <c r="F640" s="402">
        <v>150.30000000000001</v>
      </c>
      <c r="G640" s="401">
        <f t="shared" si="38"/>
        <v>865.1</v>
      </c>
      <c r="H640" s="402">
        <f t="shared" si="39"/>
        <v>9542.5470000000059</v>
      </c>
      <c r="I640" s="402">
        <f t="shared" si="40"/>
        <v>130024.53000000001</v>
      </c>
    </row>
    <row r="641" spans="2:9" hidden="1">
      <c r="B641" s="156">
        <v>45044</v>
      </c>
      <c r="C641" s="255" t="s">
        <v>1139</v>
      </c>
      <c r="D641" s="402">
        <f t="shared" si="37"/>
        <v>120481.98300000001</v>
      </c>
      <c r="E641" s="376">
        <v>801.61</v>
      </c>
      <c r="F641" s="402">
        <v>150.30000000000001</v>
      </c>
      <c r="G641" s="401">
        <f t="shared" si="38"/>
        <v>865.1</v>
      </c>
      <c r="H641" s="402">
        <f t="shared" si="39"/>
        <v>9542.5470000000059</v>
      </c>
      <c r="I641" s="402">
        <f t="shared" si="40"/>
        <v>130024.53000000001</v>
      </c>
    </row>
    <row r="642" spans="2:9" hidden="1">
      <c r="B642" s="156">
        <v>45044</v>
      </c>
      <c r="C642" s="255" t="s">
        <v>1140</v>
      </c>
      <c r="D642" s="402">
        <f t="shared" si="37"/>
        <v>115576.12980000001</v>
      </c>
      <c r="E642" s="376">
        <v>801.61</v>
      </c>
      <c r="F642" s="402">
        <v>144.18</v>
      </c>
      <c r="G642" s="401">
        <f t="shared" si="38"/>
        <v>865.1</v>
      </c>
      <c r="H642" s="402">
        <f t="shared" si="39"/>
        <v>9153.9881999999925</v>
      </c>
      <c r="I642" s="402">
        <f t="shared" si="40"/>
        <v>124730.118</v>
      </c>
    </row>
    <row r="643" spans="2:9" hidden="1">
      <c r="B643" s="156">
        <v>45044</v>
      </c>
      <c r="C643" s="255" t="s">
        <v>1141</v>
      </c>
      <c r="D643" s="402">
        <f t="shared" si="37"/>
        <v>115576.12980000001</v>
      </c>
      <c r="E643" s="376">
        <v>801.61</v>
      </c>
      <c r="F643" s="402">
        <v>144.18</v>
      </c>
      <c r="G643" s="401">
        <f t="shared" si="38"/>
        <v>865.1</v>
      </c>
      <c r="H643" s="402">
        <f t="shared" si="39"/>
        <v>9153.9881999999925</v>
      </c>
      <c r="I643" s="402">
        <f t="shared" si="40"/>
        <v>124730.118</v>
      </c>
    </row>
    <row r="644" spans="2:9" hidden="1">
      <c r="B644" s="156">
        <v>45044</v>
      </c>
      <c r="C644" s="255" t="s">
        <v>1142</v>
      </c>
      <c r="D644" s="402">
        <f t="shared" ref="D644:D744" si="41">F644*E644</f>
        <v>120481.98300000001</v>
      </c>
      <c r="E644" s="376">
        <v>801.61</v>
      </c>
      <c r="F644" s="402">
        <v>150.30000000000001</v>
      </c>
      <c r="G644" s="401">
        <f t="shared" si="38"/>
        <v>865.1</v>
      </c>
      <c r="H644" s="402">
        <f t="shared" si="39"/>
        <v>9542.5470000000059</v>
      </c>
      <c r="I644" s="402">
        <f t="shared" si="40"/>
        <v>130024.53000000001</v>
      </c>
    </row>
    <row r="645" spans="2:9" hidden="1">
      <c r="B645" s="156">
        <v>45044</v>
      </c>
      <c r="C645" s="255" t="s">
        <v>1143</v>
      </c>
      <c r="D645" s="402">
        <f t="shared" si="41"/>
        <v>120481.98300000001</v>
      </c>
      <c r="E645" s="376">
        <v>801.61</v>
      </c>
      <c r="F645" s="402">
        <v>150.30000000000001</v>
      </c>
      <c r="G645" s="401">
        <f t="shared" ref="G645:G697" si="42">+G540</f>
        <v>865.1</v>
      </c>
      <c r="H645" s="402">
        <f t="shared" si="39"/>
        <v>9542.5470000000059</v>
      </c>
      <c r="I645" s="402">
        <f t="shared" si="40"/>
        <v>130024.53000000001</v>
      </c>
    </row>
    <row r="646" spans="2:9" hidden="1">
      <c r="B646" s="156">
        <v>45044</v>
      </c>
      <c r="C646" s="255" t="s">
        <v>1144</v>
      </c>
      <c r="D646" s="402">
        <f t="shared" si="41"/>
        <v>120481.98300000001</v>
      </c>
      <c r="E646" s="376">
        <v>801.61</v>
      </c>
      <c r="F646" s="402">
        <v>150.30000000000001</v>
      </c>
      <c r="G646" s="401">
        <f t="shared" si="42"/>
        <v>865.1</v>
      </c>
      <c r="H646" s="402">
        <f t="shared" si="39"/>
        <v>9542.5470000000059</v>
      </c>
      <c r="I646" s="402">
        <f t="shared" si="40"/>
        <v>130024.53000000001</v>
      </c>
    </row>
    <row r="647" spans="2:9" hidden="1">
      <c r="B647" s="156">
        <v>45044</v>
      </c>
      <c r="C647" s="255" t="s">
        <v>1145</v>
      </c>
      <c r="D647" s="402">
        <f t="shared" si="41"/>
        <v>120481.98300000001</v>
      </c>
      <c r="E647" s="376">
        <v>801.61</v>
      </c>
      <c r="F647" s="402">
        <v>150.30000000000001</v>
      </c>
      <c r="G647" s="401">
        <f t="shared" si="42"/>
        <v>865.1</v>
      </c>
      <c r="H647" s="402">
        <f t="shared" ref="H647:H698" si="43">+I647-D647</f>
        <v>9542.5470000000059</v>
      </c>
      <c r="I647" s="402">
        <f t="shared" ref="I647:I698" si="44">+F647*G647</f>
        <v>130024.53000000001</v>
      </c>
    </row>
    <row r="648" spans="2:9" hidden="1">
      <c r="B648" s="156">
        <v>45044</v>
      </c>
      <c r="C648" s="255" t="s">
        <v>1146</v>
      </c>
      <c r="D648" s="402">
        <f t="shared" si="41"/>
        <v>120481.98300000001</v>
      </c>
      <c r="E648" s="376">
        <v>801.61</v>
      </c>
      <c r="F648" s="402">
        <v>150.30000000000001</v>
      </c>
      <c r="G648" s="401">
        <f t="shared" si="42"/>
        <v>865.1</v>
      </c>
      <c r="H648" s="402">
        <f t="shared" si="43"/>
        <v>9542.5470000000059</v>
      </c>
      <c r="I648" s="402">
        <f t="shared" si="44"/>
        <v>130024.53000000001</v>
      </c>
    </row>
    <row r="649" spans="2:9" hidden="1">
      <c r="B649" s="156">
        <v>45044</v>
      </c>
      <c r="C649" s="255" t="s">
        <v>1147</v>
      </c>
      <c r="D649" s="402">
        <f t="shared" si="41"/>
        <v>110718.3732</v>
      </c>
      <c r="E649" s="376">
        <v>801.61</v>
      </c>
      <c r="F649" s="402">
        <v>138.12</v>
      </c>
      <c r="G649" s="401">
        <f t="shared" si="42"/>
        <v>865.1</v>
      </c>
      <c r="H649" s="402">
        <f t="shared" si="43"/>
        <v>8769.2388000000064</v>
      </c>
      <c r="I649" s="402">
        <f t="shared" si="44"/>
        <v>119487.61200000001</v>
      </c>
    </row>
    <row r="650" spans="2:9" hidden="1">
      <c r="B650" s="156">
        <v>45044</v>
      </c>
      <c r="C650" s="255" t="s">
        <v>1148</v>
      </c>
      <c r="D650" s="402">
        <f t="shared" si="41"/>
        <v>120481.98300000001</v>
      </c>
      <c r="E650" s="376">
        <v>801.61</v>
      </c>
      <c r="F650" s="402">
        <v>150.30000000000001</v>
      </c>
      <c r="G650" s="401">
        <f t="shared" si="42"/>
        <v>865.1</v>
      </c>
      <c r="H650" s="402">
        <f t="shared" si="43"/>
        <v>9542.5470000000059</v>
      </c>
      <c r="I650" s="402">
        <f t="shared" si="44"/>
        <v>130024.53000000001</v>
      </c>
    </row>
    <row r="651" spans="2:9" hidden="1">
      <c r="B651" s="156">
        <v>45044</v>
      </c>
      <c r="C651" s="255" t="s">
        <v>1149</v>
      </c>
      <c r="D651" s="402">
        <f t="shared" si="41"/>
        <v>130197.49619999999</v>
      </c>
      <c r="E651" s="376">
        <v>801.61</v>
      </c>
      <c r="F651" s="402">
        <v>162.41999999999999</v>
      </c>
      <c r="G651" s="401">
        <f t="shared" si="42"/>
        <v>865.1</v>
      </c>
      <c r="H651" s="402">
        <f t="shared" si="43"/>
        <v>10312.045799999993</v>
      </c>
      <c r="I651" s="402">
        <f t="shared" si="44"/>
        <v>140509.54199999999</v>
      </c>
    </row>
    <row r="652" spans="2:9" hidden="1">
      <c r="B652" s="156">
        <v>45044</v>
      </c>
      <c r="C652" s="255" t="s">
        <v>1150</v>
      </c>
      <c r="D652" s="402">
        <f t="shared" si="41"/>
        <v>120481.98300000001</v>
      </c>
      <c r="E652" s="376">
        <v>801.61</v>
      </c>
      <c r="F652" s="402">
        <v>150.30000000000001</v>
      </c>
      <c r="G652" s="401">
        <f t="shared" si="42"/>
        <v>865.1</v>
      </c>
      <c r="H652" s="402">
        <f t="shared" si="43"/>
        <v>9542.5470000000059</v>
      </c>
      <c r="I652" s="402">
        <f t="shared" si="44"/>
        <v>130024.53000000001</v>
      </c>
    </row>
    <row r="653" spans="2:9" hidden="1">
      <c r="B653" s="156">
        <v>45044</v>
      </c>
      <c r="C653" s="255" t="s">
        <v>1151</v>
      </c>
      <c r="D653" s="402">
        <f t="shared" si="41"/>
        <v>110718.3732</v>
      </c>
      <c r="E653" s="376">
        <v>801.61</v>
      </c>
      <c r="F653" s="402">
        <v>138.12</v>
      </c>
      <c r="G653" s="401">
        <f t="shared" si="42"/>
        <v>865.1</v>
      </c>
      <c r="H653" s="402">
        <f t="shared" si="43"/>
        <v>8769.2388000000064</v>
      </c>
      <c r="I653" s="402">
        <f t="shared" si="44"/>
        <v>119487.61200000001</v>
      </c>
    </row>
    <row r="654" spans="2:9" hidden="1">
      <c r="B654" s="156">
        <v>45044</v>
      </c>
      <c r="C654" s="255" t="s">
        <v>1152</v>
      </c>
      <c r="D654" s="402">
        <f t="shared" si="41"/>
        <v>120481.98300000001</v>
      </c>
      <c r="E654" s="376">
        <v>801.61</v>
      </c>
      <c r="F654" s="402">
        <v>150.30000000000001</v>
      </c>
      <c r="G654" s="401">
        <f t="shared" si="42"/>
        <v>865.1</v>
      </c>
      <c r="H654" s="402">
        <f t="shared" si="43"/>
        <v>9542.5470000000059</v>
      </c>
      <c r="I654" s="402">
        <f t="shared" si="44"/>
        <v>130024.53000000001</v>
      </c>
    </row>
    <row r="655" spans="2:9" hidden="1">
      <c r="B655" s="156">
        <v>45044</v>
      </c>
      <c r="C655" s="255" t="s">
        <v>1153</v>
      </c>
      <c r="D655" s="402">
        <f t="shared" si="41"/>
        <v>110718.3732</v>
      </c>
      <c r="E655" s="376">
        <v>801.61</v>
      </c>
      <c r="F655" s="402">
        <v>138.12</v>
      </c>
      <c r="G655" s="401">
        <f t="shared" si="42"/>
        <v>865.1</v>
      </c>
      <c r="H655" s="402">
        <f t="shared" si="43"/>
        <v>8769.2388000000064</v>
      </c>
      <c r="I655" s="402">
        <f t="shared" si="44"/>
        <v>119487.61200000001</v>
      </c>
    </row>
    <row r="656" spans="2:9" hidden="1">
      <c r="B656" s="156">
        <v>45044</v>
      </c>
      <c r="C656" s="255" t="s">
        <v>1154</v>
      </c>
      <c r="D656" s="402">
        <f t="shared" si="41"/>
        <v>130197.49619999999</v>
      </c>
      <c r="E656" s="376">
        <v>801.61</v>
      </c>
      <c r="F656" s="402">
        <v>162.41999999999999</v>
      </c>
      <c r="G656" s="401">
        <f t="shared" si="42"/>
        <v>865.1</v>
      </c>
      <c r="H656" s="402">
        <f t="shared" si="43"/>
        <v>10312.045799999993</v>
      </c>
      <c r="I656" s="402">
        <f t="shared" si="44"/>
        <v>140509.54199999999</v>
      </c>
    </row>
    <row r="657" spans="2:9" hidden="1">
      <c r="B657" s="156">
        <v>45044</v>
      </c>
      <c r="C657" s="255" t="s">
        <v>1155</v>
      </c>
      <c r="D657" s="402">
        <f t="shared" si="41"/>
        <v>120481.98300000001</v>
      </c>
      <c r="E657" s="376">
        <v>801.61</v>
      </c>
      <c r="F657" s="402">
        <v>150.30000000000001</v>
      </c>
      <c r="G657" s="401">
        <f t="shared" si="42"/>
        <v>865.1</v>
      </c>
      <c r="H657" s="402">
        <f t="shared" si="43"/>
        <v>9542.5470000000059</v>
      </c>
      <c r="I657" s="402">
        <f t="shared" si="44"/>
        <v>130024.53000000001</v>
      </c>
    </row>
    <row r="658" spans="2:9" hidden="1">
      <c r="B658" s="156">
        <v>45044</v>
      </c>
      <c r="C658" s="255" t="s">
        <v>1156</v>
      </c>
      <c r="D658" s="402">
        <f t="shared" si="41"/>
        <v>115576.12980000001</v>
      </c>
      <c r="E658" s="376">
        <v>801.61</v>
      </c>
      <c r="F658" s="402">
        <v>144.18</v>
      </c>
      <c r="G658" s="401">
        <f t="shared" si="42"/>
        <v>865.1</v>
      </c>
      <c r="H658" s="402">
        <f t="shared" si="43"/>
        <v>9153.9881999999925</v>
      </c>
      <c r="I658" s="402">
        <f t="shared" si="44"/>
        <v>124730.118</v>
      </c>
    </row>
    <row r="659" spans="2:9" hidden="1">
      <c r="B659" s="156">
        <v>45044</v>
      </c>
      <c r="C659" s="255" t="s">
        <v>1157</v>
      </c>
      <c r="D659" s="402">
        <f t="shared" si="41"/>
        <v>120481.98300000001</v>
      </c>
      <c r="E659" s="376">
        <v>801.61</v>
      </c>
      <c r="F659" s="402">
        <v>150.30000000000001</v>
      </c>
      <c r="G659" s="401">
        <f t="shared" si="42"/>
        <v>865.1</v>
      </c>
      <c r="H659" s="402">
        <f t="shared" si="43"/>
        <v>9542.5470000000059</v>
      </c>
      <c r="I659" s="402">
        <f t="shared" si="44"/>
        <v>130024.53000000001</v>
      </c>
    </row>
    <row r="660" spans="2:9" hidden="1">
      <c r="B660" s="156">
        <v>45044</v>
      </c>
      <c r="C660" s="255" t="s">
        <v>1158</v>
      </c>
      <c r="D660" s="402">
        <f t="shared" si="41"/>
        <v>130197.49619999999</v>
      </c>
      <c r="E660" s="376">
        <v>801.61</v>
      </c>
      <c r="F660" s="402">
        <v>162.41999999999999</v>
      </c>
      <c r="G660" s="401">
        <f t="shared" si="42"/>
        <v>865.1</v>
      </c>
      <c r="H660" s="402">
        <f t="shared" si="43"/>
        <v>10312.045799999993</v>
      </c>
      <c r="I660" s="402">
        <f t="shared" si="44"/>
        <v>140509.54199999999</v>
      </c>
    </row>
    <row r="661" spans="2:9" hidden="1">
      <c r="B661" s="156">
        <v>45044</v>
      </c>
      <c r="C661" s="255" t="s">
        <v>1159</v>
      </c>
      <c r="D661" s="402">
        <f t="shared" si="41"/>
        <v>110718.3732</v>
      </c>
      <c r="E661" s="376">
        <v>801.61</v>
      </c>
      <c r="F661" s="402">
        <v>138.12</v>
      </c>
      <c r="G661" s="401">
        <f t="shared" si="42"/>
        <v>865.1</v>
      </c>
      <c r="H661" s="402">
        <f t="shared" si="43"/>
        <v>8769.2388000000064</v>
      </c>
      <c r="I661" s="402">
        <f t="shared" si="44"/>
        <v>119487.61200000001</v>
      </c>
    </row>
    <row r="662" spans="2:9" hidden="1">
      <c r="B662" s="156">
        <v>45044</v>
      </c>
      <c r="C662" s="255" t="s">
        <v>1160</v>
      </c>
      <c r="D662" s="402">
        <f t="shared" si="41"/>
        <v>120481.98300000001</v>
      </c>
      <c r="E662" s="376">
        <v>801.61</v>
      </c>
      <c r="F662" s="402">
        <v>150.30000000000001</v>
      </c>
      <c r="G662" s="401">
        <f t="shared" si="42"/>
        <v>865.1</v>
      </c>
      <c r="H662" s="402">
        <f t="shared" si="43"/>
        <v>9542.5470000000059</v>
      </c>
      <c r="I662" s="402">
        <f t="shared" si="44"/>
        <v>130024.53000000001</v>
      </c>
    </row>
    <row r="663" spans="2:9" hidden="1">
      <c r="B663" s="156">
        <v>45044</v>
      </c>
      <c r="C663" s="255" t="s">
        <v>1161</v>
      </c>
      <c r="D663" s="402">
        <f t="shared" si="41"/>
        <v>120481.98300000001</v>
      </c>
      <c r="E663" s="376">
        <v>801.61</v>
      </c>
      <c r="F663" s="402">
        <v>150.30000000000001</v>
      </c>
      <c r="G663" s="401">
        <f t="shared" si="42"/>
        <v>865.1</v>
      </c>
      <c r="H663" s="402">
        <f t="shared" si="43"/>
        <v>9542.5470000000059</v>
      </c>
      <c r="I663" s="402">
        <f t="shared" si="44"/>
        <v>130024.53000000001</v>
      </c>
    </row>
    <row r="664" spans="2:9" hidden="1">
      <c r="B664" s="156">
        <v>45044</v>
      </c>
      <c r="C664" s="255" t="s">
        <v>1162</v>
      </c>
      <c r="D664" s="402">
        <f t="shared" si="41"/>
        <v>110718.3732</v>
      </c>
      <c r="E664" s="376">
        <v>801.61</v>
      </c>
      <c r="F664" s="402">
        <v>138.12</v>
      </c>
      <c r="G664" s="401">
        <f t="shared" si="42"/>
        <v>865.1</v>
      </c>
      <c r="H664" s="402">
        <f t="shared" si="43"/>
        <v>8769.2388000000064</v>
      </c>
      <c r="I664" s="402">
        <f t="shared" si="44"/>
        <v>119487.61200000001</v>
      </c>
    </row>
    <row r="665" spans="2:9" hidden="1">
      <c r="B665" s="156">
        <v>45044</v>
      </c>
      <c r="C665" s="255" t="s">
        <v>1163</v>
      </c>
      <c r="D665" s="402">
        <f t="shared" si="41"/>
        <v>115576.12980000001</v>
      </c>
      <c r="E665" s="376">
        <v>801.61</v>
      </c>
      <c r="F665" s="402">
        <v>144.18</v>
      </c>
      <c r="G665" s="401">
        <f t="shared" si="42"/>
        <v>865.1</v>
      </c>
      <c r="H665" s="402">
        <f t="shared" si="43"/>
        <v>9153.9881999999925</v>
      </c>
      <c r="I665" s="402">
        <f t="shared" si="44"/>
        <v>124730.118</v>
      </c>
    </row>
    <row r="666" spans="2:9" hidden="1">
      <c r="B666" s="156">
        <v>45044</v>
      </c>
      <c r="C666" s="255" t="s">
        <v>1164</v>
      </c>
      <c r="D666" s="402">
        <f t="shared" si="41"/>
        <v>115576.12980000001</v>
      </c>
      <c r="E666" s="376">
        <v>801.61</v>
      </c>
      <c r="F666" s="402">
        <v>144.18</v>
      </c>
      <c r="G666" s="401">
        <f t="shared" si="42"/>
        <v>865.1</v>
      </c>
      <c r="H666" s="402">
        <f t="shared" si="43"/>
        <v>9153.9881999999925</v>
      </c>
      <c r="I666" s="402">
        <f t="shared" si="44"/>
        <v>124730.118</v>
      </c>
    </row>
    <row r="667" spans="2:9" hidden="1">
      <c r="B667" s="156">
        <v>45044</v>
      </c>
      <c r="C667" s="255" t="s">
        <v>1165</v>
      </c>
      <c r="D667" s="402">
        <f t="shared" si="41"/>
        <v>120481.98300000001</v>
      </c>
      <c r="E667" s="376">
        <v>801.61</v>
      </c>
      <c r="F667" s="402">
        <v>150.30000000000001</v>
      </c>
      <c r="G667" s="401">
        <f t="shared" si="42"/>
        <v>865.1</v>
      </c>
      <c r="H667" s="402">
        <f t="shared" si="43"/>
        <v>9542.5470000000059</v>
      </c>
      <c r="I667" s="402">
        <f t="shared" si="44"/>
        <v>130024.53000000001</v>
      </c>
    </row>
    <row r="668" spans="2:9" hidden="1">
      <c r="B668" s="156">
        <v>45044</v>
      </c>
      <c r="C668" s="255" t="s">
        <v>1166</v>
      </c>
      <c r="D668" s="402">
        <f t="shared" si="41"/>
        <v>115576.12980000001</v>
      </c>
      <c r="E668" s="376">
        <v>801.61</v>
      </c>
      <c r="F668" s="402">
        <v>144.18</v>
      </c>
      <c r="G668" s="401">
        <f t="shared" si="42"/>
        <v>865.1</v>
      </c>
      <c r="H668" s="402">
        <f t="shared" si="43"/>
        <v>9153.9881999999925</v>
      </c>
      <c r="I668" s="402">
        <f t="shared" si="44"/>
        <v>124730.118</v>
      </c>
    </row>
    <row r="669" spans="2:9" hidden="1">
      <c r="B669" s="156">
        <v>45044</v>
      </c>
      <c r="C669" s="255" t="s">
        <v>1167</v>
      </c>
      <c r="D669" s="402">
        <f t="shared" si="41"/>
        <v>120481.98300000001</v>
      </c>
      <c r="E669" s="376">
        <v>801.61</v>
      </c>
      <c r="F669" s="402">
        <v>150.30000000000001</v>
      </c>
      <c r="G669" s="401">
        <f t="shared" si="42"/>
        <v>865.1</v>
      </c>
      <c r="H669" s="402">
        <f t="shared" si="43"/>
        <v>9542.5470000000059</v>
      </c>
      <c r="I669" s="402">
        <f t="shared" si="44"/>
        <v>130024.53000000001</v>
      </c>
    </row>
    <row r="670" spans="2:9" hidden="1">
      <c r="B670" s="156">
        <v>45044</v>
      </c>
      <c r="C670" s="255" t="s">
        <v>1168</v>
      </c>
      <c r="D670" s="402">
        <f t="shared" si="41"/>
        <v>130197.49619999999</v>
      </c>
      <c r="E670" s="376">
        <v>801.61</v>
      </c>
      <c r="F670" s="402">
        <v>162.41999999999999</v>
      </c>
      <c r="G670" s="401">
        <f t="shared" si="42"/>
        <v>865.1</v>
      </c>
      <c r="H670" s="402">
        <f t="shared" si="43"/>
        <v>10312.045799999993</v>
      </c>
      <c r="I670" s="402">
        <f t="shared" si="44"/>
        <v>140509.54199999999</v>
      </c>
    </row>
    <row r="671" spans="2:9" hidden="1">
      <c r="B671" s="156">
        <v>45044</v>
      </c>
      <c r="C671" s="255" t="s">
        <v>1169</v>
      </c>
      <c r="D671" s="402">
        <f t="shared" si="41"/>
        <v>110718.3732</v>
      </c>
      <c r="E671" s="376">
        <v>801.61</v>
      </c>
      <c r="F671" s="402">
        <v>138.12</v>
      </c>
      <c r="G671" s="401">
        <f t="shared" si="42"/>
        <v>865.1</v>
      </c>
      <c r="H671" s="402">
        <f t="shared" si="43"/>
        <v>8769.2388000000064</v>
      </c>
      <c r="I671" s="402">
        <f t="shared" si="44"/>
        <v>119487.61200000001</v>
      </c>
    </row>
    <row r="672" spans="2:9" hidden="1">
      <c r="B672" s="156">
        <v>45044</v>
      </c>
      <c r="C672" s="255" t="s">
        <v>1170</v>
      </c>
      <c r="D672" s="402">
        <f t="shared" si="41"/>
        <v>110718.3732</v>
      </c>
      <c r="E672" s="376">
        <v>801.61</v>
      </c>
      <c r="F672" s="402">
        <v>138.12</v>
      </c>
      <c r="G672" s="401">
        <f t="shared" si="42"/>
        <v>865.1</v>
      </c>
      <c r="H672" s="402">
        <f t="shared" si="43"/>
        <v>8769.2388000000064</v>
      </c>
      <c r="I672" s="402">
        <f t="shared" si="44"/>
        <v>119487.61200000001</v>
      </c>
    </row>
    <row r="673" spans="2:9" hidden="1">
      <c r="B673" s="156">
        <v>45044</v>
      </c>
      <c r="C673" s="255" t="s">
        <v>1171</v>
      </c>
      <c r="D673" s="402">
        <f t="shared" si="41"/>
        <v>120481.98300000001</v>
      </c>
      <c r="E673" s="376">
        <v>801.61</v>
      </c>
      <c r="F673" s="402">
        <v>150.30000000000001</v>
      </c>
      <c r="G673" s="401">
        <f t="shared" si="42"/>
        <v>865.1</v>
      </c>
      <c r="H673" s="402">
        <f t="shared" si="43"/>
        <v>9542.5470000000059</v>
      </c>
      <c r="I673" s="402">
        <f t="shared" si="44"/>
        <v>130024.53000000001</v>
      </c>
    </row>
    <row r="674" spans="2:9" hidden="1">
      <c r="B674" s="156">
        <v>45044</v>
      </c>
      <c r="C674" s="255" t="s">
        <v>1172</v>
      </c>
      <c r="D674" s="402">
        <f t="shared" si="41"/>
        <v>110718.3732</v>
      </c>
      <c r="E674" s="376">
        <v>801.61</v>
      </c>
      <c r="F674" s="402">
        <v>138.12</v>
      </c>
      <c r="G674" s="401">
        <f t="shared" si="42"/>
        <v>865.1</v>
      </c>
      <c r="H674" s="402">
        <f t="shared" si="43"/>
        <v>8769.2388000000064</v>
      </c>
      <c r="I674" s="402">
        <f t="shared" si="44"/>
        <v>119487.61200000001</v>
      </c>
    </row>
    <row r="675" spans="2:9" hidden="1">
      <c r="B675" s="156">
        <v>45044</v>
      </c>
      <c r="C675" s="255" t="s">
        <v>1173</v>
      </c>
      <c r="D675" s="402">
        <f t="shared" si="41"/>
        <v>110718.3732</v>
      </c>
      <c r="E675" s="376">
        <v>801.61</v>
      </c>
      <c r="F675" s="402">
        <v>138.12</v>
      </c>
      <c r="G675" s="401">
        <f t="shared" si="42"/>
        <v>865.1</v>
      </c>
      <c r="H675" s="402">
        <f t="shared" si="43"/>
        <v>8769.2388000000064</v>
      </c>
      <c r="I675" s="402">
        <f t="shared" si="44"/>
        <v>119487.61200000001</v>
      </c>
    </row>
    <row r="676" spans="2:9" hidden="1">
      <c r="B676" s="156">
        <v>45044</v>
      </c>
      <c r="C676" s="255" t="s">
        <v>1174</v>
      </c>
      <c r="D676" s="402">
        <f t="shared" si="41"/>
        <v>110718.3732</v>
      </c>
      <c r="E676" s="376">
        <v>801.61</v>
      </c>
      <c r="F676" s="402">
        <v>138.12</v>
      </c>
      <c r="G676" s="401">
        <f t="shared" si="42"/>
        <v>865.1</v>
      </c>
      <c r="H676" s="402">
        <f t="shared" si="43"/>
        <v>8769.2388000000064</v>
      </c>
      <c r="I676" s="402">
        <f t="shared" si="44"/>
        <v>119487.61200000001</v>
      </c>
    </row>
    <row r="677" spans="2:9" hidden="1">
      <c r="B677" s="156">
        <v>45044</v>
      </c>
      <c r="C677" s="255" t="s">
        <v>1175</v>
      </c>
      <c r="D677" s="402">
        <f t="shared" si="41"/>
        <v>115576.12980000001</v>
      </c>
      <c r="E677" s="376">
        <v>801.61</v>
      </c>
      <c r="F677" s="402">
        <v>144.18</v>
      </c>
      <c r="G677" s="401">
        <f t="shared" si="42"/>
        <v>865.1</v>
      </c>
      <c r="H677" s="402">
        <f t="shared" si="43"/>
        <v>9153.9881999999925</v>
      </c>
      <c r="I677" s="402">
        <f t="shared" si="44"/>
        <v>124730.118</v>
      </c>
    </row>
    <row r="678" spans="2:9" hidden="1">
      <c r="B678" s="156">
        <v>45044</v>
      </c>
      <c r="C678" s="255" t="s">
        <v>1176</v>
      </c>
      <c r="D678" s="402">
        <f t="shared" si="41"/>
        <v>115576.12980000001</v>
      </c>
      <c r="E678" s="376">
        <v>801.61</v>
      </c>
      <c r="F678" s="402">
        <v>144.18</v>
      </c>
      <c r="G678" s="401">
        <f t="shared" si="42"/>
        <v>865.1</v>
      </c>
      <c r="H678" s="402">
        <f t="shared" si="43"/>
        <v>9153.9881999999925</v>
      </c>
      <c r="I678" s="402">
        <f t="shared" si="44"/>
        <v>124730.118</v>
      </c>
    </row>
    <row r="679" spans="2:9" hidden="1">
      <c r="B679" s="156">
        <v>45044</v>
      </c>
      <c r="C679" s="255" t="s">
        <v>1177</v>
      </c>
      <c r="D679" s="402">
        <f t="shared" si="41"/>
        <v>130197.49619999999</v>
      </c>
      <c r="E679" s="376">
        <v>801.61</v>
      </c>
      <c r="F679" s="402">
        <v>162.41999999999999</v>
      </c>
      <c r="G679" s="401">
        <f t="shared" si="42"/>
        <v>865.1</v>
      </c>
      <c r="H679" s="402">
        <f t="shared" si="43"/>
        <v>10312.045799999993</v>
      </c>
      <c r="I679" s="402">
        <f t="shared" si="44"/>
        <v>140509.54199999999</v>
      </c>
    </row>
    <row r="680" spans="2:9" hidden="1">
      <c r="B680" s="156">
        <v>45044</v>
      </c>
      <c r="C680" s="255" t="s">
        <v>1178</v>
      </c>
      <c r="D680" s="402">
        <f t="shared" si="41"/>
        <v>120481.98300000001</v>
      </c>
      <c r="E680" s="376">
        <v>801.61</v>
      </c>
      <c r="F680" s="402">
        <v>150.30000000000001</v>
      </c>
      <c r="G680" s="401">
        <f t="shared" si="42"/>
        <v>865.1</v>
      </c>
      <c r="H680" s="402">
        <f t="shared" si="43"/>
        <v>9542.5470000000059</v>
      </c>
      <c r="I680" s="402">
        <f t="shared" si="44"/>
        <v>130024.53000000001</v>
      </c>
    </row>
    <row r="681" spans="2:9" hidden="1">
      <c r="B681" s="156">
        <v>45044</v>
      </c>
      <c r="C681" s="255" t="s">
        <v>1179</v>
      </c>
      <c r="D681" s="402">
        <f t="shared" si="41"/>
        <v>115576.12980000001</v>
      </c>
      <c r="E681" s="376">
        <v>801.61</v>
      </c>
      <c r="F681" s="402">
        <v>144.18</v>
      </c>
      <c r="G681" s="401">
        <f t="shared" si="42"/>
        <v>865.1</v>
      </c>
      <c r="H681" s="402">
        <f t="shared" si="43"/>
        <v>9153.9881999999925</v>
      </c>
      <c r="I681" s="402">
        <f t="shared" si="44"/>
        <v>124730.118</v>
      </c>
    </row>
    <row r="682" spans="2:9" hidden="1">
      <c r="B682" s="156">
        <v>45044</v>
      </c>
      <c r="C682" s="255" t="s">
        <v>1180</v>
      </c>
      <c r="D682" s="402">
        <f t="shared" si="41"/>
        <v>130197.49619999999</v>
      </c>
      <c r="E682" s="376">
        <v>801.61</v>
      </c>
      <c r="F682" s="402">
        <v>162.41999999999999</v>
      </c>
      <c r="G682" s="401">
        <f t="shared" si="42"/>
        <v>865.1</v>
      </c>
      <c r="H682" s="402">
        <f t="shared" si="43"/>
        <v>10312.045799999993</v>
      </c>
      <c r="I682" s="402">
        <f t="shared" si="44"/>
        <v>140509.54199999999</v>
      </c>
    </row>
    <row r="683" spans="2:9" hidden="1">
      <c r="B683" s="156">
        <v>45044</v>
      </c>
      <c r="C683" s="255" t="s">
        <v>1181</v>
      </c>
      <c r="D683" s="402">
        <f t="shared" si="41"/>
        <v>120481.98300000001</v>
      </c>
      <c r="E683" s="376">
        <v>801.61</v>
      </c>
      <c r="F683" s="402">
        <v>150.30000000000001</v>
      </c>
      <c r="G683" s="401">
        <f t="shared" si="42"/>
        <v>865.1</v>
      </c>
      <c r="H683" s="402">
        <f t="shared" si="43"/>
        <v>9542.5470000000059</v>
      </c>
      <c r="I683" s="402">
        <f t="shared" si="44"/>
        <v>130024.53000000001</v>
      </c>
    </row>
    <row r="684" spans="2:9" hidden="1">
      <c r="B684" s="156">
        <v>45044</v>
      </c>
      <c r="C684" s="255" t="s">
        <v>1182</v>
      </c>
      <c r="D684" s="402">
        <f t="shared" si="41"/>
        <v>130197.49619999999</v>
      </c>
      <c r="E684" s="376">
        <v>801.61</v>
      </c>
      <c r="F684" s="402">
        <v>162.41999999999999</v>
      </c>
      <c r="G684" s="401">
        <f t="shared" si="42"/>
        <v>865.1</v>
      </c>
      <c r="H684" s="402">
        <f t="shared" si="43"/>
        <v>10312.045799999993</v>
      </c>
      <c r="I684" s="402">
        <f t="shared" si="44"/>
        <v>140509.54199999999</v>
      </c>
    </row>
    <row r="685" spans="2:9" hidden="1">
      <c r="B685" s="156">
        <v>45044</v>
      </c>
      <c r="C685" s="255" t="s">
        <v>1183</v>
      </c>
      <c r="D685" s="402">
        <f t="shared" si="41"/>
        <v>120481.98300000001</v>
      </c>
      <c r="E685" s="376">
        <v>801.61</v>
      </c>
      <c r="F685" s="402">
        <v>150.30000000000001</v>
      </c>
      <c r="G685" s="401">
        <f t="shared" si="42"/>
        <v>865.1</v>
      </c>
      <c r="H685" s="402">
        <f t="shared" si="43"/>
        <v>9542.5470000000059</v>
      </c>
      <c r="I685" s="402">
        <f t="shared" si="44"/>
        <v>130024.53000000001</v>
      </c>
    </row>
    <row r="686" spans="2:9" hidden="1">
      <c r="B686" s="156">
        <v>45044</v>
      </c>
      <c r="C686" s="255" t="s">
        <v>1184</v>
      </c>
      <c r="D686" s="402">
        <f t="shared" si="41"/>
        <v>115576.12980000001</v>
      </c>
      <c r="E686" s="376">
        <v>801.61</v>
      </c>
      <c r="F686" s="402">
        <v>144.18</v>
      </c>
      <c r="G686" s="401">
        <f t="shared" si="42"/>
        <v>865.1</v>
      </c>
      <c r="H686" s="402">
        <f t="shared" si="43"/>
        <v>9153.9881999999925</v>
      </c>
      <c r="I686" s="402">
        <f t="shared" si="44"/>
        <v>124730.118</v>
      </c>
    </row>
    <row r="687" spans="2:9" hidden="1">
      <c r="B687" s="156">
        <v>45044</v>
      </c>
      <c r="C687" s="255" t="s">
        <v>1185</v>
      </c>
      <c r="D687" s="402">
        <f t="shared" si="41"/>
        <v>120481.98300000001</v>
      </c>
      <c r="E687" s="376">
        <v>801.61</v>
      </c>
      <c r="F687" s="402">
        <v>150.30000000000001</v>
      </c>
      <c r="G687" s="401">
        <f t="shared" si="42"/>
        <v>865.1</v>
      </c>
      <c r="H687" s="402">
        <f t="shared" si="43"/>
        <v>9542.5470000000059</v>
      </c>
      <c r="I687" s="402">
        <f t="shared" si="44"/>
        <v>130024.53000000001</v>
      </c>
    </row>
    <row r="688" spans="2:9" hidden="1">
      <c r="B688" s="156">
        <v>45044</v>
      </c>
      <c r="C688" s="255" t="s">
        <v>1186</v>
      </c>
      <c r="D688" s="402">
        <f t="shared" si="41"/>
        <v>120481.98300000001</v>
      </c>
      <c r="E688" s="376">
        <v>801.61</v>
      </c>
      <c r="F688" s="402">
        <v>150.30000000000001</v>
      </c>
      <c r="G688" s="401">
        <f t="shared" si="42"/>
        <v>865.1</v>
      </c>
      <c r="H688" s="402">
        <f t="shared" si="43"/>
        <v>9542.5470000000059</v>
      </c>
      <c r="I688" s="402">
        <f t="shared" si="44"/>
        <v>130024.53000000001</v>
      </c>
    </row>
    <row r="689" spans="2:9" hidden="1">
      <c r="B689" s="156">
        <v>45044</v>
      </c>
      <c r="C689" s="255" t="s">
        <v>1187</v>
      </c>
      <c r="D689" s="402">
        <f t="shared" si="41"/>
        <v>1923864</v>
      </c>
      <c r="E689" s="376">
        <v>801.61</v>
      </c>
      <c r="F689" s="402">
        <v>2400</v>
      </c>
      <c r="G689" s="401">
        <f t="shared" si="42"/>
        <v>865.1</v>
      </c>
      <c r="H689" s="402">
        <f t="shared" si="43"/>
        <v>152376</v>
      </c>
      <c r="I689" s="402">
        <f t="shared" si="44"/>
        <v>2076240</v>
      </c>
    </row>
    <row r="690" spans="2:9" hidden="1">
      <c r="B690" s="156">
        <v>45044</v>
      </c>
      <c r="C690" s="255" t="s">
        <v>1188</v>
      </c>
      <c r="D690" s="402">
        <f t="shared" si="41"/>
        <v>209316.4032</v>
      </c>
      <c r="E690" s="376">
        <v>801.61</v>
      </c>
      <c r="F690" s="402">
        <v>261.12</v>
      </c>
      <c r="G690" s="401">
        <f t="shared" si="42"/>
        <v>865.1</v>
      </c>
      <c r="H690" s="402">
        <f t="shared" si="43"/>
        <v>16578.508800000011</v>
      </c>
      <c r="I690" s="402">
        <f t="shared" si="44"/>
        <v>225894.91200000001</v>
      </c>
    </row>
    <row r="691" spans="2:9" hidden="1">
      <c r="B691" s="156">
        <v>45044</v>
      </c>
      <c r="C691" s="255" t="s">
        <v>1189</v>
      </c>
      <c r="D691" s="402">
        <f t="shared" si="41"/>
        <v>261645.50399999999</v>
      </c>
      <c r="E691" s="376">
        <v>801.61</v>
      </c>
      <c r="F691" s="402">
        <v>326.39999999999998</v>
      </c>
      <c r="G691" s="401">
        <f t="shared" si="42"/>
        <v>865.1</v>
      </c>
      <c r="H691" s="402">
        <f t="shared" si="43"/>
        <v>20723.136000000028</v>
      </c>
      <c r="I691" s="402">
        <f t="shared" si="44"/>
        <v>282368.64000000001</v>
      </c>
    </row>
    <row r="692" spans="2:9" hidden="1">
      <c r="B692" s="156">
        <v>45044</v>
      </c>
      <c r="C692" s="255" t="s">
        <v>1190</v>
      </c>
      <c r="D692" s="402">
        <f t="shared" si="41"/>
        <v>261645.50399999999</v>
      </c>
      <c r="E692" s="376">
        <v>801.61</v>
      </c>
      <c r="F692" s="402">
        <v>326.39999999999998</v>
      </c>
      <c r="G692" s="401">
        <f t="shared" si="42"/>
        <v>865.1</v>
      </c>
      <c r="H692" s="402">
        <f t="shared" si="43"/>
        <v>20723.136000000028</v>
      </c>
      <c r="I692" s="402">
        <f t="shared" si="44"/>
        <v>282368.64000000001</v>
      </c>
    </row>
    <row r="693" spans="2:9" hidden="1">
      <c r="B693" s="156">
        <v>45044</v>
      </c>
      <c r="C693" s="255" t="s">
        <v>1191</v>
      </c>
      <c r="D693" s="402">
        <f t="shared" si="41"/>
        <v>261645.50399999999</v>
      </c>
      <c r="E693" s="376">
        <v>801.61</v>
      </c>
      <c r="F693" s="402">
        <v>326.39999999999998</v>
      </c>
      <c r="G693" s="401">
        <f t="shared" si="42"/>
        <v>865.1</v>
      </c>
      <c r="H693" s="402">
        <f t="shared" si="43"/>
        <v>20723.136000000028</v>
      </c>
      <c r="I693" s="402">
        <f t="shared" si="44"/>
        <v>282368.64000000001</v>
      </c>
    </row>
    <row r="694" spans="2:9" hidden="1">
      <c r="B694" s="156">
        <v>45044</v>
      </c>
      <c r="C694" s="255" t="s">
        <v>1192</v>
      </c>
      <c r="D694" s="402">
        <f t="shared" si="41"/>
        <v>1883847.6288000001</v>
      </c>
      <c r="E694" s="376">
        <v>801.61</v>
      </c>
      <c r="F694" s="402">
        <v>2350.08</v>
      </c>
      <c r="G694" s="401">
        <f t="shared" si="42"/>
        <v>865.1</v>
      </c>
      <c r="H694" s="402">
        <f t="shared" si="43"/>
        <v>149206.57920000004</v>
      </c>
      <c r="I694" s="402">
        <f t="shared" si="44"/>
        <v>2033054.2080000001</v>
      </c>
    </row>
    <row r="695" spans="2:9" hidden="1">
      <c r="B695" s="156">
        <v>45044</v>
      </c>
      <c r="C695" s="255" t="s">
        <v>1193</v>
      </c>
      <c r="D695" s="402">
        <f t="shared" si="41"/>
        <v>313974.60480000003</v>
      </c>
      <c r="E695" s="376">
        <v>801.61</v>
      </c>
      <c r="F695" s="402">
        <v>391.68</v>
      </c>
      <c r="G695" s="401">
        <f t="shared" si="42"/>
        <v>865.1</v>
      </c>
      <c r="H695" s="402">
        <f t="shared" si="43"/>
        <v>24867.763199999987</v>
      </c>
      <c r="I695" s="402">
        <f t="shared" si="44"/>
        <v>338842.36800000002</v>
      </c>
    </row>
    <row r="696" spans="2:9" hidden="1">
      <c r="B696" s="156">
        <v>45044</v>
      </c>
      <c r="C696" s="255" t="s">
        <v>1194</v>
      </c>
      <c r="D696" s="402">
        <f t="shared" si="41"/>
        <v>209316.4032</v>
      </c>
      <c r="E696" s="376">
        <v>801.61</v>
      </c>
      <c r="F696" s="402">
        <v>261.12</v>
      </c>
      <c r="G696" s="401">
        <f t="shared" si="42"/>
        <v>865.1</v>
      </c>
      <c r="H696" s="402">
        <f t="shared" si="43"/>
        <v>16578.508800000011</v>
      </c>
      <c r="I696" s="402">
        <f t="shared" si="44"/>
        <v>225894.91200000001</v>
      </c>
    </row>
    <row r="697" spans="2:9" hidden="1">
      <c r="B697" s="156">
        <v>45044</v>
      </c>
      <c r="C697" s="255" t="s">
        <v>1195</v>
      </c>
      <c r="D697" s="402">
        <f t="shared" si="41"/>
        <v>261645.50399999999</v>
      </c>
      <c r="E697" s="376">
        <v>801.61</v>
      </c>
      <c r="F697" s="402">
        <v>326.39999999999998</v>
      </c>
      <c r="G697" s="401">
        <f t="shared" si="42"/>
        <v>865.1</v>
      </c>
      <c r="H697" s="402">
        <f t="shared" si="43"/>
        <v>20723.136000000028</v>
      </c>
      <c r="I697" s="402">
        <f t="shared" si="44"/>
        <v>282368.64000000001</v>
      </c>
    </row>
    <row r="698" spans="2:9" hidden="1">
      <c r="B698" s="156">
        <v>45046</v>
      </c>
      <c r="C698" s="255" t="s">
        <v>673</v>
      </c>
      <c r="D698" s="402">
        <f t="shared" ref="D698:D742" si="45">F698*E698</f>
        <v>-116366038</v>
      </c>
      <c r="E698" s="376">
        <v>803.3</v>
      </c>
      <c r="F698" s="402">
        <v>-144860</v>
      </c>
      <c r="G698" s="401">
        <f>+G592</f>
        <v>865.1</v>
      </c>
      <c r="H698" s="402">
        <f t="shared" si="43"/>
        <v>-8952348</v>
      </c>
      <c r="I698" s="402">
        <f t="shared" si="44"/>
        <v>-125318386</v>
      </c>
    </row>
    <row r="699" spans="2:9" hidden="1">
      <c r="B699" s="156">
        <v>45054</v>
      </c>
      <c r="C699" s="255" t="s">
        <v>1213</v>
      </c>
      <c r="D699" s="402">
        <f t="shared" si="45"/>
        <v>1550383</v>
      </c>
      <c r="E699" s="376">
        <v>795.45981611460002</v>
      </c>
      <c r="F699" s="401">
        <v>1949.04</v>
      </c>
      <c r="G699" s="401">
        <f t="shared" ref="G699:G742" si="46">+G593</f>
        <v>865.1</v>
      </c>
      <c r="H699" s="402">
        <f t="shared" ref="H699:H742" si="47">+I699-D699</f>
        <v>135731.50399999996</v>
      </c>
      <c r="I699" s="402">
        <f t="shared" ref="I699:I742" si="48">+F699*G699</f>
        <v>1686114.504</v>
      </c>
    </row>
    <row r="700" spans="2:9" hidden="1">
      <c r="B700" s="156">
        <v>45055</v>
      </c>
      <c r="C700" s="255" t="s">
        <v>1214</v>
      </c>
      <c r="D700" s="402">
        <f t="shared" si="45"/>
        <v>91959</v>
      </c>
      <c r="E700" s="376">
        <v>793.43399482312338</v>
      </c>
      <c r="F700" s="401">
        <v>115.9</v>
      </c>
      <c r="G700" s="401">
        <f t="shared" si="46"/>
        <v>865.1</v>
      </c>
      <c r="H700" s="402">
        <f t="shared" si="47"/>
        <v>8306.0900000000111</v>
      </c>
      <c r="I700" s="402">
        <f t="shared" si="48"/>
        <v>100265.09000000001</v>
      </c>
    </row>
    <row r="701" spans="2:9" hidden="1">
      <c r="B701" s="156">
        <v>45077</v>
      </c>
      <c r="C701" s="255" t="s">
        <v>1215</v>
      </c>
      <c r="D701" s="402">
        <f t="shared" si="45"/>
        <v>722388</v>
      </c>
      <c r="E701" s="376">
        <v>803.93963675213683</v>
      </c>
      <c r="F701" s="401">
        <v>898.56</v>
      </c>
      <c r="G701" s="401">
        <f t="shared" si="46"/>
        <v>865.1</v>
      </c>
      <c r="H701" s="402">
        <f t="shared" si="47"/>
        <v>54956.255999999936</v>
      </c>
      <c r="I701" s="402">
        <f t="shared" si="48"/>
        <v>777344.25599999994</v>
      </c>
    </row>
    <row r="702" spans="2:9" hidden="1">
      <c r="B702" s="156">
        <v>45077</v>
      </c>
      <c r="C702" s="255" t="s">
        <v>1216</v>
      </c>
      <c r="D702" s="402">
        <f t="shared" si="45"/>
        <v>722388</v>
      </c>
      <c r="E702" s="376">
        <v>803.93963675213683</v>
      </c>
      <c r="F702" s="401">
        <v>898.56</v>
      </c>
      <c r="G702" s="401">
        <f t="shared" si="46"/>
        <v>865.1</v>
      </c>
      <c r="H702" s="402">
        <f t="shared" si="47"/>
        <v>54956.255999999936</v>
      </c>
      <c r="I702" s="402">
        <f t="shared" si="48"/>
        <v>777344.25599999994</v>
      </c>
    </row>
    <row r="703" spans="2:9" hidden="1">
      <c r="B703" s="156">
        <v>45077</v>
      </c>
      <c r="C703" s="255" t="s">
        <v>1217</v>
      </c>
      <c r="D703" s="402">
        <f t="shared" si="45"/>
        <v>722388</v>
      </c>
      <c r="E703" s="376">
        <v>803.93963675213683</v>
      </c>
      <c r="F703" s="401">
        <v>898.56</v>
      </c>
      <c r="G703" s="401">
        <f t="shared" si="46"/>
        <v>865.1</v>
      </c>
      <c r="H703" s="402">
        <f t="shared" si="47"/>
        <v>54956.255999999936</v>
      </c>
      <c r="I703" s="402">
        <f t="shared" si="48"/>
        <v>777344.25599999994</v>
      </c>
    </row>
    <row r="704" spans="2:9" hidden="1">
      <c r="B704" s="156">
        <v>45077</v>
      </c>
      <c r="C704" s="255" t="s">
        <v>1218</v>
      </c>
      <c r="D704" s="402">
        <f t="shared" si="45"/>
        <v>722388</v>
      </c>
      <c r="E704" s="376">
        <v>803.93963675213683</v>
      </c>
      <c r="F704" s="401">
        <v>898.56</v>
      </c>
      <c r="G704" s="401">
        <f t="shared" si="46"/>
        <v>865.1</v>
      </c>
      <c r="H704" s="402">
        <f t="shared" si="47"/>
        <v>54956.255999999936</v>
      </c>
      <c r="I704" s="402">
        <f t="shared" si="48"/>
        <v>777344.25599999994</v>
      </c>
    </row>
    <row r="705" spans="2:9" hidden="1">
      <c r="B705" s="156">
        <v>45077</v>
      </c>
      <c r="C705" s="255" t="s">
        <v>1219</v>
      </c>
      <c r="D705" s="402">
        <f t="shared" si="45"/>
        <v>4876121</v>
      </c>
      <c r="E705" s="376">
        <v>803.93996649783685</v>
      </c>
      <c r="F705" s="401">
        <v>6065.28</v>
      </c>
      <c r="G705" s="401">
        <f t="shared" si="46"/>
        <v>865.1</v>
      </c>
      <c r="H705" s="402">
        <f t="shared" si="47"/>
        <v>370952.72800000012</v>
      </c>
      <c r="I705" s="402">
        <f t="shared" si="48"/>
        <v>5247073.7280000001</v>
      </c>
    </row>
    <row r="706" spans="2:9" hidden="1">
      <c r="B706" s="156">
        <v>45077</v>
      </c>
      <c r="C706" s="255" t="s">
        <v>1220</v>
      </c>
      <c r="D706" s="402">
        <f t="shared" si="45"/>
        <v>722388</v>
      </c>
      <c r="E706" s="376">
        <v>803.93963675213683</v>
      </c>
      <c r="F706" s="401">
        <v>898.56</v>
      </c>
      <c r="G706" s="401">
        <f t="shared" si="46"/>
        <v>865.1</v>
      </c>
      <c r="H706" s="402">
        <f t="shared" si="47"/>
        <v>54956.255999999936</v>
      </c>
      <c r="I706" s="402">
        <f t="shared" si="48"/>
        <v>777344.25599999994</v>
      </c>
    </row>
    <row r="707" spans="2:9" hidden="1">
      <c r="B707" s="156">
        <v>45077</v>
      </c>
      <c r="C707" s="255" t="s">
        <v>1221</v>
      </c>
      <c r="D707" s="402">
        <f t="shared" si="45"/>
        <v>722388</v>
      </c>
      <c r="E707" s="376">
        <v>803.93963675213683</v>
      </c>
      <c r="F707" s="401">
        <v>898.56</v>
      </c>
      <c r="G707" s="401">
        <f t="shared" si="46"/>
        <v>865.1</v>
      </c>
      <c r="H707" s="402">
        <f t="shared" si="47"/>
        <v>54956.255999999936</v>
      </c>
      <c r="I707" s="402">
        <f t="shared" si="48"/>
        <v>777344.25599999994</v>
      </c>
    </row>
    <row r="708" spans="2:9" hidden="1">
      <c r="B708" s="156">
        <v>45077</v>
      </c>
      <c r="C708" s="255" t="s">
        <v>1222</v>
      </c>
      <c r="D708" s="402">
        <f t="shared" si="45"/>
        <v>722388</v>
      </c>
      <c r="E708" s="376">
        <v>803.93963675213683</v>
      </c>
      <c r="F708" s="401">
        <v>898.56</v>
      </c>
      <c r="G708" s="401">
        <f t="shared" si="46"/>
        <v>865.1</v>
      </c>
      <c r="H708" s="402">
        <f t="shared" si="47"/>
        <v>54956.255999999936</v>
      </c>
      <c r="I708" s="402">
        <f t="shared" si="48"/>
        <v>777344.25599999994</v>
      </c>
    </row>
    <row r="709" spans="2:9" hidden="1">
      <c r="B709" s="156">
        <v>45077</v>
      </c>
      <c r="C709" s="255" t="s">
        <v>1223</v>
      </c>
      <c r="D709" s="402">
        <f t="shared" si="45"/>
        <v>19865920</v>
      </c>
      <c r="E709" s="376">
        <v>803.93999360600867</v>
      </c>
      <c r="F709" s="401">
        <v>24710.7</v>
      </c>
      <c r="G709" s="401">
        <f t="shared" si="46"/>
        <v>865.1</v>
      </c>
      <c r="H709" s="402">
        <f t="shared" si="47"/>
        <v>1511306.5700000003</v>
      </c>
      <c r="I709" s="402">
        <f t="shared" si="48"/>
        <v>21377226.57</v>
      </c>
    </row>
    <row r="710" spans="2:9" hidden="1">
      <c r="B710" s="156">
        <v>45077</v>
      </c>
      <c r="C710" s="255" t="s">
        <v>1224</v>
      </c>
      <c r="D710" s="402">
        <f t="shared" si="45"/>
        <v>722388</v>
      </c>
      <c r="E710" s="376">
        <v>803.93963675213683</v>
      </c>
      <c r="F710" s="401">
        <v>898.56</v>
      </c>
      <c r="G710" s="401">
        <f t="shared" si="46"/>
        <v>865.1</v>
      </c>
      <c r="H710" s="402">
        <f t="shared" si="47"/>
        <v>54956.255999999936</v>
      </c>
      <c r="I710" s="402">
        <f t="shared" si="48"/>
        <v>777344.25599999994</v>
      </c>
    </row>
    <row r="711" spans="2:9" hidden="1">
      <c r="B711" s="156">
        <v>45077</v>
      </c>
      <c r="C711" s="255" t="s">
        <v>1225</v>
      </c>
      <c r="D711" s="402">
        <f t="shared" si="45"/>
        <v>722388</v>
      </c>
      <c r="E711" s="376">
        <v>803.93963675213683</v>
      </c>
      <c r="F711" s="401">
        <v>898.56</v>
      </c>
      <c r="G711" s="401">
        <f t="shared" si="46"/>
        <v>865.1</v>
      </c>
      <c r="H711" s="402">
        <f t="shared" si="47"/>
        <v>54956.255999999936</v>
      </c>
      <c r="I711" s="402">
        <f t="shared" si="48"/>
        <v>777344.25599999994</v>
      </c>
    </row>
    <row r="712" spans="2:9" hidden="1">
      <c r="B712" s="156">
        <v>45077</v>
      </c>
      <c r="C712" s="255" t="s">
        <v>1226</v>
      </c>
      <c r="D712" s="402">
        <f t="shared" si="45"/>
        <v>220103.00000000003</v>
      </c>
      <c r="E712" s="376">
        <v>803.94112060778741</v>
      </c>
      <c r="F712" s="401">
        <v>273.77999999999997</v>
      </c>
      <c r="G712" s="401">
        <f t="shared" si="46"/>
        <v>865.1</v>
      </c>
      <c r="H712" s="402">
        <f t="shared" si="47"/>
        <v>16744.07799999995</v>
      </c>
      <c r="I712" s="402">
        <f t="shared" si="48"/>
        <v>236847.07799999998</v>
      </c>
    </row>
    <row r="713" spans="2:9" hidden="1">
      <c r="B713" s="156">
        <v>45077</v>
      </c>
      <c r="C713" s="255" t="s">
        <v>1227</v>
      </c>
      <c r="D713" s="402">
        <f t="shared" si="45"/>
        <v>293470</v>
      </c>
      <c r="E713" s="376">
        <v>803.93929432390962</v>
      </c>
      <c r="F713" s="401">
        <v>365.04</v>
      </c>
      <c r="G713" s="401">
        <f t="shared" si="46"/>
        <v>865.1</v>
      </c>
      <c r="H713" s="402">
        <f t="shared" si="47"/>
        <v>22326.10400000005</v>
      </c>
      <c r="I713" s="402">
        <f t="shared" si="48"/>
        <v>315796.10400000005</v>
      </c>
    </row>
    <row r="714" spans="2:9" hidden="1">
      <c r="B714" s="156">
        <v>45077</v>
      </c>
      <c r="C714" s="255" t="s">
        <v>1228</v>
      </c>
      <c r="D714" s="402">
        <f t="shared" si="45"/>
        <v>293470</v>
      </c>
      <c r="E714" s="376">
        <v>803.93929432390962</v>
      </c>
      <c r="F714" s="401">
        <v>365.04</v>
      </c>
      <c r="G714" s="401">
        <f t="shared" si="46"/>
        <v>865.1</v>
      </c>
      <c r="H714" s="402">
        <f t="shared" si="47"/>
        <v>22326.10400000005</v>
      </c>
      <c r="I714" s="402">
        <f t="shared" si="48"/>
        <v>315796.10400000005</v>
      </c>
    </row>
    <row r="715" spans="2:9" hidden="1">
      <c r="B715" s="156">
        <v>45077</v>
      </c>
      <c r="C715" s="255" t="s">
        <v>1229</v>
      </c>
      <c r="D715" s="402">
        <f t="shared" si="45"/>
        <v>293470</v>
      </c>
      <c r="E715" s="376">
        <v>803.93929432390962</v>
      </c>
      <c r="F715" s="401">
        <v>365.04</v>
      </c>
      <c r="G715" s="401">
        <f t="shared" si="46"/>
        <v>865.1</v>
      </c>
      <c r="H715" s="402">
        <f t="shared" si="47"/>
        <v>22326.10400000005</v>
      </c>
      <c r="I715" s="402">
        <f t="shared" si="48"/>
        <v>315796.10400000005</v>
      </c>
    </row>
    <row r="716" spans="2:9" hidden="1">
      <c r="B716" s="156">
        <v>45077</v>
      </c>
      <c r="C716" s="255" t="s">
        <v>1230</v>
      </c>
      <c r="D716" s="402">
        <f t="shared" si="45"/>
        <v>220103.00000000003</v>
      </c>
      <c r="E716" s="376">
        <v>803.94112060778741</v>
      </c>
      <c r="F716" s="401">
        <v>273.77999999999997</v>
      </c>
      <c r="G716" s="401">
        <f t="shared" si="46"/>
        <v>865.1</v>
      </c>
      <c r="H716" s="402">
        <f t="shared" si="47"/>
        <v>16744.07799999995</v>
      </c>
      <c r="I716" s="402">
        <f t="shared" si="48"/>
        <v>236847.07799999998</v>
      </c>
    </row>
    <row r="717" spans="2:9" hidden="1">
      <c r="B717" s="156">
        <v>45077</v>
      </c>
      <c r="C717" s="255" t="s">
        <v>1231</v>
      </c>
      <c r="D717" s="402">
        <f t="shared" si="45"/>
        <v>293470</v>
      </c>
      <c r="E717" s="376">
        <v>803.93929432390962</v>
      </c>
      <c r="F717" s="401">
        <v>365.04</v>
      </c>
      <c r="G717" s="401">
        <f t="shared" si="46"/>
        <v>865.1</v>
      </c>
      <c r="H717" s="402">
        <f t="shared" si="47"/>
        <v>22326.10400000005</v>
      </c>
      <c r="I717" s="402">
        <f t="shared" si="48"/>
        <v>315796.10400000005</v>
      </c>
    </row>
    <row r="718" spans="2:9" hidden="1">
      <c r="B718" s="156">
        <v>45077</v>
      </c>
      <c r="C718" s="255" t="s">
        <v>1232</v>
      </c>
      <c r="D718" s="402">
        <f t="shared" si="45"/>
        <v>293470</v>
      </c>
      <c r="E718" s="376">
        <v>803.93929432390962</v>
      </c>
      <c r="F718" s="401">
        <v>365.04</v>
      </c>
      <c r="G718" s="401">
        <f t="shared" si="46"/>
        <v>865.1</v>
      </c>
      <c r="H718" s="402">
        <f t="shared" si="47"/>
        <v>22326.10400000005</v>
      </c>
      <c r="I718" s="402">
        <f t="shared" si="48"/>
        <v>315796.10400000005</v>
      </c>
    </row>
    <row r="719" spans="2:9" hidden="1">
      <c r="B719" s="156">
        <v>45077</v>
      </c>
      <c r="C719" s="255" t="s">
        <v>1233</v>
      </c>
      <c r="D719" s="402">
        <f t="shared" si="45"/>
        <v>3775367</v>
      </c>
      <c r="E719" s="376">
        <v>803.94009471729612</v>
      </c>
      <c r="F719" s="401">
        <v>4696.08</v>
      </c>
      <c r="G719" s="401">
        <f t="shared" si="46"/>
        <v>865.1</v>
      </c>
      <c r="H719" s="402">
        <f t="shared" si="47"/>
        <v>287211.80800000019</v>
      </c>
      <c r="I719" s="402">
        <f t="shared" si="48"/>
        <v>4062578.8080000002</v>
      </c>
    </row>
    <row r="720" spans="2:9" hidden="1">
      <c r="B720" s="156">
        <v>45077</v>
      </c>
      <c r="C720" s="255" t="s">
        <v>1234</v>
      </c>
      <c r="D720" s="402">
        <f t="shared" si="45"/>
        <v>220103.00000000003</v>
      </c>
      <c r="E720" s="376">
        <v>803.94112060778741</v>
      </c>
      <c r="F720" s="401">
        <v>273.77999999999997</v>
      </c>
      <c r="G720" s="401">
        <f t="shared" si="46"/>
        <v>865.1</v>
      </c>
      <c r="H720" s="402">
        <f t="shared" si="47"/>
        <v>16744.07799999995</v>
      </c>
      <c r="I720" s="402">
        <f t="shared" si="48"/>
        <v>236847.07799999998</v>
      </c>
    </row>
    <row r="721" spans="2:9" hidden="1">
      <c r="B721" s="156">
        <v>45077</v>
      </c>
      <c r="C721" s="255" t="s">
        <v>1235</v>
      </c>
      <c r="D721" s="402">
        <f t="shared" si="45"/>
        <v>220103.00000000003</v>
      </c>
      <c r="E721" s="376">
        <v>803.94112060778741</v>
      </c>
      <c r="F721" s="401">
        <v>273.77999999999997</v>
      </c>
      <c r="G721" s="401">
        <f t="shared" si="46"/>
        <v>865.1</v>
      </c>
      <c r="H721" s="402">
        <f t="shared" si="47"/>
        <v>16744.07799999995</v>
      </c>
      <c r="I721" s="402">
        <f t="shared" si="48"/>
        <v>236847.07799999998</v>
      </c>
    </row>
    <row r="722" spans="2:9" hidden="1">
      <c r="B722" s="156">
        <v>45077</v>
      </c>
      <c r="C722" s="255" t="s">
        <v>1236</v>
      </c>
      <c r="D722" s="402">
        <f t="shared" si="45"/>
        <v>808635</v>
      </c>
      <c r="E722" s="376">
        <v>803.93999045573844</v>
      </c>
      <c r="F722" s="401">
        <v>1005.84</v>
      </c>
      <c r="G722" s="401">
        <f t="shared" si="46"/>
        <v>865.1</v>
      </c>
      <c r="H722" s="402">
        <f t="shared" si="47"/>
        <v>61517.184000000008</v>
      </c>
      <c r="I722" s="402">
        <f t="shared" si="48"/>
        <v>870152.18400000001</v>
      </c>
    </row>
    <row r="723" spans="2:9" hidden="1">
      <c r="B723" s="156">
        <v>45077</v>
      </c>
      <c r="C723" s="255" t="s">
        <v>1237</v>
      </c>
      <c r="D723" s="402">
        <f t="shared" si="45"/>
        <v>7350793</v>
      </c>
      <c r="E723" s="376">
        <v>803.93997458292597</v>
      </c>
      <c r="F723" s="401">
        <v>9143.4599999999991</v>
      </c>
      <c r="G723" s="401">
        <f t="shared" si="46"/>
        <v>865.1</v>
      </c>
      <c r="H723" s="402">
        <f t="shared" si="47"/>
        <v>559214.24599999934</v>
      </c>
      <c r="I723" s="402">
        <f t="shared" si="48"/>
        <v>7910007.2459999993</v>
      </c>
    </row>
    <row r="724" spans="2:9" hidden="1">
      <c r="B724" s="156">
        <v>45077</v>
      </c>
      <c r="C724" s="255" t="s">
        <v>1238</v>
      </c>
      <c r="D724" s="402">
        <f t="shared" si="45"/>
        <v>379524</v>
      </c>
      <c r="E724" s="376">
        <v>803.94001016776815</v>
      </c>
      <c r="F724" s="401">
        <v>472.08</v>
      </c>
      <c r="G724" s="401">
        <f t="shared" si="46"/>
        <v>865.1</v>
      </c>
      <c r="H724" s="402">
        <f t="shared" si="47"/>
        <v>28872.407999999996</v>
      </c>
      <c r="I724" s="402">
        <f t="shared" si="48"/>
        <v>408396.408</v>
      </c>
    </row>
    <row r="725" spans="2:9" hidden="1">
      <c r="B725" s="156">
        <v>45077</v>
      </c>
      <c r="C725" s="255" t="s">
        <v>1239</v>
      </c>
      <c r="D725" s="402">
        <f t="shared" si="45"/>
        <v>808635</v>
      </c>
      <c r="E725" s="376">
        <v>803.93999045573844</v>
      </c>
      <c r="F725" s="401">
        <v>1005.84</v>
      </c>
      <c r="G725" s="401">
        <f t="shared" si="46"/>
        <v>865.1</v>
      </c>
      <c r="H725" s="402">
        <f t="shared" si="47"/>
        <v>61517.184000000008</v>
      </c>
      <c r="I725" s="402">
        <f t="shared" si="48"/>
        <v>870152.18400000001</v>
      </c>
    </row>
    <row r="726" spans="2:9" hidden="1">
      <c r="B726" s="156">
        <v>45077</v>
      </c>
      <c r="C726" s="255" t="s">
        <v>1240</v>
      </c>
      <c r="D726" s="402">
        <f t="shared" si="45"/>
        <v>541405</v>
      </c>
      <c r="E726" s="376">
        <v>803.93947493466374</v>
      </c>
      <c r="F726" s="401">
        <v>673.44</v>
      </c>
      <c r="G726" s="401">
        <f t="shared" si="46"/>
        <v>865.1</v>
      </c>
      <c r="H726" s="402">
        <f t="shared" si="47"/>
        <v>41187.944000000018</v>
      </c>
      <c r="I726" s="402">
        <f t="shared" si="48"/>
        <v>582592.94400000002</v>
      </c>
    </row>
    <row r="727" spans="2:9" hidden="1">
      <c r="B727" s="156">
        <v>45077</v>
      </c>
      <c r="C727" s="255" t="s">
        <v>1241</v>
      </c>
      <c r="D727" s="402">
        <f t="shared" si="45"/>
        <v>808635</v>
      </c>
      <c r="E727" s="376">
        <v>803.93999045573844</v>
      </c>
      <c r="F727" s="401">
        <v>1005.84</v>
      </c>
      <c r="G727" s="401">
        <f t="shared" si="46"/>
        <v>865.1</v>
      </c>
      <c r="H727" s="402">
        <f t="shared" si="47"/>
        <v>61517.184000000008</v>
      </c>
      <c r="I727" s="402">
        <f t="shared" si="48"/>
        <v>870152.18400000001</v>
      </c>
    </row>
    <row r="728" spans="2:9" hidden="1">
      <c r="B728" s="156">
        <v>45077</v>
      </c>
      <c r="C728" s="255" t="s">
        <v>1242</v>
      </c>
      <c r="D728" s="402">
        <f t="shared" si="45"/>
        <v>694347</v>
      </c>
      <c r="E728" s="376">
        <v>803.94011670989255</v>
      </c>
      <c r="F728" s="401">
        <v>863.68</v>
      </c>
      <c r="G728" s="401">
        <f t="shared" si="46"/>
        <v>865.1</v>
      </c>
      <c r="H728" s="402">
        <f t="shared" si="47"/>
        <v>52822.56799999997</v>
      </c>
      <c r="I728" s="402">
        <f t="shared" si="48"/>
        <v>747169.56799999997</v>
      </c>
    </row>
    <row r="729" spans="2:9" hidden="1">
      <c r="B729" s="156">
        <v>45077</v>
      </c>
      <c r="C729" s="255" t="s">
        <v>1243</v>
      </c>
      <c r="D729" s="402">
        <f t="shared" si="45"/>
        <v>808635</v>
      </c>
      <c r="E729" s="376">
        <v>803.93999045573844</v>
      </c>
      <c r="F729" s="401">
        <v>1005.84</v>
      </c>
      <c r="G729" s="401">
        <f t="shared" si="46"/>
        <v>865.1</v>
      </c>
      <c r="H729" s="402">
        <f t="shared" si="47"/>
        <v>61517.184000000008</v>
      </c>
      <c r="I729" s="402">
        <f t="shared" si="48"/>
        <v>870152.18400000001</v>
      </c>
    </row>
    <row r="730" spans="2:9" hidden="1">
      <c r="B730" s="156">
        <v>45077</v>
      </c>
      <c r="C730" s="255" t="s">
        <v>1244</v>
      </c>
      <c r="D730" s="402">
        <f t="shared" si="45"/>
        <v>652446</v>
      </c>
      <c r="E730" s="376">
        <v>803.9405589235547</v>
      </c>
      <c r="F730" s="401">
        <v>811.56</v>
      </c>
      <c r="G730" s="401">
        <f t="shared" si="46"/>
        <v>865.1</v>
      </c>
      <c r="H730" s="402">
        <f t="shared" si="47"/>
        <v>49634.555999999982</v>
      </c>
      <c r="I730" s="402">
        <f t="shared" si="48"/>
        <v>702080.55599999998</v>
      </c>
    </row>
    <row r="731" spans="2:9" hidden="1">
      <c r="B731" s="156">
        <v>45077</v>
      </c>
      <c r="C731" s="255" t="s">
        <v>1245</v>
      </c>
      <c r="D731" s="402">
        <f t="shared" si="45"/>
        <v>808635</v>
      </c>
      <c r="E731" s="376">
        <v>803.93999045573844</v>
      </c>
      <c r="F731" s="401">
        <v>1005.84</v>
      </c>
      <c r="G731" s="401">
        <f t="shared" si="46"/>
        <v>865.1</v>
      </c>
      <c r="H731" s="402">
        <f t="shared" si="47"/>
        <v>61517.184000000008</v>
      </c>
      <c r="I731" s="402">
        <f t="shared" si="48"/>
        <v>870152.18400000001</v>
      </c>
    </row>
    <row r="732" spans="2:9" hidden="1">
      <c r="B732" s="156">
        <v>45077</v>
      </c>
      <c r="C732" s="255" t="s">
        <v>1246</v>
      </c>
      <c r="D732" s="402">
        <f t="shared" si="45"/>
        <v>393738</v>
      </c>
      <c r="E732" s="376">
        <v>803.94070565174786</v>
      </c>
      <c r="F732" s="401">
        <v>489.76</v>
      </c>
      <c r="G732" s="401">
        <f t="shared" si="46"/>
        <v>865.1</v>
      </c>
      <c r="H732" s="402">
        <f t="shared" si="47"/>
        <v>29953.375999999989</v>
      </c>
      <c r="I732" s="402">
        <f t="shared" si="48"/>
        <v>423691.37599999999</v>
      </c>
    </row>
    <row r="733" spans="2:9" hidden="1">
      <c r="B733" s="156">
        <v>45077</v>
      </c>
      <c r="C733" s="255" t="s">
        <v>1247</v>
      </c>
      <c r="D733" s="402">
        <f t="shared" si="45"/>
        <v>344520</v>
      </c>
      <c r="E733" s="376">
        <v>803.93895552340496</v>
      </c>
      <c r="F733" s="401">
        <v>428.54</v>
      </c>
      <c r="G733" s="401">
        <f t="shared" si="46"/>
        <v>865.1</v>
      </c>
      <c r="H733" s="402">
        <f t="shared" si="47"/>
        <v>26209.954000000027</v>
      </c>
      <c r="I733" s="402">
        <f t="shared" si="48"/>
        <v>370729.95400000003</v>
      </c>
    </row>
    <row r="734" spans="2:9" hidden="1">
      <c r="B734" s="156">
        <v>45077</v>
      </c>
      <c r="C734" s="255" t="s">
        <v>1248</v>
      </c>
      <c r="D734" s="402">
        <f t="shared" si="45"/>
        <v>393738</v>
      </c>
      <c r="E734" s="376">
        <v>803.94070565174786</v>
      </c>
      <c r="F734" s="401">
        <v>489.76</v>
      </c>
      <c r="G734" s="401">
        <f t="shared" si="46"/>
        <v>865.1</v>
      </c>
      <c r="H734" s="402">
        <f t="shared" si="47"/>
        <v>29953.375999999989</v>
      </c>
      <c r="I734" s="402">
        <f t="shared" si="48"/>
        <v>423691.37599999999</v>
      </c>
    </row>
    <row r="735" spans="2:9" hidden="1">
      <c r="B735" s="156">
        <v>45077</v>
      </c>
      <c r="C735" s="255" t="s">
        <v>1249</v>
      </c>
      <c r="D735" s="402">
        <f t="shared" si="45"/>
        <v>393738</v>
      </c>
      <c r="E735" s="376">
        <v>803.94070565174786</v>
      </c>
      <c r="F735" s="401">
        <v>489.76</v>
      </c>
      <c r="G735" s="401">
        <f t="shared" si="46"/>
        <v>865.1</v>
      </c>
      <c r="H735" s="402">
        <f t="shared" si="47"/>
        <v>29953.375999999989</v>
      </c>
      <c r="I735" s="402">
        <f t="shared" si="48"/>
        <v>423691.37599999999</v>
      </c>
    </row>
    <row r="736" spans="2:9" hidden="1">
      <c r="B736" s="156">
        <v>45077</v>
      </c>
      <c r="C736" s="255" t="s">
        <v>1250</v>
      </c>
      <c r="D736" s="402">
        <f t="shared" si="45"/>
        <v>3368830</v>
      </c>
      <c r="E736" s="376">
        <v>803.93995799923641</v>
      </c>
      <c r="F736" s="401">
        <v>4190.3999999999996</v>
      </c>
      <c r="G736" s="401">
        <f t="shared" si="46"/>
        <v>865.1</v>
      </c>
      <c r="H736" s="402">
        <f t="shared" si="47"/>
        <v>256285.03999999957</v>
      </c>
      <c r="I736" s="402">
        <f t="shared" si="48"/>
        <v>3625115.0399999996</v>
      </c>
    </row>
    <row r="737" spans="2:9" hidden="1">
      <c r="B737" s="156">
        <v>45077</v>
      </c>
      <c r="C737" s="255" t="s">
        <v>1251</v>
      </c>
      <c r="D737" s="402">
        <f t="shared" si="45"/>
        <v>344520</v>
      </c>
      <c r="E737" s="376">
        <v>803.93895552340496</v>
      </c>
      <c r="F737" s="401">
        <v>428.54</v>
      </c>
      <c r="G737" s="401">
        <f t="shared" si="46"/>
        <v>865.1</v>
      </c>
      <c r="H737" s="402">
        <f t="shared" si="47"/>
        <v>26209.954000000027</v>
      </c>
      <c r="I737" s="402">
        <f t="shared" si="48"/>
        <v>370729.95400000003</v>
      </c>
    </row>
    <row r="738" spans="2:9" hidden="1">
      <c r="B738" s="156">
        <v>45077</v>
      </c>
      <c r="C738" s="255" t="s">
        <v>1252</v>
      </c>
      <c r="D738" s="402">
        <f t="shared" si="45"/>
        <v>393738</v>
      </c>
      <c r="E738" s="376">
        <v>803.94070565174786</v>
      </c>
      <c r="F738" s="401">
        <v>489.76</v>
      </c>
      <c r="G738" s="401">
        <f t="shared" si="46"/>
        <v>865.1</v>
      </c>
      <c r="H738" s="402">
        <f t="shared" si="47"/>
        <v>29953.375999999989</v>
      </c>
      <c r="I738" s="402">
        <f t="shared" si="48"/>
        <v>423691.37599999999</v>
      </c>
    </row>
    <row r="739" spans="2:9" hidden="1">
      <c r="B739" s="156">
        <v>45077</v>
      </c>
      <c r="C739" s="255" t="s">
        <v>1253</v>
      </c>
      <c r="D739" s="402">
        <f t="shared" si="45"/>
        <v>393738</v>
      </c>
      <c r="E739" s="376">
        <v>803.94070565174786</v>
      </c>
      <c r="F739" s="401">
        <v>489.76</v>
      </c>
      <c r="G739" s="401">
        <f t="shared" si="46"/>
        <v>865.1</v>
      </c>
      <c r="H739" s="402">
        <f t="shared" si="47"/>
        <v>29953.375999999989</v>
      </c>
      <c r="I739" s="402">
        <f t="shared" si="48"/>
        <v>423691.37599999999</v>
      </c>
    </row>
    <row r="740" spans="2:9" hidden="1">
      <c r="B740" s="156">
        <v>45077</v>
      </c>
      <c r="C740" s="255" t="s">
        <v>1254</v>
      </c>
      <c r="D740" s="402">
        <f t="shared" si="45"/>
        <v>2122016</v>
      </c>
      <c r="E740" s="376">
        <v>803.94011032308902</v>
      </c>
      <c r="F740" s="401">
        <v>2639.52</v>
      </c>
      <c r="G740" s="401">
        <f t="shared" si="46"/>
        <v>865.1</v>
      </c>
      <c r="H740" s="402">
        <f t="shared" si="47"/>
        <v>161432.75199999986</v>
      </c>
      <c r="I740" s="402">
        <f t="shared" si="48"/>
        <v>2283448.7519999999</v>
      </c>
    </row>
    <row r="741" spans="2:9" hidden="1">
      <c r="B741" s="156">
        <v>45077</v>
      </c>
      <c r="C741" s="255" t="s">
        <v>1255</v>
      </c>
      <c r="D741" s="402">
        <f t="shared" si="45"/>
        <v>393738</v>
      </c>
      <c r="E741" s="376">
        <v>803.94070565174786</v>
      </c>
      <c r="F741" s="401">
        <v>489.76</v>
      </c>
      <c r="G741" s="401">
        <f t="shared" si="46"/>
        <v>865.1</v>
      </c>
      <c r="H741" s="402">
        <f t="shared" si="47"/>
        <v>29953.375999999989</v>
      </c>
      <c r="I741" s="402">
        <f t="shared" si="48"/>
        <v>423691.37599999999</v>
      </c>
    </row>
    <row r="742" spans="2:9" hidden="1">
      <c r="B742" s="156">
        <v>45077</v>
      </c>
      <c r="C742" s="255" t="s">
        <v>1256</v>
      </c>
      <c r="D742" s="402">
        <f t="shared" si="45"/>
        <v>393738</v>
      </c>
      <c r="E742" s="376">
        <v>803.94070565174786</v>
      </c>
      <c r="F742" s="401">
        <v>489.76</v>
      </c>
      <c r="G742" s="401">
        <f t="shared" si="46"/>
        <v>865.1</v>
      </c>
      <c r="H742" s="402">
        <f t="shared" si="47"/>
        <v>29953.375999999989</v>
      </c>
      <c r="I742" s="402">
        <f t="shared" si="48"/>
        <v>423691.37599999999</v>
      </c>
    </row>
    <row r="743" spans="2:9" hidden="1">
      <c r="B743" s="156">
        <v>45077</v>
      </c>
      <c r="C743" s="255" t="s">
        <v>673</v>
      </c>
      <c r="D743" s="402">
        <f t="shared" si="41"/>
        <v>-112453022.45631501</v>
      </c>
      <c r="E743" s="376">
        <v>811.61</v>
      </c>
      <c r="F743" s="402">
        <v>-138555.4915</v>
      </c>
      <c r="G743" s="401">
        <f>+G593</f>
        <v>865.1</v>
      </c>
      <c r="H743" s="402">
        <f>+I743-D743</f>
        <v>-7411333.2403350025</v>
      </c>
      <c r="I743" s="402">
        <f>+F743*G743</f>
        <v>-119864355.69665001</v>
      </c>
    </row>
    <row r="744" spans="2:9" hidden="1">
      <c r="B744" s="156">
        <v>45078</v>
      </c>
      <c r="C744" s="255" t="s">
        <v>1269</v>
      </c>
      <c r="D744" s="402">
        <f t="shared" si="41"/>
        <v>1114730.1028</v>
      </c>
      <c r="E744" s="376">
        <v>811.61</v>
      </c>
      <c r="F744" s="401">
        <v>1373.48</v>
      </c>
      <c r="G744" s="401">
        <f t="shared" ref="G744:G778" si="49">+G594</f>
        <v>865.1</v>
      </c>
      <c r="H744" s="402">
        <f t="shared" ref="H744:H779" si="50">+I744-D744</f>
        <v>73467.445199999958</v>
      </c>
      <c r="I744" s="402">
        <f t="shared" ref="I744:I779" si="51">+F744*G744</f>
        <v>1188197.548</v>
      </c>
    </row>
    <row r="745" spans="2:9" hidden="1">
      <c r="B745" s="156">
        <v>45078</v>
      </c>
      <c r="C745" s="255" t="s">
        <v>1270</v>
      </c>
      <c r="D745" s="402">
        <f t="shared" ref="D745:D808" si="52">F745*E745</f>
        <v>1114730.1028</v>
      </c>
      <c r="E745" s="376">
        <v>811.61</v>
      </c>
      <c r="F745" s="401">
        <v>1373.48</v>
      </c>
      <c r="G745" s="401">
        <f t="shared" si="49"/>
        <v>865.1</v>
      </c>
      <c r="H745" s="402">
        <f t="shared" si="50"/>
        <v>73467.445199999958</v>
      </c>
      <c r="I745" s="402">
        <f t="shared" si="51"/>
        <v>1188197.548</v>
      </c>
    </row>
    <row r="746" spans="2:9" hidden="1">
      <c r="B746" s="156">
        <v>45078</v>
      </c>
      <c r="C746" s="255" t="s">
        <v>1271</v>
      </c>
      <c r="D746" s="402">
        <f t="shared" si="52"/>
        <v>1222349.5888</v>
      </c>
      <c r="E746" s="376">
        <v>811.61</v>
      </c>
      <c r="F746" s="401">
        <v>1506.08</v>
      </c>
      <c r="G746" s="401">
        <f t="shared" si="49"/>
        <v>865.1</v>
      </c>
      <c r="H746" s="402">
        <f t="shared" si="50"/>
        <v>80560.219199999934</v>
      </c>
      <c r="I746" s="402">
        <f t="shared" si="51"/>
        <v>1302909.808</v>
      </c>
    </row>
    <row r="747" spans="2:9" hidden="1">
      <c r="B747" s="156">
        <v>45078</v>
      </c>
      <c r="C747" s="255" t="s">
        <v>1272</v>
      </c>
      <c r="D747" s="402">
        <f t="shared" si="52"/>
        <v>1222349.5888</v>
      </c>
      <c r="E747" s="376">
        <v>811.61</v>
      </c>
      <c r="F747" s="401">
        <v>1506.08</v>
      </c>
      <c r="G747" s="401">
        <f t="shared" si="49"/>
        <v>865.1</v>
      </c>
      <c r="H747" s="402">
        <f t="shared" si="50"/>
        <v>80560.219199999934</v>
      </c>
      <c r="I747" s="402">
        <f t="shared" si="51"/>
        <v>1302909.808</v>
      </c>
    </row>
    <row r="748" spans="2:9" hidden="1">
      <c r="B748" s="156">
        <v>45078</v>
      </c>
      <c r="C748" s="255" t="s">
        <v>1273</v>
      </c>
      <c r="D748" s="402">
        <f t="shared" si="52"/>
        <v>3303431.2541999999</v>
      </c>
      <c r="E748" s="376">
        <v>811.61</v>
      </c>
      <c r="F748" s="401">
        <v>4070.22</v>
      </c>
      <c r="G748" s="401">
        <f t="shared" si="49"/>
        <v>865.1</v>
      </c>
      <c r="H748" s="402">
        <f t="shared" si="50"/>
        <v>217716.06779999984</v>
      </c>
      <c r="I748" s="402">
        <f t="shared" si="51"/>
        <v>3521147.3219999997</v>
      </c>
    </row>
    <row r="749" spans="2:9" hidden="1">
      <c r="B749" s="156">
        <v>45078</v>
      </c>
      <c r="C749" s="255" t="s">
        <v>1274</v>
      </c>
      <c r="D749" s="402">
        <f t="shared" si="52"/>
        <v>953300.87379999994</v>
      </c>
      <c r="E749" s="376">
        <v>811.61</v>
      </c>
      <c r="F749" s="401">
        <v>1174.58</v>
      </c>
      <c r="G749" s="401">
        <f t="shared" si="49"/>
        <v>865.1</v>
      </c>
      <c r="H749" s="402">
        <f t="shared" si="50"/>
        <v>62828.284199999995</v>
      </c>
      <c r="I749" s="402">
        <f t="shared" si="51"/>
        <v>1016129.1579999999</v>
      </c>
    </row>
    <row r="750" spans="2:9" hidden="1">
      <c r="B750" s="156">
        <v>45078</v>
      </c>
      <c r="C750" s="255" t="s">
        <v>1275</v>
      </c>
      <c r="D750" s="402">
        <f t="shared" si="52"/>
        <v>1168539.8458</v>
      </c>
      <c r="E750" s="376">
        <v>811.61</v>
      </c>
      <c r="F750" s="401">
        <v>1439.78</v>
      </c>
      <c r="G750" s="401">
        <f t="shared" si="49"/>
        <v>865.1</v>
      </c>
      <c r="H750" s="402">
        <f t="shared" si="50"/>
        <v>77013.832200000063</v>
      </c>
      <c r="I750" s="402">
        <f t="shared" si="51"/>
        <v>1245553.6780000001</v>
      </c>
    </row>
    <row r="751" spans="2:9" hidden="1">
      <c r="B751" s="156">
        <v>45078</v>
      </c>
      <c r="C751" s="255" t="s">
        <v>1276</v>
      </c>
      <c r="D751" s="402">
        <f t="shared" si="52"/>
        <v>1222349.5888</v>
      </c>
      <c r="E751" s="376">
        <v>811.61</v>
      </c>
      <c r="F751" s="401">
        <v>1506.08</v>
      </c>
      <c r="G751" s="401">
        <f t="shared" si="49"/>
        <v>865.1</v>
      </c>
      <c r="H751" s="402">
        <f t="shared" si="50"/>
        <v>80560.219199999934</v>
      </c>
      <c r="I751" s="402">
        <f t="shared" si="51"/>
        <v>1302909.808</v>
      </c>
    </row>
    <row r="752" spans="2:9" hidden="1">
      <c r="B752" s="156">
        <v>45078</v>
      </c>
      <c r="C752" s="255" t="s">
        <v>1277</v>
      </c>
      <c r="D752" s="402">
        <f t="shared" si="52"/>
        <v>44195540.797600001</v>
      </c>
      <c r="E752" s="376">
        <v>811.61</v>
      </c>
      <c r="F752" s="401">
        <v>54454.16</v>
      </c>
      <c r="G752" s="401">
        <f t="shared" si="49"/>
        <v>865.1</v>
      </c>
      <c r="H752" s="402">
        <f t="shared" si="50"/>
        <v>2912753.018400006</v>
      </c>
      <c r="I752" s="402">
        <f t="shared" si="51"/>
        <v>47108293.816000007</v>
      </c>
    </row>
    <row r="753" spans="2:9" hidden="1">
      <c r="B753" s="156">
        <v>45078</v>
      </c>
      <c r="C753" s="255" t="s">
        <v>1278</v>
      </c>
      <c r="D753" s="402">
        <f t="shared" si="52"/>
        <v>1222349.5888</v>
      </c>
      <c r="E753" s="376">
        <v>811.61</v>
      </c>
      <c r="F753" s="401">
        <v>1506.08</v>
      </c>
      <c r="G753" s="401">
        <f t="shared" si="49"/>
        <v>865.1</v>
      </c>
      <c r="H753" s="402">
        <f t="shared" si="50"/>
        <v>80560.219199999934</v>
      </c>
      <c r="I753" s="402">
        <f t="shared" si="51"/>
        <v>1302909.808</v>
      </c>
    </row>
    <row r="754" spans="2:9" hidden="1">
      <c r="B754" s="156">
        <v>45078</v>
      </c>
      <c r="C754" s="255" t="s">
        <v>1279</v>
      </c>
      <c r="D754" s="402">
        <f t="shared" si="52"/>
        <v>1222349.5888</v>
      </c>
      <c r="E754" s="376">
        <v>811.61</v>
      </c>
      <c r="F754" s="401">
        <v>1506.08</v>
      </c>
      <c r="G754" s="401">
        <f t="shared" si="49"/>
        <v>865.1</v>
      </c>
      <c r="H754" s="402">
        <f t="shared" si="50"/>
        <v>80560.219199999934</v>
      </c>
      <c r="I754" s="402">
        <f t="shared" si="51"/>
        <v>1302909.808</v>
      </c>
    </row>
    <row r="755" spans="2:9" hidden="1">
      <c r="B755" s="156">
        <v>45078</v>
      </c>
      <c r="C755" s="255" t="s">
        <v>1302</v>
      </c>
      <c r="D755" s="402">
        <f t="shared" si="52"/>
        <v>1901602.23</v>
      </c>
      <c r="E755" s="376">
        <v>811.61</v>
      </c>
      <c r="F755" s="401">
        <v>2343</v>
      </c>
      <c r="G755" s="401">
        <f t="shared" si="49"/>
        <v>865.1</v>
      </c>
      <c r="H755" s="402">
        <f t="shared" si="50"/>
        <v>125327.07000000007</v>
      </c>
      <c r="I755" s="402">
        <f t="shared" si="51"/>
        <v>2026929.3</v>
      </c>
    </row>
    <row r="756" spans="2:9" hidden="1">
      <c r="B756" s="156">
        <v>45085</v>
      </c>
      <c r="C756" s="255" t="s">
        <v>1303</v>
      </c>
      <c r="D756" s="402">
        <f t="shared" si="52"/>
        <v>7141.2300000000005</v>
      </c>
      <c r="E756" s="376">
        <v>793.47</v>
      </c>
      <c r="F756" s="401">
        <v>9</v>
      </c>
      <c r="G756" s="401">
        <f t="shared" si="49"/>
        <v>865.1</v>
      </c>
      <c r="H756" s="402">
        <f t="shared" si="50"/>
        <v>644.67000000000007</v>
      </c>
      <c r="I756" s="402">
        <f t="shared" si="51"/>
        <v>7785.9000000000005</v>
      </c>
    </row>
    <row r="757" spans="2:9" hidden="1">
      <c r="B757" s="156">
        <v>45106</v>
      </c>
      <c r="C757" s="255" t="s">
        <v>1280</v>
      </c>
      <c r="D757" s="402">
        <f t="shared" si="52"/>
        <v>2130912.0052</v>
      </c>
      <c r="E757" s="376">
        <v>800.89</v>
      </c>
      <c r="F757" s="401">
        <v>2660.68</v>
      </c>
      <c r="G757" s="401">
        <f t="shared" si="49"/>
        <v>865.1</v>
      </c>
      <c r="H757" s="402">
        <f t="shared" si="50"/>
        <v>170842.26279999968</v>
      </c>
      <c r="I757" s="402">
        <f t="shared" si="51"/>
        <v>2301754.2679999997</v>
      </c>
    </row>
    <row r="758" spans="2:9" hidden="1">
      <c r="B758" s="156">
        <v>45106</v>
      </c>
      <c r="C758" s="255" t="s">
        <v>1281</v>
      </c>
      <c r="D758" s="402">
        <f t="shared" si="52"/>
        <v>2180743.3810000001</v>
      </c>
      <c r="E758" s="376">
        <v>800.89</v>
      </c>
      <c r="F758" s="401">
        <v>2722.9</v>
      </c>
      <c r="G758" s="401">
        <f t="shared" si="49"/>
        <v>865.1</v>
      </c>
      <c r="H758" s="402">
        <f t="shared" si="50"/>
        <v>174837.40899999999</v>
      </c>
      <c r="I758" s="402">
        <f t="shared" si="51"/>
        <v>2355580.79</v>
      </c>
    </row>
    <row r="759" spans="2:9" hidden="1">
      <c r="B759" s="156">
        <v>45106</v>
      </c>
      <c r="C759" s="255" t="s">
        <v>1282</v>
      </c>
      <c r="D759" s="402">
        <f t="shared" si="52"/>
        <v>2184011.0121999998</v>
      </c>
      <c r="E759" s="376">
        <v>800.89</v>
      </c>
      <c r="F759" s="401">
        <v>2726.98</v>
      </c>
      <c r="G759" s="401">
        <f t="shared" si="49"/>
        <v>865.1</v>
      </c>
      <c r="H759" s="402">
        <f t="shared" si="50"/>
        <v>175099.38580000028</v>
      </c>
      <c r="I759" s="402">
        <f t="shared" si="51"/>
        <v>2359110.398</v>
      </c>
    </row>
    <row r="760" spans="2:9" hidden="1">
      <c r="B760" s="156">
        <v>45106</v>
      </c>
      <c r="C760" s="255" t="s">
        <v>1283</v>
      </c>
      <c r="D760" s="402">
        <f t="shared" si="52"/>
        <v>2331102.4696</v>
      </c>
      <c r="E760" s="376">
        <v>800.89</v>
      </c>
      <c r="F760" s="401">
        <v>2910.64</v>
      </c>
      <c r="G760" s="401">
        <f t="shared" si="49"/>
        <v>865.1</v>
      </c>
      <c r="H760" s="402">
        <f t="shared" si="50"/>
        <v>186892.19439999992</v>
      </c>
      <c r="I760" s="402">
        <f t="shared" si="51"/>
        <v>2517994.6639999999</v>
      </c>
    </row>
    <row r="761" spans="2:9" hidden="1">
      <c r="B761" s="156">
        <v>45106</v>
      </c>
      <c r="C761" s="255" t="s">
        <v>1284</v>
      </c>
      <c r="D761" s="402">
        <f t="shared" si="52"/>
        <v>995746.53699999989</v>
      </c>
      <c r="E761" s="376">
        <v>800.89</v>
      </c>
      <c r="F761" s="401">
        <v>1243.3</v>
      </c>
      <c r="G761" s="401">
        <f t="shared" si="49"/>
        <v>865.1</v>
      </c>
      <c r="H761" s="402">
        <f t="shared" si="50"/>
        <v>79832.29300000018</v>
      </c>
      <c r="I761" s="402">
        <f t="shared" si="51"/>
        <v>1075578.83</v>
      </c>
    </row>
    <row r="762" spans="2:9" hidden="1">
      <c r="B762" s="156">
        <v>45106</v>
      </c>
      <c r="C762" s="255" t="s">
        <v>1285</v>
      </c>
      <c r="D762" s="402">
        <f t="shared" si="52"/>
        <v>1789204.2778</v>
      </c>
      <c r="E762" s="376">
        <v>800.89</v>
      </c>
      <c r="F762" s="401">
        <v>2234.02</v>
      </c>
      <c r="G762" s="401">
        <f t="shared" si="49"/>
        <v>865.1</v>
      </c>
      <c r="H762" s="402">
        <f t="shared" si="50"/>
        <v>143446.42420000001</v>
      </c>
      <c r="I762" s="402">
        <f t="shared" si="51"/>
        <v>1932650.702</v>
      </c>
    </row>
    <row r="763" spans="2:9" hidden="1">
      <c r="B763" s="156">
        <v>45106</v>
      </c>
      <c r="C763" s="255" t="s">
        <v>1286</v>
      </c>
      <c r="D763" s="402">
        <f t="shared" si="52"/>
        <v>2331102.4696</v>
      </c>
      <c r="E763" s="376">
        <v>800.89</v>
      </c>
      <c r="F763" s="401">
        <v>2910.64</v>
      </c>
      <c r="G763" s="401">
        <f t="shared" si="49"/>
        <v>865.1</v>
      </c>
      <c r="H763" s="402">
        <f t="shared" si="50"/>
        <v>186892.19439999992</v>
      </c>
      <c r="I763" s="402">
        <f t="shared" si="51"/>
        <v>2517994.6639999999</v>
      </c>
    </row>
    <row r="764" spans="2:9" hidden="1">
      <c r="B764" s="156">
        <v>45106</v>
      </c>
      <c r="C764" s="255" t="s">
        <v>1287</v>
      </c>
      <c r="D764" s="402">
        <f t="shared" si="52"/>
        <v>2033651.9235999999</v>
      </c>
      <c r="E764" s="376">
        <v>800.89</v>
      </c>
      <c r="F764" s="401">
        <v>2539.2399999999998</v>
      </c>
      <c r="G764" s="401">
        <f t="shared" si="49"/>
        <v>865.1</v>
      </c>
      <c r="H764" s="402">
        <f t="shared" si="50"/>
        <v>163044.60039999988</v>
      </c>
      <c r="I764" s="402">
        <f t="shared" si="51"/>
        <v>2196696.5239999997</v>
      </c>
    </row>
    <row r="765" spans="2:9" hidden="1">
      <c r="B765" s="156">
        <v>45106</v>
      </c>
      <c r="C765" s="255" t="s">
        <v>1288</v>
      </c>
      <c r="D765" s="402">
        <f t="shared" si="52"/>
        <v>2184011.0121999998</v>
      </c>
      <c r="E765" s="376">
        <v>800.89</v>
      </c>
      <c r="F765" s="401">
        <v>2726.98</v>
      </c>
      <c r="G765" s="401">
        <f t="shared" si="49"/>
        <v>865.1</v>
      </c>
      <c r="H765" s="402">
        <f t="shared" si="50"/>
        <v>175099.38580000028</v>
      </c>
      <c r="I765" s="402">
        <f t="shared" si="51"/>
        <v>2359110.398</v>
      </c>
    </row>
    <row r="766" spans="2:9" hidden="1">
      <c r="B766" s="156">
        <v>45106</v>
      </c>
      <c r="C766" s="255" t="s">
        <v>1289</v>
      </c>
      <c r="D766" s="402">
        <f t="shared" si="52"/>
        <v>1491305.2334</v>
      </c>
      <c r="E766" s="376">
        <v>800.89</v>
      </c>
      <c r="F766" s="401">
        <v>1862.06</v>
      </c>
      <c r="G766" s="401">
        <f t="shared" si="49"/>
        <v>865.1</v>
      </c>
      <c r="H766" s="402">
        <f t="shared" si="50"/>
        <v>119562.87259999989</v>
      </c>
      <c r="I766" s="402">
        <f t="shared" si="51"/>
        <v>1610868.1059999999</v>
      </c>
    </row>
    <row r="767" spans="2:9" hidden="1">
      <c r="B767" s="156">
        <v>45106</v>
      </c>
      <c r="C767" s="255" t="s">
        <v>1290</v>
      </c>
      <c r="D767" s="402">
        <f t="shared" si="52"/>
        <v>2013757.8160000001</v>
      </c>
      <c r="E767" s="376">
        <v>800.89</v>
      </c>
      <c r="F767" s="401">
        <v>2514.4</v>
      </c>
      <c r="G767" s="401">
        <f t="shared" si="49"/>
        <v>865.1</v>
      </c>
      <c r="H767" s="402">
        <f t="shared" si="50"/>
        <v>161449.62399999984</v>
      </c>
      <c r="I767" s="402">
        <f t="shared" si="51"/>
        <v>2175207.44</v>
      </c>
    </row>
    <row r="768" spans="2:9" hidden="1">
      <c r="B768" s="156">
        <v>45106</v>
      </c>
      <c r="C768" s="255" t="s">
        <v>1291</v>
      </c>
      <c r="D768" s="402">
        <f t="shared" si="52"/>
        <v>1968779.8335999998</v>
      </c>
      <c r="E768" s="376">
        <v>800.89</v>
      </c>
      <c r="F768" s="401">
        <v>2458.2399999999998</v>
      </c>
      <c r="G768" s="401">
        <f t="shared" si="49"/>
        <v>865.1</v>
      </c>
      <c r="H768" s="402">
        <f t="shared" si="50"/>
        <v>157843.59039999987</v>
      </c>
      <c r="I768" s="402">
        <f t="shared" si="51"/>
        <v>2126623.4239999996</v>
      </c>
    </row>
    <row r="769" spans="2:9" hidden="1">
      <c r="B769" s="156">
        <v>45106</v>
      </c>
      <c r="C769" s="255" t="s">
        <v>1292</v>
      </c>
      <c r="D769" s="402">
        <f t="shared" si="52"/>
        <v>2013757.8160000001</v>
      </c>
      <c r="E769" s="376">
        <v>800.89</v>
      </c>
      <c r="F769" s="401">
        <v>2514.4</v>
      </c>
      <c r="G769" s="401">
        <f t="shared" si="49"/>
        <v>865.1</v>
      </c>
      <c r="H769" s="402">
        <f t="shared" si="50"/>
        <v>161449.62399999984</v>
      </c>
      <c r="I769" s="402">
        <f t="shared" si="51"/>
        <v>2175207.44</v>
      </c>
    </row>
    <row r="770" spans="2:9" hidden="1">
      <c r="B770" s="156">
        <v>45106</v>
      </c>
      <c r="C770" s="255" t="s">
        <v>1293</v>
      </c>
      <c r="D770" s="402">
        <f t="shared" si="52"/>
        <v>1450379.7544</v>
      </c>
      <c r="E770" s="376">
        <v>800.89</v>
      </c>
      <c r="F770" s="401">
        <v>1810.96</v>
      </c>
      <c r="G770" s="401">
        <f t="shared" si="49"/>
        <v>865.1</v>
      </c>
      <c r="H770" s="402">
        <f t="shared" si="50"/>
        <v>116281.74160000007</v>
      </c>
      <c r="I770" s="402">
        <f t="shared" si="51"/>
        <v>1566661.496</v>
      </c>
    </row>
    <row r="771" spans="2:9" hidden="1">
      <c r="B771" s="156">
        <v>45106</v>
      </c>
      <c r="C771" s="255" t="s">
        <v>1294</v>
      </c>
      <c r="D771" s="402">
        <f t="shared" si="52"/>
        <v>1843568.6910000001</v>
      </c>
      <c r="E771" s="376">
        <v>800.89</v>
      </c>
      <c r="F771" s="401">
        <v>2301.9</v>
      </c>
      <c r="G771" s="401">
        <f t="shared" si="49"/>
        <v>865.1</v>
      </c>
      <c r="H771" s="402">
        <f t="shared" si="50"/>
        <v>147804.99900000007</v>
      </c>
      <c r="I771" s="402">
        <f t="shared" si="51"/>
        <v>1991373.6900000002</v>
      </c>
    </row>
    <row r="772" spans="2:9" hidden="1">
      <c r="B772" s="156">
        <v>45106</v>
      </c>
      <c r="C772" s="255" t="s">
        <v>1295</v>
      </c>
      <c r="D772" s="402">
        <f t="shared" si="52"/>
        <v>2013757.8160000001</v>
      </c>
      <c r="E772" s="376">
        <v>800.89</v>
      </c>
      <c r="F772" s="401">
        <v>2514.4</v>
      </c>
      <c r="G772" s="401">
        <f t="shared" si="49"/>
        <v>865.1</v>
      </c>
      <c r="H772" s="402">
        <f t="shared" si="50"/>
        <v>161449.62399999984</v>
      </c>
      <c r="I772" s="402">
        <f t="shared" si="51"/>
        <v>2175207.44</v>
      </c>
    </row>
    <row r="773" spans="2:9" hidden="1">
      <c r="B773" s="156">
        <v>45106</v>
      </c>
      <c r="C773" s="255" t="s">
        <v>1296</v>
      </c>
      <c r="D773" s="402">
        <f t="shared" si="52"/>
        <v>1809787.1507999997</v>
      </c>
      <c r="E773" s="376">
        <v>800.89</v>
      </c>
      <c r="F773" s="401">
        <v>2259.7199999999998</v>
      </c>
      <c r="G773" s="401">
        <f t="shared" si="49"/>
        <v>865.1</v>
      </c>
      <c r="H773" s="402">
        <f t="shared" si="50"/>
        <v>145096.62120000017</v>
      </c>
      <c r="I773" s="402">
        <f t="shared" si="51"/>
        <v>1954883.7719999999</v>
      </c>
    </row>
    <row r="774" spans="2:9" hidden="1">
      <c r="B774" s="156">
        <v>45106</v>
      </c>
      <c r="C774" s="255" t="s">
        <v>1297</v>
      </c>
      <c r="D774" s="402">
        <f t="shared" si="52"/>
        <v>1895690.6122000001</v>
      </c>
      <c r="E774" s="376">
        <v>800.89</v>
      </c>
      <c r="F774" s="401">
        <v>2366.98</v>
      </c>
      <c r="G774" s="401">
        <f t="shared" si="49"/>
        <v>865.1</v>
      </c>
      <c r="H774" s="402">
        <f t="shared" si="50"/>
        <v>151983.78579999995</v>
      </c>
      <c r="I774" s="402">
        <f t="shared" si="51"/>
        <v>2047674.398</v>
      </c>
    </row>
    <row r="775" spans="2:9" hidden="1">
      <c r="B775" s="156">
        <v>45107</v>
      </c>
      <c r="C775" s="255" t="s">
        <v>1298</v>
      </c>
      <c r="D775" s="402">
        <f t="shared" si="52"/>
        <v>12197300.529599998</v>
      </c>
      <c r="E775" s="376">
        <v>802.68</v>
      </c>
      <c r="F775" s="401">
        <v>15195.72</v>
      </c>
      <c r="G775" s="401">
        <f t="shared" si="49"/>
        <v>865.1</v>
      </c>
      <c r="H775" s="402">
        <f t="shared" si="50"/>
        <v>948516.84240000136</v>
      </c>
      <c r="I775" s="402">
        <f t="shared" si="51"/>
        <v>13145817.372</v>
      </c>
    </row>
    <row r="776" spans="2:9" hidden="1">
      <c r="B776" s="156">
        <v>45107</v>
      </c>
      <c r="C776" s="255" t="s">
        <v>1299</v>
      </c>
      <c r="D776" s="402">
        <f t="shared" si="52"/>
        <v>22743889.639199998</v>
      </c>
      <c r="E776" s="376">
        <v>802.68</v>
      </c>
      <c r="F776" s="401">
        <v>28334.94</v>
      </c>
      <c r="G776" s="401">
        <f t="shared" si="49"/>
        <v>865.1</v>
      </c>
      <c r="H776" s="402">
        <f t="shared" si="50"/>
        <v>1768666.9548000023</v>
      </c>
      <c r="I776" s="402">
        <f t="shared" si="51"/>
        <v>24512556.594000001</v>
      </c>
    </row>
    <row r="777" spans="2:9" hidden="1">
      <c r="B777" s="156">
        <v>45107</v>
      </c>
      <c r="C777" s="255" t="s">
        <v>1300</v>
      </c>
      <c r="D777" s="402">
        <f t="shared" si="52"/>
        <v>8793391.5072000008</v>
      </c>
      <c r="E777" s="376">
        <v>802.68</v>
      </c>
      <c r="F777" s="401">
        <v>10955.04</v>
      </c>
      <c r="G777" s="401">
        <f t="shared" si="49"/>
        <v>865.1</v>
      </c>
      <c r="H777" s="402">
        <f t="shared" si="50"/>
        <v>683813.59679999948</v>
      </c>
      <c r="I777" s="402">
        <f t="shared" si="51"/>
        <v>9477205.1040000003</v>
      </c>
    </row>
    <row r="778" spans="2:9" hidden="1">
      <c r="B778" s="156">
        <v>45107</v>
      </c>
      <c r="C778" s="255" t="s">
        <v>1301</v>
      </c>
      <c r="D778" s="402">
        <f t="shared" si="52"/>
        <v>25191325.173599999</v>
      </c>
      <c r="E778" s="376">
        <v>802.68</v>
      </c>
      <c r="F778" s="401">
        <v>31384.02</v>
      </c>
      <c r="G778" s="401">
        <f t="shared" si="49"/>
        <v>865.1</v>
      </c>
      <c r="H778" s="402">
        <f t="shared" si="50"/>
        <v>1958990.5284000002</v>
      </c>
      <c r="I778" s="402">
        <f t="shared" si="51"/>
        <v>27150315.702</v>
      </c>
    </row>
    <row r="779" spans="2:9" hidden="1">
      <c r="B779" s="156">
        <v>45107</v>
      </c>
      <c r="C779" s="255" t="s">
        <v>673</v>
      </c>
      <c r="D779" s="402">
        <f t="shared" si="52"/>
        <v>-67055082.870355912</v>
      </c>
      <c r="E779" s="376">
        <v>801.66</v>
      </c>
      <c r="F779" s="401">
        <v>-83645.289611999993</v>
      </c>
      <c r="G779" s="401">
        <f>+G629</f>
        <v>865.1</v>
      </c>
      <c r="H779" s="402">
        <f t="shared" si="50"/>
        <v>-5306457.1729852781</v>
      </c>
      <c r="I779" s="402">
        <f t="shared" si="51"/>
        <v>-72361540.04334119</v>
      </c>
    </row>
    <row r="780" spans="2:9" hidden="1">
      <c r="B780" s="156">
        <v>45128</v>
      </c>
      <c r="C780" s="255" t="s">
        <v>1308</v>
      </c>
      <c r="D780" s="402">
        <f t="shared" si="52"/>
        <v>924466.46160000004</v>
      </c>
      <c r="E780" s="376">
        <v>807.62</v>
      </c>
      <c r="F780" s="401">
        <v>1144.68</v>
      </c>
      <c r="G780" s="401">
        <f t="shared" ref="G780:G843" si="53">+G630</f>
        <v>865.1</v>
      </c>
      <c r="H780" s="402">
        <f t="shared" ref="H780:H806" si="54">+I780-D780</f>
        <v>65796.206400000025</v>
      </c>
      <c r="I780" s="402">
        <f t="shared" ref="I780:I806" si="55">+F780*G780</f>
        <v>990262.66800000006</v>
      </c>
    </row>
    <row r="781" spans="2:9" hidden="1">
      <c r="B781" s="156">
        <v>45128</v>
      </c>
      <c r="C781" s="255" t="s">
        <v>1309</v>
      </c>
      <c r="D781" s="402">
        <f t="shared" si="52"/>
        <v>1654393.4176</v>
      </c>
      <c r="E781" s="376">
        <v>807.62</v>
      </c>
      <c r="F781" s="401">
        <v>2048.48</v>
      </c>
      <c r="G781" s="401">
        <f t="shared" si="53"/>
        <v>865.1</v>
      </c>
      <c r="H781" s="402">
        <f t="shared" si="54"/>
        <v>117746.63039999991</v>
      </c>
      <c r="I781" s="402">
        <f t="shared" si="55"/>
        <v>1772140.048</v>
      </c>
    </row>
    <row r="782" spans="2:9" hidden="1">
      <c r="B782" s="156">
        <v>45128</v>
      </c>
      <c r="C782" s="255" t="s">
        <v>1310</v>
      </c>
      <c r="D782" s="402">
        <f t="shared" si="52"/>
        <v>1654393.4176</v>
      </c>
      <c r="E782" s="376">
        <v>807.62</v>
      </c>
      <c r="F782" s="401">
        <v>2048.48</v>
      </c>
      <c r="G782" s="401">
        <f t="shared" si="53"/>
        <v>865.1</v>
      </c>
      <c r="H782" s="402">
        <f t="shared" si="54"/>
        <v>117746.63039999991</v>
      </c>
      <c r="I782" s="402">
        <f t="shared" si="55"/>
        <v>1772140.048</v>
      </c>
    </row>
    <row r="783" spans="2:9" hidden="1">
      <c r="B783" s="156">
        <v>45128</v>
      </c>
      <c r="C783" s="255" t="s">
        <v>1311</v>
      </c>
      <c r="D783" s="402">
        <f t="shared" si="52"/>
        <v>1654393.4176</v>
      </c>
      <c r="E783" s="376">
        <v>807.62</v>
      </c>
      <c r="F783" s="401">
        <v>2048.48</v>
      </c>
      <c r="G783" s="401">
        <f t="shared" si="53"/>
        <v>865.1</v>
      </c>
      <c r="H783" s="402">
        <f t="shared" si="54"/>
        <v>117746.63039999991</v>
      </c>
      <c r="I783" s="402">
        <f t="shared" si="55"/>
        <v>1772140.048</v>
      </c>
    </row>
    <row r="784" spans="2:9" hidden="1">
      <c r="B784" s="156">
        <v>45128</v>
      </c>
      <c r="C784" s="255" t="s">
        <v>1312</v>
      </c>
      <c r="D784" s="402">
        <f t="shared" si="52"/>
        <v>778561.83239999996</v>
      </c>
      <c r="E784" s="376">
        <v>807.62</v>
      </c>
      <c r="F784" s="401">
        <v>964.02</v>
      </c>
      <c r="G784" s="401">
        <f t="shared" si="53"/>
        <v>865.1</v>
      </c>
      <c r="H784" s="402">
        <f t="shared" si="54"/>
        <v>55411.869600000093</v>
      </c>
      <c r="I784" s="402">
        <f t="shared" si="55"/>
        <v>833973.70200000005</v>
      </c>
    </row>
    <row r="785" spans="2:9" hidden="1">
      <c r="B785" s="156">
        <v>45128</v>
      </c>
      <c r="C785" s="255" t="s">
        <v>1313</v>
      </c>
      <c r="D785" s="402">
        <f t="shared" si="52"/>
        <v>936726.13319999992</v>
      </c>
      <c r="E785" s="376">
        <v>807.62</v>
      </c>
      <c r="F785" s="401">
        <v>1159.8599999999999</v>
      </c>
      <c r="G785" s="401">
        <f t="shared" si="53"/>
        <v>865.1</v>
      </c>
      <c r="H785" s="402">
        <f t="shared" si="54"/>
        <v>66668.752800000017</v>
      </c>
      <c r="I785" s="402">
        <f t="shared" si="55"/>
        <v>1003394.8859999999</v>
      </c>
    </row>
    <row r="786" spans="2:9" hidden="1">
      <c r="B786" s="156">
        <v>45128</v>
      </c>
      <c r="C786" s="255" t="s">
        <v>1314</v>
      </c>
      <c r="D786" s="402">
        <f t="shared" si="52"/>
        <v>1654393.4176</v>
      </c>
      <c r="E786" s="376">
        <v>807.62</v>
      </c>
      <c r="F786" s="401">
        <v>2048.48</v>
      </c>
      <c r="G786" s="401">
        <f t="shared" si="53"/>
        <v>865.1</v>
      </c>
      <c r="H786" s="402">
        <f t="shared" si="54"/>
        <v>117746.63039999991</v>
      </c>
      <c r="I786" s="402">
        <f t="shared" si="55"/>
        <v>1772140.048</v>
      </c>
    </row>
    <row r="787" spans="2:9" hidden="1">
      <c r="B787" s="156">
        <v>45128</v>
      </c>
      <c r="C787" s="255" t="s">
        <v>1315</v>
      </c>
      <c r="D787" s="402">
        <f t="shared" si="52"/>
        <v>4829018.4183999998</v>
      </c>
      <c r="E787" s="376">
        <v>807.62</v>
      </c>
      <c r="F787" s="401">
        <v>5979.32</v>
      </c>
      <c r="G787" s="401">
        <f t="shared" si="53"/>
        <v>865.1</v>
      </c>
      <c r="H787" s="402">
        <f t="shared" si="54"/>
        <v>343691.31359999999</v>
      </c>
      <c r="I787" s="402">
        <f t="shared" si="55"/>
        <v>5172709.7319999998</v>
      </c>
    </row>
    <row r="788" spans="2:9" hidden="1">
      <c r="B788" s="156">
        <v>45128</v>
      </c>
      <c r="C788" s="255" t="s">
        <v>1316</v>
      </c>
      <c r="D788" s="402">
        <f t="shared" si="52"/>
        <v>1654393.4176</v>
      </c>
      <c r="E788" s="376">
        <v>807.62</v>
      </c>
      <c r="F788" s="401">
        <v>2048.48</v>
      </c>
      <c r="G788" s="401">
        <f t="shared" si="53"/>
        <v>865.1</v>
      </c>
      <c r="H788" s="402">
        <f t="shared" si="54"/>
        <v>117746.63039999991</v>
      </c>
      <c r="I788" s="402">
        <f t="shared" si="55"/>
        <v>1772140.048</v>
      </c>
    </row>
    <row r="789" spans="2:9" hidden="1">
      <c r="B789" s="156">
        <v>45128</v>
      </c>
      <c r="C789" s="255" t="s">
        <v>1317</v>
      </c>
      <c r="D789" s="402">
        <f t="shared" si="52"/>
        <v>1654393.4176</v>
      </c>
      <c r="E789" s="376">
        <v>807.62</v>
      </c>
      <c r="F789" s="401">
        <v>2048.48</v>
      </c>
      <c r="G789" s="401">
        <f t="shared" si="53"/>
        <v>865.1</v>
      </c>
      <c r="H789" s="402">
        <f t="shared" si="54"/>
        <v>117746.63039999991</v>
      </c>
      <c r="I789" s="402">
        <f t="shared" si="55"/>
        <v>1772140.048</v>
      </c>
    </row>
    <row r="790" spans="2:9" hidden="1">
      <c r="B790" s="156">
        <v>45128</v>
      </c>
      <c r="C790" s="255" t="s">
        <v>1318</v>
      </c>
      <c r="D790" s="402">
        <f t="shared" si="52"/>
        <v>1221250.6592000001</v>
      </c>
      <c r="E790" s="376">
        <v>807.62</v>
      </c>
      <c r="F790" s="401">
        <v>1512.16</v>
      </c>
      <c r="G790" s="401">
        <f t="shared" si="53"/>
        <v>865.1</v>
      </c>
      <c r="H790" s="402">
        <f t="shared" si="54"/>
        <v>86918.956800000044</v>
      </c>
      <c r="I790" s="402">
        <f t="shared" si="55"/>
        <v>1308169.6160000002</v>
      </c>
    </row>
    <row r="791" spans="2:9" hidden="1">
      <c r="B791" s="156">
        <v>45128</v>
      </c>
      <c r="C791" s="255" t="s">
        <v>1319</v>
      </c>
      <c r="D791" s="402">
        <f t="shared" si="52"/>
        <v>1221250.6592000001</v>
      </c>
      <c r="E791" s="376">
        <v>807.62</v>
      </c>
      <c r="F791" s="401">
        <v>1512.16</v>
      </c>
      <c r="G791" s="401">
        <f t="shared" si="53"/>
        <v>865.1</v>
      </c>
      <c r="H791" s="402">
        <f t="shared" si="54"/>
        <v>86918.956800000044</v>
      </c>
      <c r="I791" s="402">
        <f t="shared" si="55"/>
        <v>1308169.6160000002</v>
      </c>
    </row>
    <row r="792" spans="2:9" hidden="1">
      <c r="B792" s="156">
        <v>45128</v>
      </c>
      <c r="C792" s="255" t="s">
        <v>1320</v>
      </c>
      <c r="D792" s="402">
        <f t="shared" si="52"/>
        <v>1221250.6592000001</v>
      </c>
      <c r="E792" s="376">
        <v>807.62</v>
      </c>
      <c r="F792" s="401">
        <v>1512.16</v>
      </c>
      <c r="G792" s="401">
        <f t="shared" si="53"/>
        <v>865.1</v>
      </c>
      <c r="H792" s="402">
        <f t="shared" si="54"/>
        <v>86918.956800000044</v>
      </c>
      <c r="I792" s="402">
        <f t="shared" si="55"/>
        <v>1308169.6160000002</v>
      </c>
    </row>
    <row r="793" spans="2:9" hidden="1">
      <c r="B793" s="156">
        <v>45128</v>
      </c>
      <c r="C793" s="255" t="s">
        <v>1321</v>
      </c>
      <c r="D793" s="402">
        <f t="shared" si="52"/>
        <v>1221250.6592000001</v>
      </c>
      <c r="E793" s="376">
        <v>807.62</v>
      </c>
      <c r="F793" s="401">
        <v>1512.16</v>
      </c>
      <c r="G793" s="401">
        <f t="shared" si="53"/>
        <v>865.1</v>
      </c>
      <c r="H793" s="402">
        <f t="shared" si="54"/>
        <v>86918.956800000044</v>
      </c>
      <c r="I793" s="402">
        <f t="shared" si="55"/>
        <v>1308169.6160000002</v>
      </c>
    </row>
    <row r="794" spans="2:9" hidden="1">
      <c r="B794" s="156">
        <v>45128</v>
      </c>
      <c r="C794" s="255" t="s">
        <v>1322</v>
      </c>
      <c r="D794" s="402">
        <f t="shared" si="52"/>
        <v>2930691.4560000002</v>
      </c>
      <c r="E794" s="376">
        <v>807.62</v>
      </c>
      <c r="F794" s="401">
        <v>3628.8</v>
      </c>
      <c r="G794" s="401">
        <f t="shared" si="53"/>
        <v>865.1</v>
      </c>
      <c r="H794" s="402">
        <f t="shared" si="54"/>
        <v>208583.42400000012</v>
      </c>
      <c r="I794" s="402">
        <f t="shared" si="55"/>
        <v>3139274.8800000004</v>
      </c>
    </row>
    <row r="795" spans="2:9" hidden="1">
      <c r="B795" s="156">
        <v>45128</v>
      </c>
      <c r="C795" s="255" t="s">
        <v>1323</v>
      </c>
      <c r="D795" s="402">
        <f t="shared" si="52"/>
        <v>939488.1936</v>
      </c>
      <c r="E795" s="376">
        <v>807.62</v>
      </c>
      <c r="F795" s="401">
        <v>1163.28</v>
      </c>
      <c r="G795" s="401">
        <f t="shared" si="53"/>
        <v>865.1</v>
      </c>
      <c r="H795" s="402">
        <f t="shared" si="54"/>
        <v>66865.334400000051</v>
      </c>
      <c r="I795" s="402">
        <f t="shared" si="55"/>
        <v>1006353.528</v>
      </c>
    </row>
    <row r="796" spans="2:9" hidden="1">
      <c r="B796" s="156">
        <v>45128</v>
      </c>
      <c r="C796" s="255" t="s">
        <v>1324</v>
      </c>
      <c r="D796" s="402">
        <f t="shared" si="52"/>
        <v>1099978.44</v>
      </c>
      <c r="E796" s="376">
        <v>807.62</v>
      </c>
      <c r="F796" s="401">
        <v>1362</v>
      </c>
      <c r="G796" s="401">
        <f t="shared" si="53"/>
        <v>865.1</v>
      </c>
      <c r="H796" s="402">
        <f t="shared" si="54"/>
        <v>78287.760000000009</v>
      </c>
      <c r="I796" s="402">
        <f t="shared" si="55"/>
        <v>1178266.2</v>
      </c>
    </row>
    <row r="797" spans="2:9" hidden="1">
      <c r="B797" s="156">
        <v>45128</v>
      </c>
      <c r="C797" s="255" t="s">
        <v>1325</v>
      </c>
      <c r="D797" s="402">
        <f t="shared" si="52"/>
        <v>1221250.6592000001</v>
      </c>
      <c r="E797" s="376">
        <v>807.62</v>
      </c>
      <c r="F797" s="401">
        <v>1512.16</v>
      </c>
      <c r="G797" s="401">
        <f t="shared" si="53"/>
        <v>865.1</v>
      </c>
      <c r="H797" s="402">
        <f t="shared" si="54"/>
        <v>86918.956800000044</v>
      </c>
      <c r="I797" s="402">
        <f t="shared" si="55"/>
        <v>1308169.6160000002</v>
      </c>
    </row>
    <row r="798" spans="2:9" hidden="1">
      <c r="B798" s="156">
        <v>45128</v>
      </c>
      <c r="C798" s="255" t="s">
        <v>1326</v>
      </c>
      <c r="D798" s="402">
        <f t="shared" si="52"/>
        <v>7840471.874400001</v>
      </c>
      <c r="E798" s="376">
        <v>807.62</v>
      </c>
      <c r="F798" s="401">
        <v>9708.1200000000008</v>
      </c>
      <c r="G798" s="401">
        <f t="shared" si="53"/>
        <v>865.1</v>
      </c>
      <c r="H798" s="402">
        <f t="shared" si="54"/>
        <v>558022.73760000058</v>
      </c>
      <c r="I798" s="402">
        <f t="shared" si="55"/>
        <v>8398494.6120000016</v>
      </c>
    </row>
    <row r="799" spans="2:9" hidden="1">
      <c r="B799" s="156">
        <v>45128</v>
      </c>
      <c r="C799" s="255" t="s">
        <v>1327</v>
      </c>
      <c r="D799" s="402">
        <f t="shared" si="52"/>
        <v>1221250.6592000001</v>
      </c>
      <c r="E799" s="376">
        <v>807.62</v>
      </c>
      <c r="F799" s="401">
        <v>1512.16</v>
      </c>
      <c r="G799" s="401">
        <f t="shared" si="53"/>
        <v>865.1</v>
      </c>
      <c r="H799" s="402">
        <f t="shared" si="54"/>
        <v>86918.956800000044</v>
      </c>
      <c r="I799" s="402">
        <f t="shared" si="55"/>
        <v>1308169.6160000002</v>
      </c>
    </row>
    <row r="800" spans="2:9" hidden="1">
      <c r="B800" s="156">
        <v>45128</v>
      </c>
      <c r="C800" s="255" t="s">
        <v>1328</v>
      </c>
      <c r="D800" s="402">
        <f t="shared" si="52"/>
        <v>1221250.6592000001</v>
      </c>
      <c r="E800" s="376">
        <v>807.62</v>
      </c>
      <c r="F800" s="401">
        <v>1512.16</v>
      </c>
      <c r="G800" s="401">
        <f t="shared" si="53"/>
        <v>865.1</v>
      </c>
      <c r="H800" s="402">
        <f t="shared" si="54"/>
        <v>86918.956800000044</v>
      </c>
      <c r="I800" s="402">
        <f t="shared" si="55"/>
        <v>1308169.6160000002</v>
      </c>
    </row>
    <row r="801" spans="2:9" hidden="1">
      <c r="B801" s="156">
        <v>45128</v>
      </c>
      <c r="C801" s="255" t="s">
        <v>1329</v>
      </c>
      <c r="D801" s="402">
        <f t="shared" si="52"/>
        <v>3719187.0143999998</v>
      </c>
      <c r="E801" s="376">
        <v>807.62</v>
      </c>
      <c r="F801" s="401">
        <v>4605.12</v>
      </c>
      <c r="G801" s="401">
        <f t="shared" si="53"/>
        <v>865.1</v>
      </c>
      <c r="H801" s="402">
        <f t="shared" si="54"/>
        <v>264702.29760000017</v>
      </c>
      <c r="I801" s="402">
        <f t="shared" si="55"/>
        <v>3983889.3119999999</v>
      </c>
    </row>
    <row r="802" spans="2:9" hidden="1">
      <c r="B802" s="156">
        <v>45128</v>
      </c>
      <c r="C802" s="255" t="s">
        <v>1330</v>
      </c>
      <c r="D802" s="402">
        <f t="shared" si="52"/>
        <v>11170111.458000001</v>
      </c>
      <c r="E802" s="376">
        <v>807.62</v>
      </c>
      <c r="F802" s="401">
        <v>13830.9</v>
      </c>
      <c r="G802" s="401">
        <f t="shared" si="53"/>
        <v>865.1</v>
      </c>
      <c r="H802" s="402">
        <f t="shared" si="54"/>
        <v>795000.13199999928</v>
      </c>
      <c r="I802" s="402">
        <f t="shared" si="55"/>
        <v>11965111.59</v>
      </c>
    </row>
    <row r="803" spans="2:9" hidden="1">
      <c r="B803" s="156">
        <v>45128</v>
      </c>
      <c r="C803" s="255" t="s">
        <v>1331</v>
      </c>
      <c r="D803" s="402">
        <f t="shared" si="52"/>
        <v>21260434.976</v>
      </c>
      <c r="E803" s="376">
        <v>807.62</v>
      </c>
      <c r="F803" s="401">
        <v>26324.799999999999</v>
      </c>
      <c r="G803" s="401">
        <f t="shared" si="53"/>
        <v>865.1</v>
      </c>
      <c r="H803" s="402">
        <f t="shared" si="54"/>
        <v>1513149.5040000007</v>
      </c>
      <c r="I803" s="402">
        <f t="shared" si="55"/>
        <v>22773584.48</v>
      </c>
    </row>
    <row r="804" spans="2:9" hidden="1">
      <c r="B804" s="156">
        <v>45132</v>
      </c>
      <c r="C804" s="255" t="s">
        <v>1332</v>
      </c>
      <c r="D804" s="402">
        <f t="shared" si="52"/>
        <v>8566969.4639999997</v>
      </c>
      <c r="E804" s="376">
        <v>827.1</v>
      </c>
      <c r="F804" s="401">
        <v>10357.84</v>
      </c>
      <c r="G804" s="401">
        <f t="shared" si="53"/>
        <v>865.1</v>
      </c>
      <c r="H804" s="402">
        <f t="shared" si="54"/>
        <v>393597.91999999993</v>
      </c>
      <c r="I804" s="402">
        <f t="shared" si="55"/>
        <v>8960567.3839999996</v>
      </c>
    </row>
    <row r="805" spans="2:9" hidden="1">
      <c r="B805" s="156">
        <v>45132</v>
      </c>
      <c r="C805" s="255" t="s">
        <v>1333</v>
      </c>
      <c r="D805" s="402">
        <f t="shared" si="52"/>
        <v>2786996.16</v>
      </c>
      <c r="E805" s="376">
        <v>827.1</v>
      </c>
      <c r="F805" s="401">
        <v>3369.6</v>
      </c>
      <c r="G805" s="401">
        <f t="shared" si="53"/>
        <v>865.1</v>
      </c>
      <c r="H805" s="402">
        <f t="shared" si="54"/>
        <v>128044.79999999981</v>
      </c>
      <c r="I805" s="402">
        <f t="shared" si="55"/>
        <v>2915040.96</v>
      </c>
    </row>
    <row r="806" spans="2:9" hidden="1">
      <c r="B806" s="156">
        <v>45132</v>
      </c>
      <c r="C806" s="255" t="s">
        <v>1334</v>
      </c>
      <c r="D806" s="402">
        <f t="shared" si="52"/>
        <v>26607277.655999999</v>
      </c>
      <c r="E806" s="376">
        <v>827.1</v>
      </c>
      <c r="F806" s="401">
        <v>32169.360000000001</v>
      </c>
      <c r="G806" s="401">
        <f t="shared" si="53"/>
        <v>865.1</v>
      </c>
      <c r="H806" s="402">
        <f t="shared" si="54"/>
        <v>1222435.6800000034</v>
      </c>
      <c r="I806" s="402">
        <f t="shared" si="55"/>
        <v>27829713.336000003</v>
      </c>
    </row>
    <row r="807" spans="2:9" hidden="1">
      <c r="B807" s="156">
        <v>45132</v>
      </c>
      <c r="C807" s="255" t="s">
        <v>1335</v>
      </c>
      <c r="D807" s="402">
        <f t="shared" si="52"/>
        <v>1214182.8</v>
      </c>
      <c r="E807" s="376">
        <v>827.1</v>
      </c>
      <c r="F807" s="401">
        <v>1468</v>
      </c>
      <c r="G807" s="401">
        <f t="shared" si="53"/>
        <v>865.1</v>
      </c>
      <c r="H807" s="402">
        <f>+I807-D807</f>
        <v>55784</v>
      </c>
      <c r="I807" s="402">
        <f>+F807*G807</f>
        <v>1269966.8</v>
      </c>
    </row>
    <row r="808" spans="2:9" hidden="1">
      <c r="B808" s="156">
        <v>45138</v>
      </c>
      <c r="C808" s="255" t="s">
        <v>673</v>
      </c>
      <c r="D808" s="402">
        <f t="shared" si="52"/>
        <v>-61013715.631524816</v>
      </c>
      <c r="E808" s="376">
        <v>840.69</v>
      </c>
      <c r="F808" s="401">
        <v>-72575.759948999999</v>
      </c>
      <c r="G808" s="401">
        <f t="shared" si="53"/>
        <v>865.1</v>
      </c>
      <c r="H808" s="402">
        <f>+I808-D808</f>
        <v>-1771574.3003550842</v>
      </c>
      <c r="I808" s="402">
        <f>+F808*G808</f>
        <v>-62785289.9318799</v>
      </c>
    </row>
    <row r="809" spans="2:9" hidden="1">
      <c r="B809" s="156">
        <v>45165</v>
      </c>
      <c r="C809" s="255" t="s">
        <v>1361</v>
      </c>
      <c r="D809" s="402">
        <v>1254802</v>
      </c>
      <c r="E809" s="376">
        <f>D809/F809</f>
        <v>854.76975476839232</v>
      </c>
      <c r="F809" s="401">
        <v>1468</v>
      </c>
      <c r="G809" s="401">
        <f t="shared" si="53"/>
        <v>865.1</v>
      </c>
      <c r="H809" s="402">
        <f t="shared" ref="H809:H852" si="56">+I809-D809</f>
        <v>15164.800000000047</v>
      </c>
      <c r="I809" s="402">
        <f t="shared" ref="I809:I852" si="57">+F809*G809</f>
        <v>1269966.8</v>
      </c>
    </row>
    <row r="810" spans="2:9" hidden="1">
      <c r="B810" s="156">
        <v>45148</v>
      </c>
      <c r="C810" s="255" t="s">
        <v>1362</v>
      </c>
      <c r="D810" s="402">
        <v>1418694</v>
      </c>
      <c r="E810" s="376">
        <f t="shared" ref="E810:E851" si="58">D810/F810</f>
        <v>858.68004696824801</v>
      </c>
      <c r="F810" s="401">
        <v>1652.18</v>
      </c>
      <c r="G810" s="401">
        <f t="shared" si="53"/>
        <v>865.1</v>
      </c>
      <c r="H810" s="402">
        <f t="shared" si="56"/>
        <v>10606.918000000063</v>
      </c>
      <c r="I810" s="402">
        <f t="shared" si="57"/>
        <v>1429300.9180000001</v>
      </c>
    </row>
    <row r="811" spans="2:9" hidden="1">
      <c r="B811" s="156">
        <v>45148</v>
      </c>
      <c r="C811" s="255" t="s">
        <v>1363</v>
      </c>
      <c r="D811" s="402">
        <v>1359153</v>
      </c>
      <c r="E811" s="376">
        <f t="shared" si="58"/>
        <v>858.6799676530793</v>
      </c>
      <c r="F811" s="401">
        <v>1582.84</v>
      </c>
      <c r="G811" s="401">
        <f t="shared" si="53"/>
        <v>865.1</v>
      </c>
      <c r="H811" s="402">
        <f t="shared" si="56"/>
        <v>10161.884000000078</v>
      </c>
      <c r="I811" s="402">
        <f t="shared" si="57"/>
        <v>1369314.8840000001</v>
      </c>
    </row>
    <row r="812" spans="2:9" hidden="1">
      <c r="B812" s="156">
        <v>45148</v>
      </c>
      <c r="C812" s="255" t="s">
        <v>1364</v>
      </c>
      <c r="D812" s="402">
        <v>1092773</v>
      </c>
      <c r="E812" s="376">
        <f t="shared" si="58"/>
        <v>858.67973157737583</v>
      </c>
      <c r="F812" s="401">
        <v>1272.6199999999999</v>
      </c>
      <c r="G812" s="401">
        <f t="shared" si="53"/>
        <v>865.1</v>
      </c>
      <c r="H812" s="402">
        <f t="shared" si="56"/>
        <v>8170.561999999918</v>
      </c>
      <c r="I812" s="402">
        <f t="shared" si="57"/>
        <v>1100943.5619999999</v>
      </c>
    </row>
    <row r="813" spans="2:9" hidden="1">
      <c r="B813" s="156">
        <v>45148</v>
      </c>
      <c r="C813" s="255" t="s">
        <v>1365</v>
      </c>
      <c r="D813" s="402">
        <v>1196193</v>
      </c>
      <c r="E813" s="376">
        <f t="shared" si="58"/>
        <v>858.68017170832559</v>
      </c>
      <c r="F813" s="401">
        <v>1393.06</v>
      </c>
      <c r="G813" s="401">
        <f t="shared" si="53"/>
        <v>865.1</v>
      </c>
      <c r="H813" s="402">
        <f t="shared" si="56"/>
        <v>8943.2060000000056</v>
      </c>
      <c r="I813" s="402">
        <f t="shared" si="57"/>
        <v>1205136.206</v>
      </c>
    </row>
    <row r="814" spans="2:9" hidden="1">
      <c r="B814" s="156">
        <v>45148</v>
      </c>
      <c r="C814" s="255" t="s">
        <v>1366</v>
      </c>
      <c r="D814" s="402">
        <v>1097170</v>
      </c>
      <c r="E814" s="376">
        <f t="shared" si="58"/>
        <v>858.68016967458163</v>
      </c>
      <c r="F814" s="401">
        <v>1277.74</v>
      </c>
      <c r="G814" s="401">
        <f t="shared" si="53"/>
        <v>865.1</v>
      </c>
      <c r="H814" s="402">
        <f t="shared" si="56"/>
        <v>8202.8740000000689</v>
      </c>
      <c r="I814" s="402">
        <f t="shared" si="57"/>
        <v>1105372.8740000001</v>
      </c>
    </row>
    <row r="815" spans="2:9" hidden="1">
      <c r="B815" s="156">
        <v>45148</v>
      </c>
      <c r="C815" s="255" t="s">
        <v>1367</v>
      </c>
      <c r="D815" s="402">
        <v>1097170</v>
      </c>
      <c r="E815" s="376">
        <f t="shared" si="58"/>
        <v>858.68016967458163</v>
      </c>
      <c r="F815" s="401">
        <v>1277.74</v>
      </c>
      <c r="G815" s="401">
        <f t="shared" si="53"/>
        <v>865.1</v>
      </c>
      <c r="H815" s="402">
        <f t="shared" si="56"/>
        <v>8202.8740000000689</v>
      </c>
      <c r="I815" s="402">
        <f t="shared" si="57"/>
        <v>1105372.8740000001</v>
      </c>
    </row>
    <row r="816" spans="2:9" hidden="1">
      <c r="B816" s="156">
        <v>45148</v>
      </c>
      <c r="C816" s="255" t="s">
        <v>1368</v>
      </c>
      <c r="D816" s="402">
        <v>1413473</v>
      </c>
      <c r="E816" s="376">
        <f t="shared" si="58"/>
        <v>858.67991009051707</v>
      </c>
      <c r="F816" s="401">
        <v>1646.1</v>
      </c>
      <c r="G816" s="401">
        <f t="shared" si="53"/>
        <v>865.1</v>
      </c>
      <c r="H816" s="402">
        <f t="shared" si="56"/>
        <v>10568.10999999987</v>
      </c>
      <c r="I816" s="402">
        <f t="shared" si="57"/>
        <v>1424041.1099999999</v>
      </c>
    </row>
    <row r="817" spans="2:9" hidden="1">
      <c r="B817" s="156">
        <v>45148</v>
      </c>
      <c r="C817" s="255" t="s">
        <v>1369</v>
      </c>
      <c r="D817" s="402">
        <v>1092773</v>
      </c>
      <c r="E817" s="376">
        <f t="shared" si="58"/>
        <v>858.67973157737583</v>
      </c>
      <c r="F817" s="401">
        <v>1272.6199999999999</v>
      </c>
      <c r="G817" s="401">
        <f t="shared" si="53"/>
        <v>865.1</v>
      </c>
      <c r="H817" s="402">
        <f t="shared" si="56"/>
        <v>8170.561999999918</v>
      </c>
      <c r="I817" s="402">
        <f t="shared" si="57"/>
        <v>1100943.5619999999</v>
      </c>
    </row>
    <row r="818" spans="2:9" hidden="1">
      <c r="B818" s="156">
        <v>45148</v>
      </c>
      <c r="C818" s="255" t="s">
        <v>1370</v>
      </c>
      <c r="D818" s="402">
        <v>575676</v>
      </c>
      <c r="E818" s="376">
        <f t="shared" si="58"/>
        <v>858.67963366248034</v>
      </c>
      <c r="F818" s="401">
        <v>670.42</v>
      </c>
      <c r="G818" s="401">
        <f t="shared" si="53"/>
        <v>865.1</v>
      </c>
      <c r="H818" s="402">
        <f t="shared" si="56"/>
        <v>4304.341999999946</v>
      </c>
      <c r="I818" s="402">
        <f t="shared" si="57"/>
        <v>579980.34199999995</v>
      </c>
    </row>
    <row r="819" spans="2:9" hidden="1">
      <c r="B819" s="156">
        <v>45148</v>
      </c>
      <c r="C819" s="255" t="s">
        <v>1371</v>
      </c>
      <c r="D819" s="402">
        <v>837797</v>
      </c>
      <c r="E819" s="376">
        <f t="shared" si="58"/>
        <v>858.68010003279767</v>
      </c>
      <c r="F819" s="401">
        <v>975.68</v>
      </c>
      <c r="G819" s="401">
        <f t="shared" si="53"/>
        <v>865.1</v>
      </c>
      <c r="H819" s="402">
        <f t="shared" si="56"/>
        <v>6263.7679999999236</v>
      </c>
      <c r="I819" s="402">
        <f t="shared" si="57"/>
        <v>844060.76799999992</v>
      </c>
    </row>
    <row r="820" spans="2:9" hidden="1">
      <c r="B820" s="156">
        <v>45148</v>
      </c>
      <c r="C820" s="255" t="s">
        <v>1372</v>
      </c>
      <c r="D820" s="402">
        <v>42929964</v>
      </c>
      <c r="E820" s="376">
        <f t="shared" si="58"/>
        <v>858.67999591961643</v>
      </c>
      <c r="F820" s="401">
        <v>49995.3</v>
      </c>
      <c r="G820" s="401">
        <f t="shared" si="53"/>
        <v>865.1</v>
      </c>
      <c r="H820" s="402">
        <f t="shared" si="56"/>
        <v>320970.03000000119</v>
      </c>
      <c r="I820" s="402">
        <f t="shared" si="57"/>
        <v>43250934.030000001</v>
      </c>
    </row>
    <row r="821" spans="2:9" hidden="1">
      <c r="B821" s="156">
        <v>45148</v>
      </c>
      <c r="C821" s="255" t="s">
        <v>1373</v>
      </c>
      <c r="D821" s="402">
        <v>7127817</v>
      </c>
      <c r="E821" s="376">
        <f t="shared" si="58"/>
        <v>858.68002264814663</v>
      </c>
      <c r="F821" s="401">
        <v>8300.9</v>
      </c>
      <c r="G821" s="401">
        <f t="shared" si="53"/>
        <v>865.1</v>
      </c>
      <c r="H821" s="402">
        <f t="shared" si="56"/>
        <v>53291.589999999851</v>
      </c>
      <c r="I821" s="402">
        <f t="shared" si="57"/>
        <v>7181108.5899999999</v>
      </c>
    </row>
    <row r="822" spans="2:9" hidden="1">
      <c r="B822" s="156">
        <v>45148</v>
      </c>
      <c r="C822" s="255" t="s">
        <v>1374</v>
      </c>
      <c r="D822" s="402">
        <v>7127817</v>
      </c>
      <c r="E822" s="376">
        <f t="shared" si="58"/>
        <v>858.68002264814663</v>
      </c>
      <c r="F822" s="401">
        <v>8300.9</v>
      </c>
      <c r="G822" s="401">
        <f t="shared" si="53"/>
        <v>865.1</v>
      </c>
      <c r="H822" s="402">
        <f t="shared" si="56"/>
        <v>53291.589999999851</v>
      </c>
      <c r="I822" s="402">
        <f t="shared" si="57"/>
        <v>7181108.5899999999</v>
      </c>
    </row>
    <row r="823" spans="2:9" hidden="1">
      <c r="B823" s="156">
        <v>45148</v>
      </c>
      <c r="C823" s="255" t="s">
        <v>1375</v>
      </c>
      <c r="D823" s="402">
        <v>6182427</v>
      </c>
      <c r="E823" s="376">
        <f t="shared" si="58"/>
        <v>858.67995755508389</v>
      </c>
      <c r="F823" s="401">
        <v>7199.92</v>
      </c>
      <c r="G823" s="401">
        <f t="shared" si="53"/>
        <v>865.1</v>
      </c>
      <c r="H823" s="402">
        <f t="shared" si="56"/>
        <v>46223.792000000365</v>
      </c>
      <c r="I823" s="402">
        <f t="shared" si="57"/>
        <v>6228650.7920000004</v>
      </c>
    </row>
    <row r="824" spans="2:9" hidden="1">
      <c r="B824" s="156">
        <v>45148</v>
      </c>
      <c r="C824" s="255" t="s">
        <v>1376</v>
      </c>
      <c r="D824" s="402">
        <v>7127817</v>
      </c>
      <c r="E824" s="376">
        <f t="shared" si="58"/>
        <v>858.68002264814663</v>
      </c>
      <c r="F824" s="401">
        <v>8300.9</v>
      </c>
      <c r="G824" s="401">
        <f t="shared" si="53"/>
        <v>865.1</v>
      </c>
      <c r="H824" s="402">
        <f t="shared" si="56"/>
        <v>53291.589999999851</v>
      </c>
      <c r="I824" s="402">
        <f t="shared" si="57"/>
        <v>7181108.5899999999</v>
      </c>
    </row>
    <row r="825" spans="2:9" hidden="1">
      <c r="B825" s="156">
        <v>45148</v>
      </c>
      <c r="C825" s="255" t="s">
        <v>1377</v>
      </c>
      <c r="D825" s="402">
        <v>4940278</v>
      </c>
      <c r="E825" s="376">
        <f t="shared" si="58"/>
        <v>858.6800015295463</v>
      </c>
      <c r="F825" s="401">
        <v>5753.34</v>
      </c>
      <c r="G825" s="401">
        <f t="shared" si="53"/>
        <v>865.1</v>
      </c>
      <c r="H825" s="402">
        <f t="shared" si="56"/>
        <v>36936.434000000358</v>
      </c>
      <c r="I825" s="402">
        <f t="shared" si="57"/>
        <v>4977214.4340000004</v>
      </c>
    </row>
    <row r="826" spans="2:9" hidden="1">
      <c r="B826" s="156">
        <v>45148</v>
      </c>
      <c r="C826" s="255" t="s">
        <v>1378</v>
      </c>
      <c r="D826" s="402">
        <v>6642525</v>
      </c>
      <c r="E826" s="376">
        <f t="shared" si="58"/>
        <v>858.67997114691036</v>
      </c>
      <c r="F826" s="401">
        <v>7735.74</v>
      </c>
      <c r="G826" s="401">
        <f t="shared" si="53"/>
        <v>865.1</v>
      </c>
      <c r="H826" s="402">
        <f t="shared" si="56"/>
        <v>49663.67399999965</v>
      </c>
      <c r="I826" s="402">
        <f t="shared" si="57"/>
        <v>6692188.6739999996</v>
      </c>
    </row>
    <row r="827" spans="2:9" hidden="1">
      <c r="B827" s="156">
        <v>45148</v>
      </c>
      <c r="C827" s="255" t="s">
        <v>1379</v>
      </c>
      <c r="D827" s="402">
        <v>7127817</v>
      </c>
      <c r="E827" s="376">
        <f t="shared" si="58"/>
        <v>858.68002264814663</v>
      </c>
      <c r="F827" s="401">
        <v>8300.9</v>
      </c>
      <c r="G827" s="401">
        <f t="shared" si="53"/>
        <v>865.1</v>
      </c>
      <c r="H827" s="402">
        <f t="shared" si="56"/>
        <v>53291.589999999851</v>
      </c>
      <c r="I827" s="402">
        <f t="shared" si="57"/>
        <v>7181108.5899999999</v>
      </c>
    </row>
    <row r="828" spans="2:9" hidden="1">
      <c r="B828" s="156">
        <v>45148</v>
      </c>
      <c r="C828" s="255" t="s">
        <v>1380</v>
      </c>
      <c r="D828" s="402">
        <v>5965593</v>
      </c>
      <c r="E828" s="376">
        <f t="shared" si="58"/>
        <v>858.67993781846451</v>
      </c>
      <c r="F828" s="401">
        <v>6947.4</v>
      </c>
      <c r="G828" s="401">
        <f t="shared" si="53"/>
        <v>865.1</v>
      </c>
      <c r="H828" s="402">
        <f t="shared" si="56"/>
        <v>44602.740000000224</v>
      </c>
      <c r="I828" s="402">
        <f t="shared" si="57"/>
        <v>6010195.7400000002</v>
      </c>
    </row>
    <row r="829" spans="2:9" hidden="1">
      <c r="B829" s="156">
        <v>45148</v>
      </c>
      <c r="C829" s="255" t="s">
        <v>1381</v>
      </c>
      <c r="D829" s="402">
        <v>7127817</v>
      </c>
      <c r="E829" s="376">
        <f t="shared" si="58"/>
        <v>858.68002264814663</v>
      </c>
      <c r="F829" s="401">
        <v>8300.9</v>
      </c>
      <c r="G829" s="401">
        <f t="shared" si="53"/>
        <v>865.1</v>
      </c>
      <c r="H829" s="402">
        <f t="shared" si="56"/>
        <v>53291.589999999851</v>
      </c>
      <c r="I829" s="402">
        <f t="shared" si="57"/>
        <v>7181108.5899999999</v>
      </c>
    </row>
    <row r="830" spans="2:9" hidden="1">
      <c r="B830" s="156">
        <v>45167</v>
      </c>
      <c r="C830" s="255" t="s">
        <v>1382</v>
      </c>
      <c r="D830" s="402">
        <v>639158</v>
      </c>
      <c r="E830" s="376">
        <f t="shared" si="58"/>
        <v>848.86049723756901</v>
      </c>
      <c r="F830" s="401">
        <v>752.96</v>
      </c>
      <c r="G830" s="401">
        <f t="shared" si="53"/>
        <v>865.1</v>
      </c>
      <c r="H830" s="402">
        <f t="shared" si="56"/>
        <v>12227.695999999996</v>
      </c>
      <c r="I830" s="402">
        <f t="shared" si="57"/>
        <v>651385.696</v>
      </c>
    </row>
    <row r="831" spans="2:9" hidden="1">
      <c r="B831" s="156">
        <v>45167</v>
      </c>
      <c r="C831" s="255" t="s">
        <v>1383</v>
      </c>
      <c r="D831" s="402">
        <v>853953</v>
      </c>
      <c r="E831" s="376">
        <f t="shared" si="58"/>
        <v>848.85984095427432</v>
      </c>
      <c r="F831" s="401">
        <v>1006</v>
      </c>
      <c r="G831" s="401">
        <f t="shared" si="53"/>
        <v>865.1</v>
      </c>
      <c r="H831" s="402">
        <f t="shared" si="56"/>
        <v>16337.599999999977</v>
      </c>
      <c r="I831" s="402">
        <f t="shared" si="57"/>
        <v>870290.6</v>
      </c>
    </row>
    <row r="832" spans="2:9" hidden="1">
      <c r="B832" s="156">
        <v>45167</v>
      </c>
      <c r="C832" s="255" t="s">
        <v>1384</v>
      </c>
      <c r="D832" s="402">
        <v>1068746</v>
      </c>
      <c r="E832" s="376">
        <f t="shared" si="58"/>
        <v>848.85785995679248</v>
      </c>
      <c r="F832" s="401">
        <v>1259.04</v>
      </c>
      <c r="G832" s="401">
        <f t="shared" si="53"/>
        <v>865.1</v>
      </c>
      <c r="H832" s="402">
        <f t="shared" si="56"/>
        <v>20449.503999999957</v>
      </c>
      <c r="I832" s="402">
        <f t="shared" si="57"/>
        <v>1089195.504</v>
      </c>
    </row>
    <row r="833" spans="2:9" hidden="1">
      <c r="B833" s="156">
        <v>45167</v>
      </c>
      <c r="C833" s="255" t="s">
        <v>1385</v>
      </c>
      <c r="D833" s="402">
        <v>1068749</v>
      </c>
      <c r="E833" s="376">
        <f t="shared" si="58"/>
        <v>848.86024272461566</v>
      </c>
      <c r="F833" s="401">
        <v>1259.04</v>
      </c>
      <c r="G833" s="401">
        <f t="shared" si="53"/>
        <v>865.1</v>
      </c>
      <c r="H833" s="402">
        <f t="shared" si="56"/>
        <v>20446.503999999957</v>
      </c>
      <c r="I833" s="402">
        <f t="shared" si="57"/>
        <v>1089195.504</v>
      </c>
    </row>
    <row r="834" spans="2:9" hidden="1">
      <c r="B834" s="156">
        <v>45167</v>
      </c>
      <c r="C834" s="255" t="s">
        <v>1386</v>
      </c>
      <c r="D834" s="402">
        <v>534374</v>
      </c>
      <c r="E834" s="376">
        <f t="shared" si="58"/>
        <v>848.8594484686746</v>
      </c>
      <c r="F834" s="401">
        <v>629.52</v>
      </c>
      <c r="G834" s="401">
        <f t="shared" si="53"/>
        <v>865.1</v>
      </c>
      <c r="H834" s="402">
        <f t="shared" si="56"/>
        <v>10223.751999999979</v>
      </c>
      <c r="I834" s="402">
        <f t="shared" si="57"/>
        <v>544597.75199999998</v>
      </c>
    </row>
    <row r="835" spans="2:9" hidden="1">
      <c r="B835" s="156">
        <v>45167</v>
      </c>
      <c r="C835" s="255" t="s">
        <v>1387</v>
      </c>
      <c r="D835" s="402">
        <v>814006</v>
      </c>
      <c r="E835" s="376">
        <f t="shared" si="58"/>
        <v>848.8601998039502</v>
      </c>
      <c r="F835" s="401">
        <v>958.94</v>
      </c>
      <c r="G835" s="401">
        <f t="shared" si="53"/>
        <v>865.1</v>
      </c>
      <c r="H835" s="402">
        <f t="shared" si="56"/>
        <v>15572.994000000064</v>
      </c>
      <c r="I835" s="402">
        <f t="shared" si="57"/>
        <v>829578.99400000006</v>
      </c>
    </row>
    <row r="836" spans="2:9" hidden="1">
      <c r="B836" s="156">
        <v>45167</v>
      </c>
      <c r="C836" s="255" t="s">
        <v>1388</v>
      </c>
      <c r="D836" s="402">
        <v>853953</v>
      </c>
      <c r="E836" s="376">
        <f t="shared" si="58"/>
        <v>848.85984095427432</v>
      </c>
      <c r="F836" s="401">
        <v>1006</v>
      </c>
      <c r="G836" s="401">
        <f t="shared" si="53"/>
        <v>865.1</v>
      </c>
      <c r="H836" s="402">
        <f t="shared" si="56"/>
        <v>16337.599999999977</v>
      </c>
      <c r="I836" s="402">
        <f t="shared" si="57"/>
        <v>870290.6</v>
      </c>
    </row>
    <row r="837" spans="2:9" hidden="1">
      <c r="B837" s="156">
        <v>45167</v>
      </c>
      <c r="C837" s="255" t="s">
        <v>1389</v>
      </c>
      <c r="D837" s="402">
        <v>9448830</v>
      </c>
      <c r="E837" s="376">
        <f t="shared" si="58"/>
        <v>848.85996119016806</v>
      </c>
      <c r="F837" s="401">
        <v>11131.2</v>
      </c>
      <c r="G837" s="401">
        <f t="shared" si="53"/>
        <v>865.1</v>
      </c>
      <c r="H837" s="402">
        <f t="shared" si="56"/>
        <v>180771.12000000104</v>
      </c>
      <c r="I837" s="402">
        <f t="shared" si="57"/>
        <v>9629601.120000001</v>
      </c>
    </row>
    <row r="838" spans="2:9" hidden="1">
      <c r="B838" s="156">
        <v>45167</v>
      </c>
      <c r="C838" s="255" t="s">
        <v>1390</v>
      </c>
      <c r="D838" s="402">
        <v>1028801</v>
      </c>
      <c r="E838" s="376">
        <f t="shared" si="58"/>
        <v>848.85971715704875</v>
      </c>
      <c r="F838" s="401">
        <v>1211.98</v>
      </c>
      <c r="G838" s="401">
        <f t="shared" si="53"/>
        <v>865.1</v>
      </c>
      <c r="H838" s="402">
        <f t="shared" si="56"/>
        <v>19682.898000000045</v>
      </c>
      <c r="I838" s="402">
        <f t="shared" si="57"/>
        <v>1048483.898</v>
      </c>
    </row>
    <row r="839" spans="2:9" hidden="1">
      <c r="B839" s="156">
        <v>45167</v>
      </c>
      <c r="C839" s="255" t="s">
        <v>1391</v>
      </c>
      <c r="D839" s="402">
        <v>214798</v>
      </c>
      <c r="E839" s="376">
        <f t="shared" si="58"/>
        <v>848.86974391400577</v>
      </c>
      <c r="F839" s="401">
        <v>253.04</v>
      </c>
      <c r="G839" s="401">
        <f t="shared" si="53"/>
        <v>865.1</v>
      </c>
      <c r="H839" s="402">
        <f t="shared" si="56"/>
        <v>4106.9040000000095</v>
      </c>
      <c r="I839" s="402">
        <f t="shared" si="57"/>
        <v>218904.90400000001</v>
      </c>
    </row>
    <row r="840" spans="2:9" hidden="1">
      <c r="B840" s="156">
        <v>45167</v>
      </c>
      <c r="C840" s="255" t="s">
        <v>1392</v>
      </c>
      <c r="D840" s="402">
        <v>639157</v>
      </c>
      <c r="E840" s="376">
        <f t="shared" si="58"/>
        <v>848.85916914577126</v>
      </c>
      <c r="F840" s="401">
        <v>752.96</v>
      </c>
      <c r="G840" s="401">
        <f t="shared" si="53"/>
        <v>865.1</v>
      </c>
      <c r="H840" s="402">
        <f t="shared" si="56"/>
        <v>12228.695999999996</v>
      </c>
      <c r="I840" s="402">
        <f t="shared" si="57"/>
        <v>651385.696</v>
      </c>
    </row>
    <row r="841" spans="2:9" hidden="1">
      <c r="B841" s="156">
        <v>45167</v>
      </c>
      <c r="C841" s="255" t="s">
        <v>1393</v>
      </c>
      <c r="D841" s="402">
        <v>6208222</v>
      </c>
      <c r="E841" s="376">
        <f t="shared" si="58"/>
        <v>848.85993218114197</v>
      </c>
      <c r="F841" s="401">
        <v>7313.6</v>
      </c>
      <c r="G841" s="401">
        <f t="shared" si="53"/>
        <v>865.1</v>
      </c>
      <c r="H841" s="402">
        <f t="shared" si="56"/>
        <v>118773.36000000034</v>
      </c>
      <c r="I841" s="402">
        <f t="shared" si="57"/>
        <v>6326995.3600000003</v>
      </c>
    </row>
    <row r="842" spans="2:9" hidden="1">
      <c r="B842" s="156">
        <v>45167</v>
      </c>
      <c r="C842" s="255" t="s">
        <v>1394</v>
      </c>
      <c r="D842" s="402">
        <v>6208222</v>
      </c>
      <c r="E842" s="376">
        <f t="shared" si="58"/>
        <v>848.85993218114197</v>
      </c>
      <c r="F842" s="401">
        <v>7313.6</v>
      </c>
      <c r="G842" s="401">
        <f t="shared" si="53"/>
        <v>865.1</v>
      </c>
      <c r="H842" s="402">
        <f t="shared" si="56"/>
        <v>118773.36000000034</v>
      </c>
      <c r="I842" s="402">
        <f t="shared" si="57"/>
        <v>6326995.3600000003</v>
      </c>
    </row>
    <row r="843" spans="2:9" hidden="1">
      <c r="B843" s="156">
        <v>45167</v>
      </c>
      <c r="C843" s="255" t="s">
        <v>1395</v>
      </c>
      <c r="D843" s="402">
        <v>5333795</v>
      </c>
      <c r="E843" s="376">
        <f t="shared" si="58"/>
        <v>848.86002660945849</v>
      </c>
      <c r="F843" s="401">
        <v>6283.48</v>
      </c>
      <c r="G843" s="401">
        <f t="shared" si="53"/>
        <v>865.1</v>
      </c>
      <c r="H843" s="402">
        <f t="shared" si="56"/>
        <v>102043.54799999949</v>
      </c>
      <c r="I843" s="402">
        <f t="shared" si="57"/>
        <v>5435838.5479999995</v>
      </c>
    </row>
    <row r="844" spans="2:9" hidden="1">
      <c r="B844" s="156">
        <v>45167</v>
      </c>
      <c r="C844" s="255" t="s">
        <v>1396</v>
      </c>
      <c r="D844" s="402">
        <v>6208222</v>
      </c>
      <c r="E844" s="376">
        <f t="shared" si="58"/>
        <v>848.85993218114197</v>
      </c>
      <c r="F844" s="401">
        <v>7313.6</v>
      </c>
      <c r="G844" s="401">
        <f t="shared" ref="G844:G907" si="59">+G694</f>
        <v>865.1</v>
      </c>
      <c r="H844" s="402">
        <f t="shared" si="56"/>
        <v>118773.36000000034</v>
      </c>
      <c r="I844" s="402">
        <f t="shared" si="57"/>
        <v>6326995.3600000003</v>
      </c>
    </row>
    <row r="845" spans="2:9" hidden="1">
      <c r="B845" s="156">
        <v>45167</v>
      </c>
      <c r="C845" s="255" t="s">
        <v>1397</v>
      </c>
      <c r="D845" s="402">
        <v>45602830</v>
      </c>
      <c r="E845" s="376">
        <f t="shared" si="58"/>
        <v>848.85999221182055</v>
      </c>
      <c r="F845" s="401">
        <v>53722.44</v>
      </c>
      <c r="G845" s="401">
        <f t="shared" si="59"/>
        <v>865.1</v>
      </c>
      <c r="H845" s="402">
        <f t="shared" si="56"/>
        <v>872452.84400000423</v>
      </c>
      <c r="I845" s="402">
        <f t="shared" si="57"/>
        <v>46475282.844000004</v>
      </c>
    </row>
    <row r="846" spans="2:9" hidden="1">
      <c r="B846" s="156">
        <v>45167</v>
      </c>
      <c r="C846" s="255" t="s">
        <v>1398</v>
      </c>
      <c r="D846" s="402">
        <v>4531029</v>
      </c>
      <c r="E846" s="376">
        <f t="shared" si="58"/>
        <v>848.8602003079933</v>
      </c>
      <c r="F846" s="401">
        <v>5337.78</v>
      </c>
      <c r="G846" s="401">
        <f t="shared" si="59"/>
        <v>865.1</v>
      </c>
      <c r="H846" s="402">
        <f t="shared" si="56"/>
        <v>86684.478000000119</v>
      </c>
      <c r="I846" s="402">
        <f t="shared" si="57"/>
        <v>4617713.4780000001</v>
      </c>
    </row>
    <row r="847" spans="2:9" hidden="1">
      <c r="B847" s="156">
        <v>45167</v>
      </c>
      <c r="C847" s="255" t="s">
        <v>1399</v>
      </c>
      <c r="D847" s="402">
        <v>5721690</v>
      </c>
      <c r="E847" s="376">
        <f t="shared" si="58"/>
        <v>848.86001507319997</v>
      </c>
      <c r="F847" s="401">
        <v>6740.44</v>
      </c>
      <c r="G847" s="401">
        <f t="shared" si="59"/>
        <v>865.1</v>
      </c>
      <c r="H847" s="402">
        <f t="shared" si="56"/>
        <v>109464.64399999939</v>
      </c>
      <c r="I847" s="402">
        <f t="shared" si="57"/>
        <v>5831154.6439999994</v>
      </c>
    </row>
    <row r="848" spans="2:9" hidden="1">
      <c r="B848" s="156">
        <v>45167</v>
      </c>
      <c r="C848" s="255" t="s">
        <v>1400</v>
      </c>
      <c r="D848" s="402">
        <v>6208222</v>
      </c>
      <c r="E848" s="376">
        <f t="shared" si="58"/>
        <v>848.85993218114197</v>
      </c>
      <c r="F848" s="401">
        <v>7313.6</v>
      </c>
      <c r="G848" s="401">
        <f t="shared" si="59"/>
        <v>865.1</v>
      </c>
      <c r="H848" s="402">
        <f t="shared" si="56"/>
        <v>118773.36000000034</v>
      </c>
      <c r="I848" s="402">
        <f t="shared" si="57"/>
        <v>6326995.3600000003</v>
      </c>
    </row>
    <row r="849" spans="2:15" hidden="1">
      <c r="B849" s="156">
        <v>45167</v>
      </c>
      <c r="C849" s="255" t="s">
        <v>1401</v>
      </c>
      <c r="D849" s="402">
        <v>16778397</v>
      </c>
      <c r="E849" s="376">
        <f t="shared" si="58"/>
        <v>848.86000060710933</v>
      </c>
      <c r="F849" s="401">
        <v>19765.8</v>
      </c>
      <c r="G849" s="401">
        <f t="shared" si="59"/>
        <v>865.1</v>
      </c>
      <c r="H849" s="402">
        <f t="shared" si="56"/>
        <v>320996.57999999821</v>
      </c>
      <c r="I849" s="402">
        <f t="shared" si="57"/>
        <v>17099393.579999998</v>
      </c>
    </row>
    <row r="850" spans="2:15" hidden="1">
      <c r="B850" s="156">
        <v>45167</v>
      </c>
      <c r="C850" s="255" t="s">
        <v>1402</v>
      </c>
      <c r="D850" s="402">
        <v>5333799</v>
      </c>
      <c r="E850" s="376">
        <f t="shared" si="58"/>
        <v>848.86066319937368</v>
      </c>
      <c r="F850" s="401">
        <v>6283.48</v>
      </c>
      <c r="G850" s="401">
        <f t="shared" si="59"/>
        <v>865.1</v>
      </c>
      <c r="H850" s="402">
        <f t="shared" si="56"/>
        <v>102039.54799999949</v>
      </c>
      <c r="I850" s="402">
        <f t="shared" si="57"/>
        <v>5435838.5479999995</v>
      </c>
    </row>
    <row r="851" spans="2:15" hidden="1">
      <c r="B851" s="156">
        <v>45167</v>
      </c>
      <c r="C851" s="255" t="s">
        <v>1403</v>
      </c>
      <c r="D851" s="402">
        <v>6208222</v>
      </c>
      <c r="E851" s="376">
        <f t="shared" si="58"/>
        <v>848.85993218114197</v>
      </c>
      <c r="F851" s="401">
        <v>7313.6</v>
      </c>
      <c r="G851" s="401">
        <f t="shared" si="59"/>
        <v>865.1</v>
      </c>
      <c r="H851" s="402">
        <f t="shared" si="56"/>
        <v>118773.36000000034</v>
      </c>
      <c r="I851" s="402">
        <f t="shared" si="57"/>
        <v>6326995.3600000003</v>
      </c>
      <c r="M851" s="534"/>
      <c r="N851" s="534"/>
      <c r="O851" s="534"/>
    </row>
    <row r="852" spans="2:15" hidden="1">
      <c r="B852" s="156">
        <v>45169</v>
      </c>
      <c r="C852" s="255" t="s">
        <v>673</v>
      </c>
      <c r="D852" s="402">
        <v>-107345614</v>
      </c>
      <c r="E852" s="376">
        <v>853.86</v>
      </c>
      <c r="F852" s="401">
        <f>D852/E852</f>
        <v>-125718.04979739067</v>
      </c>
      <c r="G852" s="401">
        <f t="shared" si="59"/>
        <v>865.1</v>
      </c>
      <c r="H852" s="402">
        <f t="shared" si="56"/>
        <v>-1413070.8797226697</v>
      </c>
      <c r="I852" s="402">
        <f t="shared" si="57"/>
        <v>-108758684.87972267</v>
      </c>
      <c r="M852" s="535"/>
      <c r="N852" s="535"/>
      <c r="O852" s="535"/>
    </row>
    <row r="853" spans="2:15" hidden="1">
      <c r="B853" s="156">
        <v>45177</v>
      </c>
      <c r="C853" s="255" t="s">
        <v>1546</v>
      </c>
      <c r="D853" s="402">
        <v>1467456.3599999999</v>
      </c>
      <c r="E853" s="376">
        <v>879.77</v>
      </c>
      <c r="F853" s="401">
        <f t="shared" ref="F853:F864" si="60">D853/E853</f>
        <v>1668</v>
      </c>
      <c r="G853" s="401">
        <f t="shared" si="59"/>
        <v>865.1</v>
      </c>
      <c r="H853" s="402">
        <f t="shared" ref="H853:H864" si="61">+I853-D853</f>
        <v>-24469.559999999823</v>
      </c>
      <c r="I853" s="402">
        <f t="shared" ref="I853:I864" si="62">+F853*G853</f>
        <v>1442986.8</v>
      </c>
    </row>
    <row r="854" spans="2:15" hidden="1">
      <c r="B854" s="156">
        <v>45197</v>
      </c>
      <c r="C854" s="255" t="s">
        <v>1547</v>
      </c>
      <c r="D854" s="402">
        <v>1327982.1599999999</v>
      </c>
      <c r="E854" s="376">
        <v>904.62</v>
      </c>
      <c r="F854" s="401">
        <f t="shared" si="60"/>
        <v>1468</v>
      </c>
      <c r="G854" s="401">
        <f t="shared" si="59"/>
        <v>865.1</v>
      </c>
      <c r="H854" s="402">
        <f t="shared" si="61"/>
        <v>-58015.35999999987</v>
      </c>
      <c r="I854" s="402">
        <f t="shared" si="62"/>
        <v>1269966.8</v>
      </c>
    </row>
    <row r="855" spans="2:15" hidden="1">
      <c r="B855" s="156">
        <v>45197</v>
      </c>
      <c r="C855" s="255" t="s">
        <v>1548</v>
      </c>
      <c r="D855" s="402">
        <v>1327982.1599999999</v>
      </c>
      <c r="E855" s="376">
        <v>904.62</v>
      </c>
      <c r="F855" s="401">
        <f t="shared" si="60"/>
        <v>1468</v>
      </c>
      <c r="G855" s="401">
        <f t="shared" si="59"/>
        <v>865.1</v>
      </c>
      <c r="H855" s="402">
        <f t="shared" si="61"/>
        <v>-58015.35999999987</v>
      </c>
      <c r="I855" s="402">
        <f t="shared" si="62"/>
        <v>1269966.8</v>
      </c>
    </row>
    <row r="856" spans="2:15" hidden="1">
      <c r="B856" s="156">
        <v>45189</v>
      </c>
      <c r="C856" s="255" t="s">
        <v>1549</v>
      </c>
      <c r="D856" s="402">
        <v>38206989.925800003</v>
      </c>
      <c r="E856" s="376">
        <v>887.89</v>
      </c>
      <c r="F856" s="401">
        <f t="shared" si="60"/>
        <v>43031.22</v>
      </c>
      <c r="G856" s="401">
        <f t="shared" si="59"/>
        <v>865.1</v>
      </c>
      <c r="H856" s="402">
        <f t="shared" si="61"/>
        <v>-980681.50380000472</v>
      </c>
      <c r="I856" s="402">
        <f t="shared" si="62"/>
        <v>37226308.421999998</v>
      </c>
    </row>
    <row r="857" spans="2:15" hidden="1">
      <c r="B857" s="156">
        <v>45189</v>
      </c>
      <c r="C857" s="255" t="s">
        <v>1550</v>
      </c>
      <c r="D857" s="402">
        <v>86756850.641399994</v>
      </c>
      <c r="E857" s="376">
        <v>887.89</v>
      </c>
      <c r="F857" s="401">
        <f t="shared" si="60"/>
        <v>97711.26</v>
      </c>
      <c r="G857" s="401">
        <f t="shared" si="59"/>
        <v>865.1</v>
      </c>
      <c r="H857" s="402">
        <f t="shared" si="61"/>
        <v>-2226839.6154000014</v>
      </c>
      <c r="I857" s="402">
        <f t="shared" si="62"/>
        <v>84530011.025999993</v>
      </c>
    </row>
    <row r="858" spans="2:15" hidden="1">
      <c r="B858" s="156">
        <v>45191</v>
      </c>
      <c r="C858" s="255" t="s">
        <v>1555</v>
      </c>
      <c r="D858" s="402">
        <v>6832970.2980000004</v>
      </c>
      <c r="E858" s="376">
        <v>891.73</v>
      </c>
      <c r="F858" s="401">
        <f t="shared" si="60"/>
        <v>7662.6</v>
      </c>
      <c r="G858" s="401">
        <f t="shared" si="59"/>
        <v>865.1</v>
      </c>
      <c r="H858" s="402">
        <f t="shared" si="61"/>
        <v>-204055.03799999971</v>
      </c>
      <c r="I858" s="402">
        <f t="shared" si="62"/>
        <v>6628915.2600000007</v>
      </c>
    </row>
    <row r="859" spans="2:15" hidden="1">
      <c r="B859" s="156">
        <v>45191</v>
      </c>
      <c r="C859" s="255" t="s">
        <v>1556</v>
      </c>
      <c r="D859" s="402">
        <v>423215.05800000002</v>
      </c>
      <c r="E859" s="376">
        <v>891.73</v>
      </c>
      <c r="F859" s="401">
        <f t="shared" si="60"/>
        <v>474.6</v>
      </c>
      <c r="G859" s="401">
        <f t="shared" si="59"/>
        <v>865.1</v>
      </c>
      <c r="H859" s="402">
        <f t="shared" si="61"/>
        <v>-12638.597999999998</v>
      </c>
      <c r="I859" s="402">
        <f t="shared" si="62"/>
        <v>410576.46</v>
      </c>
    </row>
    <row r="860" spans="2:15" hidden="1">
      <c r="B860" s="156">
        <v>45191</v>
      </c>
      <c r="C860" s="255" t="s">
        <v>1557</v>
      </c>
      <c r="D860" s="402">
        <v>2086291.5079999999</v>
      </c>
      <c r="E860" s="376">
        <v>891.73</v>
      </c>
      <c r="F860" s="401">
        <f t="shared" si="60"/>
        <v>2339.6</v>
      </c>
      <c r="G860" s="401">
        <f t="shared" si="59"/>
        <v>865.1</v>
      </c>
      <c r="H860" s="402">
        <f t="shared" si="61"/>
        <v>-62303.547999999952</v>
      </c>
      <c r="I860" s="402">
        <f t="shared" si="62"/>
        <v>2023987.96</v>
      </c>
    </row>
    <row r="861" spans="2:15" hidden="1">
      <c r="B861" s="156">
        <v>45191</v>
      </c>
      <c r="C861" s="255" t="s">
        <v>1558</v>
      </c>
      <c r="D861" s="402">
        <v>4669722.4910000004</v>
      </c>
      <c r="E861" s="376">
        <v>891.73</v>
      </c>
      <c r="F861" s="401">
        <f t="shared" si="60"/>
        <v>5236.7000000000007</v>
      </c>
      <c r="G861" s="401">
        <f t="shared" si="59"/>
        <v>865.1</v>
      </c>
      <c r="H861" s="402">
        <f t="shared" si="61"/>
        <v>-139453.32099999953</v>
      </c>
      <c r="I861" s="402">
        <f t="shared" si="62"/>
        <v>4530269.1700000009</v>
      </c>
    </row>
    <row r="862" spans="2:15" hidden="1">
      <c r="B862" s="156">
        <v>45191</v>
      </c>
      <c r="C862" s="255" t="s">
        <v>1559</v>
      </c>
      <c r="D862" s="402">
        <v>5658026.8500000006</v>
      </c>
      <c r="E862" s="376">
        <v>891.73</v>
      </c>
      <c r="F862" s="401">
        <f t="shared" si="60"/>
        <v>6345.0000000000009</v>
      </c>
      <c r="G862" s="401">
        <f t="shared" si="59"/>
        <v>865.1</v>
      </c>
      <c r="H862" s="402">
        <f t="shared" si="61"/>
        <v>-168967.34999999963</v>
      </c>
      <c r="I862" s="402">
        <f t="shared" si="62"/>
        <v>5489059.5000000009</v>
      </c>
    </row>
    <row r="863" spans="2:15" hidden="1">
      <c r="B863" s="156">
        <v>45191</v>
      </c>
      <c r="C863" s="255" t="s">
        <v>1560</v>
      </c>
      <c r="D863" s="402">
        <v>1779179.696</v>
      </c>
      <c r="E863" s="376">
        <v>891.73</v>
      </c>
      <c r="F863" s="401">
        <f t="shared" si="60"/>
        <v>1995.2</v>
      </c>
      <c r="G863" s="401">
        <f t="shared" si="59"/>
        <v>865.1</v>
      </c>
      <c r="H863" s="402">
        <f t="shared" si="61"/>
        <v>-53132.175999999978</v>
      </c>
      <c r="I863" s="402">
        <f t="shared" si="62"/>
        <v>1726047.52</v>
      </c>
      <c r="M863" s="535"/>
      <c r="N863" s="535"/>
      <c r="O863" s="535"/>
    </row>
    <row r="864" spans="2:15" hidden="1">
      <c r="B864" s="156">
        <v>45199</v>
      </c>
      <c r="C864" s="255" t="s">
        <v>673</v>
      </c>
      <c r="D864" s="402">
        <v>-234513239</v>
      </c>
      <c r="E864" s="376">
        <v>895.6</v>
      </c>
      <c r="F864" s="401">
        <f t="shared" si="60"/>
        <v>-261850.42317999105</v>
      </c>
      <c r="G864" s="401">
        <f t="shared" si="59"/>
        <v>865.1</v>
      </c>
      <c r="H864" s="402">
        <f t="shared" si="61"/>
        <v>7986437.9069897234</v>
      </c>
      <c r="I864" s="402">
        <f t="shared" si="62"/>
        <v>-226526801.09301028</v>
      </c>
      <c r="M864" s="535"/>
      <c r="N864" s="535"/>
      <c r="O864" s="535"/>
    </row>
    <row r="865" spans="2:15" hidden="1">
      <c r="B865" s="156">
        <v>45218</v>
      </c>
      <c r="C865" s="255" t="s">
        <v>1567</v>
      </c>
      <c r="D865" s="402">
        <f>E865*F865</f>
        <v>173383.85</v>
      </c>
      <c r="E865" s="376">
        <v>937.21</v>
      </c>
      <c r="F865" s="401">
        <v>185</v>
      </c>
      <c r="G865" s="401">
        <f t="shared" si="59"/>
        <v>865.1</v>
      </c>
      <c r="H865" s="402">
        <f t="shared" ref="H865:H880" si="63">+I865-D865</f>
        <v>-13340.350000000006</v>
      </c>
      <c r="I865" s="402">
        <f t="shared" ref="I865:I880" si="64">+F865*G865</f>
        <v>160043.5</v>
      </c>
      <c r="M865" s="535"/>
      <c r="N865" s="535"/>
      <c r="O865" s="535"/>
    </row>
    <row r="866" spans="2:15" hidden="1">
      <c r="B866" s="156">
        <v>45219</v>
      </c>
      <c r="C866" s="255" t="s">
        <v>1568</v>
      </c>
      <c r="D866" s="402">
        <f t="shared" ref="D866:D928" si="65">E866*F866</f>
        <v>11607044.4648</v>
      </c>
      <c r="E866" s="376">
        <v>940.46</v>
      </c>
      <c r="F866" s="401">
        <v>12341.88</v>
      </c>
      <c r="G866" s="401">
        <f t="shared" si="59"/>
        <v>865.1</v>
      </c>
      <c r="H866" s="402">
        <f t="shared" si="63"/>
        <v>-930084.07679999992</v>
      </c>
      <c r="I866" s="402">
        <f t="shared" si="64"/>
        <v>10676960.388</v>
      </c>
      <c r="M866" s="535"/>
      <c r="N866" s="535"/>
      <c r="O866" s="535"/>
    </row>
    <row r="867" spans="2:15" hidden="1">
      <c r="B867" s="156">
        <v>45219</v>
      </c>
      <c r="C867" s="255" t="s">
        <v>1569</v>
      </c>
      <c r="D867" s="402">
        <f t="shared" si="65"/>
        <v>12265610.9844</v>
      </c>
      <c r="E867" s="376">
        <v>940.46</v>
      </c>
      <c r="F867" s="401">
        <v>13042.14</v>
      </c>
      <c r="G867" s="401">
        <f t="shared" si="59"/>
        <v>865.1</v>
      </c>
      <c r="H867" s="402">
        <f t="shared" si="63"/>
        <v>-982855.67040000111</v>
      </c>
      <c r="I867" s="402">
        <f t="shared" si="64"/>
        <v>11282755.313999999</v>
      </c>
      <c r="M867" s="535"/>
      <c r="N867" s="535"/>
      <c r="O867" s="535"/>
    </row>
    <row r="868" spans="2:15" hidden="1">
      <c r="B868" s="156">
        <v>45219</v>
      </c>
      <c r="C868" s="255" t="s">
        <v>1570</v>
      </c>
      <c r="D868" s="402">
        <f t="shared" si="65"/>
        <v>13990264.150800001</v>
      </c>
      <c r="E868" s="376">
        <v>940.46</v>
      </c>
      <c r="F868" s="401">
        <v>14875.98</v>
      </c>
      <c r="G868" s="401">
        <f t="shared" si="59"/>
        <v>865.1</v>
      </c>
      <c r="H868" s="402">
        <f t="shared" si="63"/>
        <v>-1121053.8528000005</v>
      </c>
      <c r="I868" s="402">
        <f t="shared" si="64"/>
        <v>12869210.298</v>
      </c>
      <c r="M868" s="535"/>
      <c r="N868" s="535"/>
      <c r="O868" s="535"/>
    </row>
    <row r="869" spans="2:15" hidden="1">
      <c r="B869" s="156">
        <v>45219</v>
      </c>
      <c r="C869" s="255" t="s">
        <v>1571</v>
      </c>
      <c r="D869" s="402">
        <f t="shared" si="65"/>
        <v>11421566.943600001</v>
      </c>
      <c r="E869" s="376">
        <v>940.46</v>
      </c>
      <c r="F869" s="401">
        <v>12144.66</v>
      </c>
      <c r="G869" s="401">
        <f t="shared" si="59"/>
        <v>865.1</v>
      </c>
      <c r="H869" s="402">
        <f t="shared" si="63"/>
        <v>-915221.57760000043</v>
      </c>
      <c r="I869" s="402">
        <f t="shared" si="64"/>
        <v>10506345.366</v>
      </c>
      <c r="M869" s="535"/>
      <c r="N869" s="535"/>
      <c r="O869" s="535"/>
    </row>
    <row r="870" spans="2:15" hidden="1">
      <c r="B870" s="156">
        <v>45220</v>
      </c>
      <c r="C870" s="255" t="s">
        <v>1572</v>
      </c>
      <c r="D870" s="402">
        <f t="shared" si="65"/>
        <v>11195122.9848</v>
      </c>
      <c r="E870" s="376">
        <v>940.46</v>
      </c>
      <c r="F870" s="401">
        <v>11903.88</v>
      </c>
      <c r="G870" s="401">
        <f t="shared" si="59"/>
        <v>865.1</v>
      </c>
      <c r="H870" s="402">
        <f t="shared" si="63"/>
        <v>-897076.39680000022</v>
      </c>
      <c r="I870" s="402">
        <f t="shared" si="64"/>
        <v>10298046.588</v>
      </c>
      <c r="M870" s="535"/>
      <c r="N870" s="535"/>
      <c r="O870" s="535"/>
    </row>
    <row r="871" spans="2:15" hidden="1">
      <c r="B871" s="156">
        <v>45220</v>
      </c>
      <c r="C871" s="255" t="s">
        <v>1573</v>
      </c>
      <c r="D871" s="402">
        <f t="shared" si="65"/>
        <v>2548552.554</v>
      </c>
      <c r="E871" s="376">
        <v>940.46</v>
      </c>
      <c r="F871" s="401">
        <v>2709.9</v>
      </c>
      <c r="G871" s="401">
        <f t="shared" si="59"/>
        <v>865.1</v>
      </c>
      <c r="H871" s="402">
        <f t="shared" si="63"/>
        <v>-204218.06399999978</v>
      </c>
      <c r="I871" s="402">
        <f t="shared" si="64"/>
        <v>2344334.4900000002</v>
      </c>
      <c r="M871" s="535"/>
      <c r="N871" s="535"/>
      <c r="O871" s="535"/>
    </row>
    <row r="872" spans="2:15" hidden="1">
      <c r="B872" s="156">
        <v>45220</v>
      </c>
      <c r="C872" s="255" t="s">
        <v>1574</v>
      </c>
      <c r="D872" s="402">
        <f t="shared" si="65"/>
        <v>10363323.733200001</v>
      </c>
      <c r="E872" s="376">
        <v>940.46</v>
      </c>
      <c r="F872" s="401">
        <v>11019.42</v>
      </c>
      <c r="G872" s="401">
        <f t="shared" si="59"/>
        <v>865.1</v>
      </c>
      <c r="H872" s="402">
        <f t="shared" si="63"/>
        <v>-830423.49120000005</v>
      </c>
      <c r="I872" s="402">
        <f t="shared" si="64"/>
        <v>9532900.2420000006</v>
      </c>
      <c r="M872" s="535"/>
      <c r="N872" s="535"/>
      <c r="O872" s="535"/>
    </row>
    <row r="873" spans="2:15" hidden="1">
      <c r="B873" s="156">
        <v>45222</v>
      </c>
      <c r="C873" s="255" t="s">
        <v>1575</v>
      </c>
      <c r="D873" s="402">
        <f t="shared" si="65"/>
        <v>9565186.0319999997</v>
      </c>
      <c r="E873" s="376">
        <v>942.42</v>
      </c>
      <c r="F873" s="401">
        <v>10149.6</v>
      </c>
      <c r="G873" s="401">
        <f t="shared" si="59"/>
        <v>865.1</v>
      </c>
      <c r="H873" s="402">
        <f t="shared" si="63"/>
        <v>-784767.07199999876</v>
      </c>
      <c r="I873" s="402">
        <f t="shared" si="64"/>
        <v>8780418.9600000009</v>
      </c>
      <c r="M873" s="535"/>
      <c r="N873" s="535"/>
      <c r="O873" s="535"/>
    </row>
    <row r="874" spans="2:15" hidden="1">
      <c r="B874" s="156">
        <v>45222</v>
      </c>
      <c r="C874" s="255" t="s">
        <v>1576</v>
      </c>
      <c r="D874" s="402">
        <f t="shared" si="65"/>
        <v>24845621.608799998</v>
      </c>
      <c r="E874" s="376">
        <v>942.42</v>
      </c>
      <c r="F874" s="401">
        <v>26363.64</v>
      </c>
      <c r="G874" s="401">
        <f t="shared" si="59"/>
        <v>865.1</v>
      </c>
      <c r="H874" s="402">
        <f t="shared" si="63"/>
        <v>-2038436.6447999962</v>
      </c>
      <c r="I874" s="402">
        <f t="shared" si="64"/>
        <v>22807184.964000002</v>
      </c>
      <c r="M874" s="535"/>
      <c r="N874" s="535"/>
      <c r="O874" s="535"/>
    </row>
    <row r="875" spans="2:15" hidden="1">
      <c r="B875" s="156">
        <v>45226</v>
      </c>
      <c r="C875" s="255" t="s">
        <v>1577</v>
      </c>
      <c r="D875" s="402">
        <f t="shared" si="65"/>
        <v>70139.64</v>
      </c>
      <c r="E875" s="376">
        <v>922.89</v>
      </c>
      <c r="F875" s="401">
        <v>76</v>
      </c>
      <c r="G875" s="401">
        <f t="shared" si="59"/>
        <v>865.1</v>
      </c>
      <c r="H875" s="402">
        <f t="shared" si="63"/>
        <v>-4392.0399999999936</v>
      </c>
      <c r="I875" s="402">
        <f t="shared" si="64"/>
        <v>65747.600000000006</v>
      </c>
      <c r="M875" s="535"/>
      <c r="N875" s="535"/>
      <c r="O875" s="535"/>
    </row>
    <row r="876" spans="2:15" hidden="1">
      <c r="B876" s="156">
        <v>45226</v>
      </c>
      <c r="C876" s="255" t="s">
        <v>1578</v>
      </c>
      <c r="D876" s="402">
        <f t="shared" si="65"/>
        <v>70139.64</v>
      </c>
      <c r="E876" s="376">
        <v>922.89</v>
      </c>
      <c r="F876" s="401">
        <v>76</v>
      </c>
      <c r="G876" s="401">
        <f t="shared" si="59"/>
        <v>865.1</v>
      </c>
      <c r="H876" s="402">
        <f t="shared" si="63"/>
        <v>-4392.0399999999936</v>
      </c>
      <c r="I876" s="402">
        <f t="shared" si="64"/>
        <v>65747.600000000006</v>
      </c>
      <c r="M876" s="535"/>
      <c r="N876" s="535"/>
      <c r="O876" s="535"/>
    </row>
    <row r="877" spans="2:15" hidden="1">
      <c r="B877" s="156">
        <v>45204</v>
      </c>
      <c r="C877" s="255" t="s">
        <v>1579</v>
      </c>
      <c r="D877" s="402">
        <f t="shared" si="65"/>
        <v>877825.51199999999</v>
      </c>
      <c r="E877" s="376">
        <v>913.26</v>
      </c>
      <c r="F877" s="401">
        <v>961.2</v>
      </c>
      <c r="G877" s="401">
        <f t="shared" si="59"/>
        <v>865.1</v>
      </c>
      <c r="H877" s="402">
        <f t="shared" si="63"/>
        <v>-46291.391999999876</v>
      </c>
      <c r="I877" s="402">
        <f t="shared" si="64"/>
        <v>831534.12000000011</v>
      </c>
      <c r="M877" s="535"/>
      <c r="N877" s="535"/>
      <c r="O877" s="535"/>
    </row>
    <row r="878" spans="2:15" hidden="1">
      <c r="B878" s="156">
        <v>45204</v>
      </c>
      <c r="C878" s="255" t="s">
        <v>1580</v>
      </c>
      <c r="D878" s="402">
        <f t="shared" si="65"/>
        <v>1869351.8940000001</v>
      </c>
      <c r="E878" s="376">
        <v>913.26</v>
      </c>
      <c r="F878" s="401">
        <v>2046.9</v>
      </c>
      <c r="G878" s="401">
        <f t="shared" si="59"/>
        <v>865.1</v>
      </c>
      <c r="H878" s="402">
        <f t="shared" si="63"/>
        <v>-98578.703999999911</v>
      </c>
      <c r="I878" s="402">
        <f t="shared" si="64"/>
        <v>1770773.1900000002</v>
      </c>
      <c r="M878" s="535"/>
      <c r="N878" s="535"/>
      <c r="O878" s="535"/>
    </row>
    <row r="879" spans="2:15" hidden="1">
      <c r="B879" s="156">
        <v>45204</v>
      </c>
      <c r="C879" s="255" t="s">
        <v>1581</v>
      </c>
      <c r="D879" s="402">
        <f t="shared" si="65"/>
        <v>1038559.272</v>
      </c>
      <c r="E879" s="376">
        <v>913.26</v>
      </c>
      <c r="F879" s="401">
        <v>1137.2</v>
      </c>
      <c r="G879" s="401">
        <f t="shared" si="59"/>
        <v>865.1</v>
      </c>
      <c r="H879" s="402">
        <f t="shared" si="63"/>
        <v>-54767.551999999909</v>
      </c>
      <c r="I879" s="402">
        <f t="shared" si="64"/>
        <v>983791.72000000009</v>
      </c>
      <c r="M879" s="535"/>
      <c r="N879" s="535"/>
      <c r="O879" s="535"/>
    </row>
    <row r="880" spans="2:15" hidden="1">
      <c r="B880" s="156">
        <v>45204</v>
      </c>
      <c r="C880" s="255" t="s">
        <v>1582</v>
      </c>
      <c r="D880" s="402">
        <f t="shared" si="65"/>
        <v>2855946.6719999998</v>
      </c>
      <c r="E880" s="376">
        <v>913.26</v>
      </c>
      <c r="F880" s="401">
        <v>3127.2</v>
      </c>
      <c r="G880" s="401">
        <f t="shared" si="59"/>
        <v>865.1</v>
      </c>
      <c r="H880" s="402">
        <f t="shared" si="63"/>
        <v>-150605.95200000005</v>
      </c>
      <c r="I880" s="402">
        <f t="shared" si="64"/>
        <v>2705340.7199999997</v>
      </c>
      <c r="M880" s="535"/>
      <c r="N880" s="535"/>
      <c r="O880" s="535"/>
    </row>
    <row r="881" spans="2:15" hidden="1">
      <c r="B881" s="156">
        <v>45204</v>
      </c>
      <c r="C881" s="255" t="s">
        <v>1583</v>
      </c>
      <c r="D881" s="402">
        <f t="shared" si="65"/>
        <v>1244499.402</v>
      </c>
      <c r="E881" s="376">
        <v>913.26</v>
      </c>
      <c r="F881" s="401">
        <v>1362.7</v>
      </c>
      <c r="G881" s="401">
        <f t="shared" si="59"/>
        <v>865.1</v>
      </c>
      <c r="H881" s="402">
        <f t="shared" ref="H881:H904" si="66">+I881-D881</f>
        <v>-65627.631999999983</v>
      </c>
      <c r="I881" s="402">
        <f t="shared" ref="I881:I904" si="67">+F881*G881</f>
        <v>1178871.77</v>
      </c>
      <c r="M881" s="535"/>
      <c r="N881" s="535"/>
      <c r="O881" s="535"/>
    </row>
    <row r="882" spans="2:15" hidden="1">
      <c r="B882" s="156">
        <v>45204</v>
      </c>
      <c r="C882" s="255" t="s">
        <v>1584</v>
      </c>
      <c r="D882" s="402">
        <f t="shared" si="65"/>
        <v>1316738.2679999999</v>
      </c>
      <c r="E882" s="376">
        <v>913.26</v>
      </c>
      <c r="F882" s="401">
        <v>1441.8</v>
      </c>
      <c r="G882" s="401">
        <f t="shared" si="59"/>
        <v>865.1</v>
      </c>
      <c r="H882" s="402">
        <f t="shared" si="66"/>
        <v>-69437.087999999989</v>
      </c>
      <c r="I882" s="402">
        <f t="shared" si="67"/>
        <v>1247301.18</v>
      </c>
      <c r="M882" s="535"/>
      <c r="N882" s="535"/>
      <c r="O882" s="535"/>
    </row>
    <row r="883" spans="2:15" hidden="1">
      <c r="B883" s="156">
        <v>45204</v>
      </c>
      <c r="C883" s="255" t="s">
        <v>1585</v>
      </c>
      <c r="D883" s="402">
        <f t="shared" si="65"/>
        <v>2855946.6719999998</v>
      </c>
      <c r="E883" s="376">
        <v>913.26</v>
      </c>
      <c r="F883" s="401">
        <v>3127.2</v>
      </c>
      <c r="G883" s="401">
        <f t="shared" si="59"/>
        <v>865.1</v>
      </c>
      <c r="H883" s="402">
        <f t="shared" si="66"/>
        <v>-150605.95200000005</v>
      </c>
      <c r="I883" s="402">
        <f t="shared" si="67"/>
        <v>2705340.7199999997</v>
      </c>
      <c r="M883" s="535"/>
      <c r="N883" s="535"/>
      <c r="O883" s="535"/>
    </row>
    <row r="884" spans="2:15" hidden="1">
      <c r="B884" s="156">
        <v>45204</v>
      </c>
      <c r="C884" s="255" t="s">
        <v>1586</v>
      </c>
      <c r="D884" s="402">
        <f t="shared" si="65"/>
        <v>1984513.98</v>
      </c>
      <c r="E884" s="376">
        <v>913.26</v>
      </c>
      <c r="F884" s="401">
        <v>2173</v>
      </c>
      <c r="G884" s="401">
        <f t="shared" si="59"/>
        <v>865.1</v>
      </c>
      <c r="H884" s="402">
        <f t="shared" si="66"/>
        <v>-104651.67999999993</v>
      </c>
      <c r="I884" s="402">
        <f t="shared" si="67"/>
        <v>1879862.3</v>
      </c>
      <c r="M884" s="535"/>
      <c r="N884" s="535"/>
      <c r="O884" s="535"/>
    </row>
    <row r="885" spans="2:15" hidden="1">
      <c r="B885" s="156">
        <v>45204</v>
      </c>
      <c r="C885" s="255" t="s">
        <v>1587</v>
      </c>
      <c r="D885" s="402">
        <f t="shared" si="65"/>
        <v>2529730.2000000002</v>
      </c>
      <c r="E885" s="376">
        <v>913.26</v>
      </c>
      <c r="F885" s="401">
        <v>2770</v>
      </c>
      <c r="G885" s="401">
        <f t="shared" si="59"/>
        <v>865.1</v>
      </c>
      <c r="H885" s="402">
        <f t="shared" si="66"/>
        <v>-133403.20000000019</v>
      </c>
      <c r="I885" s="402">
        <f t="shared" si="67"/>
        <v>2396327</v>
      </c>
      <c r="M885" s="535"/>
      <c r="N885" s="535"/>
      <c r="O885" s="535"/>
    </row>
    <row r="886" spans="2:15" hidden="1">
      <c r="B886" s="156">
        <v>45204</v>
      </c>
      <c r="C886" s="255" t="s">
        <v>1588</v>
      </c>
      <c r="D886" s="402">
        <f t="shared" si="65"/>
        <v>1621036.5</v>
      </c>
      <c r="E886" s="376">
        <v>913.26</v>
      </c>
      <c r="F886" s="401">
        <v>1775</v>
      </c>
      <c r="G886" s="401">
        <f t="shared" si="59"/>
        <v>865.1</v>
      </c>
      <c r="H886" s="402">
        <f t="shared" si="66"/>
        <v>-85484</v>
      </c>
      <c r="I886" s="402">
        <f t="shared" si="67"/>
        <v>1535552.5</v>
      </c>
      <c r="M886" s="535"/>
      <c r="N886" s="535"/>
      <c r="O886" s="535"/>
    </row>
    <row r="887" spans="2:15" hidden="1">
      <c r="B887" s="156">
        <v>45204</v>
      </c>
      <c r="C887" s="255" t="s">
        <v>1589</v>
      </c>
      <c r="D887" s="402">
        <f t="shared" si="65"/>
        <v>877825.51199999999</v>
      </c>
      <c r="E887" s="376">
        <v>913.26</v>
      </c>
      <c r="F887" s="401">
        <v>961.2</v>
      </c>
      <c r="G887" s="401">
        <f t="shared" si="59"/>
        <v>865.1</v>
      </c>
      <c r="H887" s="402">
        <f t="shared" si="66"/>
        <v>-46291.391999999876</v>
      </c>
      <c r="I887" s="402">
        <f t="shared" si="67"/>
        <v>831534.12000000011</v>
      </c>
      <c r="M887" s="535"/>
      <c r="N887" s="535"/>
      <c r="O887" s="535"/>
    </row>
    <row r="888" spans="2:15" hidden="1">
      <c r="B888" s="156">
        <v>45204</v>
      </c>
      <c r="C888" s="255" t="s">
        <v>1590</v>
      </c>
      <c r="D888" s="402">
        <f t="shared" si="65"/>
        <v>2258948.61</v>
      </c>
      <c r="E888" s="376">
        <v>913.26</v>
      </c>
      <c r="F888" s="401">
        <v>2473.5</v>
      </c>
      <c r="G888" s="401">
        <f t="shared" si="59"/>
        <v>865.1</v>
      </c>
      <c r="H888" s="402">
        <f t="shared" si="66"/>
        <v>-119123.75999999978</v>
      </c>
      <c r="I888" s="402">
        <f t="shared" si="67"/>
        <v>2139824.85</v>
      </c>
      <c r="M888" s="535"/>
      <c r="N888" s="535"/>
      <c r="O888" s="535"/>
    </row>
    <row r="889" spans="2:15" hidden="1">
      <c r="B889" s="156">
        <v>45218</v>
      </c>
      <c r="C889" s="255" t="s">
        <v>1591</v>
      </c>
      <c r="D889" s="402">
        <f t="shared" si="65"/>
        <v>71227.960000000006</v>
      </c>
      <c r="E889" s="376">
        <v>937.21</v>
      </c>
      <c r="F889" s="401">
        <v>76</v>
      </c>
      <c r="G889" s="401">
        <f t="shared" si="59"/>
        <v>865.1</v>
      </c>
      <c r="H889" s="402">
        <f t="shared" si="66"/>
        <v>-5480.3600000000006</v>
      </c>
      <c r="I889" s="402">
        <f t="shared" si="67"/>
        <v>65747.600000000006</v>
      </c>
      <c r="M889" s="535"/>
      <c r="N889" s="535"/>
      <c r="O889" s="535"/>
    </row>
    <row r="890" spans="2:15" hidden="1">
      <c r="B890" s="156">
        <v>45219</v>
      </c>
      <c r="C890" s="255" t="s">
        <v>1592</v>
      </c>
      <c r="D890" s="402">
        <f t="shared" si="65"/>
        <v>404868.03</v>
      </c>
      <c r="E890" s="376">
        <v>940.46</v>
      </c>
      <c r="F890" s="401">
        <v>430.5</v>
      </c>
      <c r="G890" s="401">
        <f t="shared" si="59"/>
        <v>865.1</v>
      </c>
      <c r="H890" s="402">
        <f t="shared" si="66"/>
        <v>-32442.48000000004</v>
      </c>
      <c r="I890" s="402">
        <f t="shared" si="67"/>
        <v>372425.55</v>
      </c>
      <c r="M890" s="535"/>
      <c r="N890" s="535"/>
      <c r="O890" s="535"/>
    </row>
    <row r="891" spans="2:15" hidden="1">
      <c r="B891" s="156">
        <v>45219</v>
      </c>
      <c r="C891" s="255" t="s">
        <v>1593</v>
      </c>
      <c r="D891" s="402">
        <f t="shared" si="65"/>
        <v>485841.63600000006</v>
      </c>
      <c r="E891" s="376">
        <v>940.46</v>
      </c>
      <c r="F891" s="401">
        <v>516.6</v>
      </c>
      <c r="G891" s="401">
        <f t="shared" si="59"/>
        <v>865.1</v>
      </c>
      <c r="H891" s="402">
        <f t="shared" si="66"/>
        <v>-38930.976000000024</v>
      </c>
      <c r="I891" s="402">
        <f t="shared" si="67"/>
        <v>446910.66000000003</v>
      </c>
      <c r="M891" s="535"/>
      <c r="N891" s="535"/>
      <c r="O891" s="535"/>
    </row>
    <row r="892" spans="2:15" hidden="1">
      <c r="B892" s="156">
        <v>45219</v>
      </c>
      <c r="C892" s="255" t="s">
        <v>1594</v>
      </c>
      <c r="D892" s="402">
        <f t="shared" si="65"/>
        <v>335932.31199999998</v>
      </c>
      <c r="E892" s="376">
        <v>940.46</v>
      </c>
      <c r="F892" s="401">
        <v>357.2</v>
      </c>
      <c r="G892" s="401">
        <f t="shared" si="59"/>
        <v>865.1</v>
      </c>
      <c r="H892" s="402">
        <f t="shared" si="66"/>
        <v>-26918.592000000004</v>
      </c>
      <c r="I892" s="402">
        <f t="shared" si="67"/>
        <v>309013.71999999997</v>
      </c>
      <c r="M892" s="535"/>
      <c r="N892" s="535"/>
      <c r="O892" s="535"/>
    </row>
    <row r="893" spans="2:15" hidden="1">
      <c r="B893" s="156">
        <v>45219</v>
      </c>
      <c r="C893" s="255" t="s">
        <v>1595</v>
      </c>
      <c r="D893" s="402">
        <f t="shared" si="65"/>
        <v>335932.31199999998</v>
      </c>
      <c r="E893" s="376">
        <v>940.46</v>
      </c>
      <c r="F893" s="401">
        <v>357.2</v>
      </c>
      <c r="G893" s="401">
        <f t="shared" si="59"/>
        <v>865.1</v>
      </c>
      <c r="H893" s="402">
        <f t="shared" si="66"/>
        <v>-26918.592000000004</v>
      </c>
      <c r="I893" s="402">
        <f t="shared" si="67"/>
        <v>309013.71999999997</v>
      </c>
      <c r="M893" s="535"/>
      <c r="N893" s="535"/>
      <c r="O893" s="535"/>
    </row>
    <row r="894" spans="2:15" hidden="1">
      <c r="B894" s="156">
        <v>45219</v>
      </c>
      <c r="C894" s="255" t="s">
        <v>1596</v>
      </c>
      <c r="D894" s="402">
        <f t="shared" si="65"/>
        <v>251949.234</v>
      </c>
      <c r="E894" s="376">
        <v>940.46</v>
      </c>
      <c r="F894" s="401">
        <v>267.89999999999998</v>
      </c>
      <c r="G894" s="401">
        <f t="shared" si="59"/>
        <v>865.1</v>
      </c>
      <c r="H894" s="402">
        <f t="shared" si="66"/>
        <v>-20188.944000000018</v>
      </c>
      <c r="I894" s="402">
        <f t="shared" si="67"/>
        <v>231760.28999999998</v>
      </c>
      <c r="M894" s="535"/>
      <c r="N894" s="535"/>
      <c r="O894" s="535"/>
    </row>
    <row r="895" spans="2:15" hidden="1">
      <c r="B895" s="156">
        <v>45219</v>
      </c>
      <c r="C895" s="255" t="s">
        <v>1597</v>
      </c>
      <c r="D895" s="402">
        <f t="shared" si="65"/>
        <v>323894.424</v>
      </c>
      <c r="E895" s="376">
        <v>940.46</v>
      </c>
      <c r="F895" s="401">
        <v>344.4</v>
      </c>
      <c r="G895" s="401">
        <f t="shared" si="59"/>
        <v>865.1</v>
      </c>
      <c r="H895" s="402">
        <f t="shared" si="66"/>
        <v>-25953.983999999997</v>
      </c>
      <c r="I895" s="402">
        <f t="shared" si="67"/>
        <v>297940.44</v>
      </c>
      <c r="M895" s="535"/>
      <c r="N895" s="535"/>
      <c r="O895" s="535"/>
    </row>
    <row r="896" spans="2:15" hidden="1">
      <c r="B896" s="156">
        <v>45219</v>
      </c>
      <c r="C896" s="255" t="s">
        <v>1598</v>
      </c>
      <c r="D896" s="402">
        <f t="shared" si="65"/>
        <v>335932.31199999998</v>
      </c>
      <c r="E896" s="376">
        <v>940.46</v>
      </c>
      <c r="F896" s="401">
        <v>357.2</v>
      </c>
      <c r="G896" s="401">
        <f t="shared" si="59"/>
        <v>865.1</v>
      </c>
      <c r="H896" s="402">
        <f t="shared" si="66"/>
        <v>-26918.592000000004</v>
      </c>
      <c r="I896" s="402">
        <f t="shared" si="67"/>
        <v>309013.71999999997</v>
      </c>
      <c r="M896" s="535"/>
      <c r="N896" s="535"/>
      <c r="O896" s="535"/>
    </row>
    <row r="897" spans="2:15" hidden="1">
      <c r="B897" s="156">
        <v>45227</v>
      </c>
      <c r="C897" s="255" t="s">
        <v>1599</v>
      </c>
      <c r="D897" s="402">
        <f t="shared" si="65"/>
        <v>235613.81700000001</v>
      </c>
      <c r="E897" s="376">
        <v>922.89</v>
      </c>
      <c r="F897" s="401">
        <v>255.3</v>
      </c>
      <c r="G897" s="401">
        <f t="shared" si="59"/>
        <v>865.1</v>
      </c>
      <c r="H897" s="402">
        <f t="shared" si="66"/>
        <v>-14753.786999999982</v>
      </c>
      <c r="I897" s="402">
        <f t="shared" si="67"/>
        <v>220860.03000000003</v>
      </c>
      <c r="M897" s="535"/>
      <c r="N897" s="535"/>
      <c r="O897" s="535"/>
    </row>
    <row r="898" spans="2:15" hidden="1">
      <c r="B898" s="156">
        <v>45227</v>
      </c>
      <c r="C898" s="255" t="s">
        <v>1600</v>
      </c>
      <c r="D898" s="402">
        <f t="shared" si="65"/>
        <v>314151.75599999999</v>
      </c>
      <c r="E898" s="376">
        <v>922.89</v>
      </c>
      <c r="F898" s="401">
        <v>340.4</v>
      </c>
      <c r="G898" s="401">
        <f t="shared" si="59"/>
        <v>865.1</v>
      </c>
      <c r="H898" s="402">
        <f t="shared" si="66"/>
        <v>-19671.716000000015</v>
      </c>
      <c r="I898" s="402">
        <f t="shared" si="67"/>
        <v>294480.03999999998</v>
      </c>
      <c r="M898" s="535"/>
      <c r="N898" s="535"/>
      <c r="O898" s="535"/>
    </row>
    <row r="899" spans="2:15" hidden="1">
      <c r="B899" s="156">
        <v>45227</v>
      </c>
      <c r="C899" s="255" t="s">
        <v>1601</v>
      </c>
      <c r="D899" s="402">
        <f t="shared" si="65"/>
        <v>314151.75599999999</v>
      </c>
      <c r="E899" s="376">
        <v>922.89</v>
      </c>
      <c r="F899" s="401">
        <v>340.4</v>
      </c>
      <c r="G899" s="401">
        <f t="shared" si="59"/>
        <v>865.1</v>
      </c>
      <c r="H899" s="402">
        <f t="shared" si="66"/>
        <v>-19671.716000000015</v>
      </c>
      <c r="I899" s="402">
        <f t="shared" si="67"/>
        <v>294480.03999999998</v>
      </c>
      <c r="M899" s="535"/>
      <c r="N899" s="535"/>
      <c r="O899" s="535"/>
    </row>
    <row r="900" spans="2:15" hidden="1">
      <c r="B900" s="156">
        <v>45227</v>
      </c>
      <c r="C900" s="255" t="s">
        <v>1602</v>
      </c>
      <c r="D900" s="402">
        <f t="shared" si="65"/>
        <v>314151.75599999999</v>
      </c>
      <c r="E900" s="376">
        <v>922.89</v>
      </c>
      <c r="F900" s="401">
        <v>340.4</v>
      </c>
      <c r="G900" s="401">
        <f t="shared" si="59"/>
        <v>865.1</v>
      </c>
      <c r="H900" s="402">
        <f t="shared" si="66"/>
        <v>-19671.716000000015</v>
      </c>
      <c r="I900" s="402">
        <f t="shared" si="67"/>
        <v>294480.03999999998</v>
      </c>
      <c r="M900" s="535"/>
      <c r="N900" s="535"/>
      <c r="O900" s="535"/>
    </row>
    <row r="901" spans="2:15" hidden="1">
      <c r="B901" s="156">
        <v>45227</v>
      </c>
      <c r="C901" s="255" t="s">
        <v>1603</v>
      </c>
      <c r="D901" s="402">
        <f t="shared" si="65"/>
        <v>235613.81700000001</v>
      </c>
      <c r="E901" s="376">
        <v>922.89</v>
      </c>
      <c r="F901" s="401">
        <v>255.3</v>
      </c>
      <c r="G901" s="401">
        <f t="shared" si="59"/>
        <v>865.1</v>
      </c>
      <c r="H901" s="402">
        <f t="shared" si="66"/>
        <v>-14753.786999999982</v>
      </c>
      <c r="I901" s="402">
        <f t="shared" si="67"/>
        <v>220860.03000000003</v>
      </c>
      <c r="M901" s="535"/>
      <c r="N901" s="535"/>
      <c r="O901" s="535"/>
    </row>
    <row r="902" spans="2:15" hidden="1">
      <c r="B902" s="156">
        <v>45227</v>
      </c>
      <c r="C902" s="255" t="s">
        <v>1604</v>
      </c>
      <c r="D902" s="402">
        <f t="shared" si="65"/>
        <v>314151.75599999999</v>
      </c>
      <c r="E902" s="376">
        <v>922.89</v>
      </c>
      <c r="F902" s="401">
        <v>340.4</v>
      </c>
      <c r="G902" s="401">
        <f t="shared" si="59"/>
        <v>865.1</v>
      </c>
      <c r="H902" s="402">
        <f t="shared" si="66"/>
        <v>-19671.716000000015</v>
      </c>
      <c r="I902" s="402">
        <f t="shared" si="67"/>
        <v>294480.03999999998</v>
      </c>
      <c r="M902" s="535"/>
      <c r="N902" s="535"/>
      <c r="O902" s="535"/>
    </row>
    <row r="903" spans="2:15" hidden="1">
      <c r="B903" s="156">
        <v>45227</v>
      </c>
      <c r="C903" s="255" t="s">
        <v>1605</v>
      </c>
      <c r="D903" s="402">
        <f t="shared" si="65"/>
        <v>235613.81700000001</v>
      </c>
      <c r="E903" s="376">
        <v>922.89</v>
      </c>
      <c r="F903" s="401">
        <v>255.3</v>
      </c>
      <c r="G903" s="401">
        <f t="shared" si="59"/>
        <v>865.1</v>
      </c>
      <c r="H903" s="402">
        <f t="shared" si="66"/>
        <v>-14753.786999999982</v>
      </c>
      <c r="I903" s="402">
        <f t="shared" si="67"/>
        <v>220860.03000000003</v>
      </c>
      <c r="M903" s="535"/>
      <c r="N903" s="535"/>
      <c r="O903" s="535"/>
    </row>
    <row r="904" spans="2:15" hidden="1">
      <c r="B904" s="156">
        <v>45230</v>
      </c>
      <c r="C904" s="255" t="s">
        <v>673</v>
      </c>
      <c r="D904" s="402">
        <f t="shared" si="65"/>
        <v>-191243205.14000002</v>
      </c>
      <c r="E904" s="376">
        <v>899.44</v>
      </c>
      <c r="F904" s="401">
        <v>-212624.75</v>
      </c>
      <c r="G904" s="401">
        <f t="shared" si="59"/>
        <v>865.1</v>
      </c>
      <c r="H904" s="402">
        <f t="shared" si="66"/>
        <v>7301533.9150000215</v>
      </c>
      <c r="I904" s="402">
        <f t="shared" si="67"/>
        <v>-183941671.22499999</v>
      </c>
      <c r="M904" s="535"/>
      <c r="N904" s="535"/>
      <c r="O904" s="535"/>
    </row>
    <row r="905" spans="2:15" hidden="1">
      <c r="B905" s="156">
        <v>45254</v>
      </c>
      <c r="C905" s="255" t="s">
        <v>1610</v>
      </c>
      <c r="D905" s="402">
        <f t="shared" si="65"/>
        <v>1158935.3999999999</v>
      </c>
      <c r="E905" s="376">
        <v>871.38</v>
      </c>
      <c r="F905" s="401">
        <v>1330</v>
      </c>
      <c r="G905" s="401">
        <f t="shared" si="59"/>
        <v>865.1</v>
      </c>
      <c r="H905" s="402">
        <f t="shared" ref="H905:H953" si="68">+I905-D905</f>
        <v>-8352.3999999999069</v>
      </c>
      <c r="I905" s="402">
        <f t="shared" ref="I905:I953" si="69">+F905*G905</f>
        <v>1150583</v>
      </c>
      <c r="M905" s="535"/>
      <c r="N905" s="535"/>
      <c r="O905" s="535"/>
    </row>
    <row r="906" spans="2:15" hidden="1">
      <c r="B906" s="156">
        <v>45252</v>
      </c>
      <c r="C906" s="255" t="s">
        <v>1611</v>
      </c>
      <c r="D906" s="402">
        <f t="shared" si="65"/>
        <v>650032.80000000005</v>
      </c>
      <c r="E906" s="376">
        <v>873.7</v>
      </c>
      <c r="F906" s="401">
        <v>744</v>
      </c>
      <c r="G906" s="401">
        <f t="shared" si="59"/>
        <v>865.1</v>
      </c>
      <c r="H906" s="402">
        <f t="shared" si="68"/>
        <v>-6398.4000000000233</v>
      </c>
      <c r="I906" s="402">
        <f t="shared" si="69"/>
        <v>643634.4</v>
      </c>
      <c r="M906" s="535"/>
      <c r="N906" s="535"/>
      <c r="O906" s="535"/>
    </row>
    <row r="907" spans="2:15" hidden="1">
      <c r="B907" s="156">
        <v>45252</v>
      </c>
      <c r="C907" s="255" t="s">
        <v>1612</v>
      </c>
      <c r="D907" s="402">
        <f t="shared" si="65"/>
        <v>866710.4</v>
      </c>
      <c r="E907" s="376">
        <v>873.7</v>
      </c>
      <c r="F907" s="401">
        <v>992</v>
      </c>
      <c r="G907" s="401">
        <f t="shared" si="59"/>
        <v>865.1</v>
      </c>
      <c r="H907" s="402">
        <f t="shared" si="68"/>
        <v>-8531.1999999999534</v>
      </c>
      <c r="I907" s="402">
        <f t="shared" si="69"/>
        <v>858179.20000000007</v>
      </c>
      <c r="M907" s="535"/>
      <c r="N907" s="535"/>
      <c r="O907" s="535"/>
    </row>
    <row r="908" spans="2:15" hidden="1">
      <c r="B908" s="156">
        <v>45252</v>
      </c>
      <c r="C908" s="255" t="s">
        <v>1613</v>
      </c>
      <c r="D908" s="402">
        <f t="shared" si="65"/>
        <v>866710.4</v>
      </c>
      <c r="E908" s="376">
        <v>873.7</v>
      </c>
      <c r="F908" s="401">
        <v>992</v>
      </c>
      <c r="G908" s="401">
        <f t="shared" ref="G908:G953" si="70">+G758</f>
        <v>865.1</v>
      </c>
      <c r="H908" s="402">
        <f t="shared" si="68"/>
        <v>-8531.1999999999534</v>
      </c>
      <c r="I908" s="402">
        <f t="shared" si="69"/>
        <v>858179.20000000007</v>
      </c>
      <c r="M908" s="535"/>
      <c r="N908" s="535"/>
      <c r="O908" s="535"/>
    </row>
    <row r="909" spans="2:15" hidden="1">
      <c r="B909" s="156">
        <v>45252</v>
      </c>
      <c r="C909" s="255" t="s">
        <v>1614</v>
      </c>
      <c r="D909" s="402">
        <f t="shared" si="65"/>
        <v>1083388</v>
      </c>
      <c r="E909" s="376">
        <v>873.7</v>
      </c>
      <c r="F909" s="401">
        <v>1240</v>
      </c>
      <c r="G909" s="401">
        <f t="shared" si="70"/>
        <v>865.1</v>
      </c>
      <c r="H909" s="402">
        <f t="shared" si="68"/>
        <v>-10664</v>
      </c>
      <c r="I909" s="402">
        <f t="shared" si="69"/>
        <v>1072724</v>
      </c>
      <c r="M909" s="535"/>
      <c r="N909" s="535"/>
      <c r="O909" s="535"/>
    </row>
    <row r="910" spans="2:15" hidden="1">
      <c r="B910" s="156">
        <v>45252</v>
      </c>
      <c r="C910" s="255" t="s">
        <v>1615</v>
      </c>
      <c r="D910" s="402">
        <f t="shared" si="65"/>
        <v>866710.4</v>
      </c>
      <c r="E910" s="376">
        <v>873.7</v>
      </c>
      <c r="F910" s="401">
        <v>992</v>
      </c>
      <c r="G910" s="401">
        <f t="shared" si="70"/>
        <v>865.1</v>
      </c>
      <c r="H910" s="402">
        <f t="shared" si="68"/>
        <v>-8531.1999999999534</v>
      </c>
      <c r="I910" s="402">
        <f t="shared" si="69"/>
        <v>858179.20000000007</v>
      </c>
      <c r="M910" s="535"/>
      <c r="N910" s="535"/>
      <c r="O910" s="535"/>
    </row>
    <row r="911" spans="2:15" hidden="1">
      <c r="B911" s="156">
        <v>45252</v>
      </c>
      <c r="C911" s="255" t="s">
        <v>1616</v>
      </c>
      <c r="D911" s="402">
        <f t="shared" si="65"/>
        <v>433355.2</v>
      </c>
      <c r="E911" s="376">
        <v>873.7</v>
      </c>
      <c r="F911" s="401">
        <v>496</v>
      </c>
      <c r="G911" s="401">
        <f t="shared" si="70"/>
        <v>865.1</v>
      </c>
      <c r="H911" s="402">
        <f t="shared" si="68"/>
        <v>-4265.5999999999767</v>
      </c>
      <c r="I911" s="402">
        <f t="shared" si="69"/>
        <v>429089.60000000003</v>
      </c>
      <c r="M911" s="535"/>
      <c r="N911" s="535"/>
      <c r="O911" s="535"/>
    </row>
    <row r="912" spans="2:15" hidden="1">
      <c r="B912" s="156">
        <v>45252</v>
      </c>
      <c r="C912" s="255" t="s">
        <v>1617</v>
      </c>
      <c r="D912" s="402">
        <f t="shared" si="65"/>
        <v>541694</v>
      </c>
      <c r="E912" s="376">
        <v>873.7</v>
      </c>
      <c r="F912" s="401">
        <v>620</v>
      </c>
      <c r="G912" s="401">
        <f t="shared" si="70"/>
        <v>865.1</v>
      </c>
      <c r="H912" s="402">
        <f t="shared" si="68"/>
        <v>-5332</v>
      </c>
      <c r="I912" s="402">
        <f t="shared" si="69"/>
        <v>536362</v>
      </c>
      <c r="M912" s="535"/>
      <c r="N912" s="535"/>
      <c r="O912" s="535"/>
    </row>
    <row r="913" spans="2:15" hidden="1">
      <c r="B913" s="156">
        <v>45252</v>
      </c>
      <c r="C913" s="255" t="s">
        <v>1618</v>
      </c>
      <c r="D913" s="402">
        <f t="shared" si="65"/>
        <v>866710.4</v>
      </c>
      <c r="E913" s="376">
        <v>873.7</v>
      </c>
      <c r="F913" s="401">
        <v>992</v>
      </c>
      <c r="G913" s="401">
        <f t="shared" si="70"/>
        <v>865.1</v>
      </c>
      <c r="H913" s="402">
        <f t="shared" si="68"/>
        <v>-8531.1999999999534</v>
      </c>
      <c r="I913" s="402">
        <f t="shared" si="69"/>
        <v>858179.20000000007</v>
      </c>
      <c r="M913" s="535"/>
      <c r="N913" s="535"/>
      <c r="O913" s="535"/>
    </row>
    <row r="914" spans="2:15" hidden="1">
      <c r="B914" s="156">
        <v>45252</v>
      </c>
      <c r="C914" s="255" t="s">
        <v>1619</v>
      </c>
      <c r="D914" s="402">
        <f t="shared" si="65"/>
        <v>866710.4</v>
      </c>
      <c r="E914" s="376">
        <v>873.7</v>
      </c>
      <c r="F914" s="401">
        <v>992</v>
      </c>
      <c r="G914" s="401">
        <f t="shared" si="70"/>
        <v>865.1</v>
      </c>
      <c r="H914" s="402">
        <f t="shared" si="68"/>
        <v>-8531.1999999999534</v>
      </c>
      <c r="I914" s="402">
        <f t="shared" si="69"/>
        <v>858179.20000000007</v>
      </c>
      <c r="M914" s="535"/>
      <c r="N914" s="535"/>
      <c r="O914" s="535"/>
    </row>
    <row r="915" spans="2:15" hidden="1">
      <c r="B915" s="156">
        <v>45252</v>
      </c>
      <c r="C915" s="255" t="s">
        <v>1620</v>
      </c>
      <c r="D915" s="402">
        <f t="shared" si="65"/>
        <v>2576978.15</v>
      </c>
      <c r="E915" s="376">
        <v>873.7</v>
      </c>
      <c r="F915" s="401">
        <v>2949.5</v>
      </c>
      <c r="G915" s="401">
        <f t="shared" si="70"/>
        <v>865.1</v>
      </c>
      <c r="H915" s="402">
        <f t="shared" si="68"/>
        <v>-25365.699999999721</v>
      </c>
      <c r="I915" s="402">
        <f t="shared" si="69"/>
        <v>2551612.4500000002</v>
      </c>
      <c r="M915" s="535"/>
      <c r="N915" s="535"/>
      <c r="O915" s="535"/>
    </row>
    <row r="916" spans="2:15" hidden="1">
      <c r="B916" s="156">
        <v>45252</v>
      </c>
      <c r="C916" s="255" t="s">
        <v>1621</v>
      </c>
      <c r="D916" s="402">
        <f t="shared" si="65"/>
        <v>6561923.8500000006</v>
      </c>
      <c r="E916" s="376">
        <v>873.7</v>
      </c>
      <c r="F916" s="401">
        <v>7510.5</v>
      </c>
      <c r="G916" s="401">
        <f t="shared" si="70"/>
        <v>865.1</v>
      </c>
      <c r="H916" s="402">
        <f t="shared" si="68"/>
        <v>-64590.300000000745</v>
      </c>
      <c r="I916" s="402">
        <f t="shared" si="69"/>
        <v>6497333.5499999998</v>
      </c>
      <c r="M916" s="535"/>
      <c r="N916" s="535"/>
      <c r="O916" s="535"/>
    </row>
    <row r="917" spans="2:15" hidden="1">
      <c r="B917" s="156">
        <v>45252</v>
      </c>
      <c r="C917" s="255" t="s">
        <v>1622</v>
      </c>
      <c r="D917" s="402">
        <f t="shared" si="65"/>
        <v>7142934.3500000006</v>
      </c>
      <c r="E917" s="376">
        <v>873.7</v>
      </c>
      <c r="F917" s="401">
        <v>8175.5</v>
      </c>
      <c r="G917" s="401">
        <f t="shared" si="70"/>
        <v>865.1</v>
      </c>
      <c r="H917" s="402">
        <f t="shared" si="68"/>
        <v>-70309.300000000745</v>
      </c>
      <c r="I917" s="402">
        <f t="shared" si="69"/>
        <v>7072625.0499999998</v>
      </c>
      <c r="M917" s="535"/>
      <c r="N917" s="535"/>
      <c r="O917" s="535"/>
    </row>
    <row r="918" spans="2:15" hidden="1">
      <c r="B918" s="156">
        <v>45252</v>
      </c>
      <c r="C918" s="255" t="s">
        <v>1623</v>
      </c>
      <c r="D918" s="402">
        <f t="shared" si="65"/>
        <v>7713897.3000000007</v>
      </c>
      <c r="E918" s="376">
        <v>873.7</v>
      </c>
      <c r="F918" s="401">
        <v>8829</v>
      </c>
      <c r="G918" s="401">
        <f t="shared" si="70"/>
        <v>865.1</v>
      </c>
      <c r="H918" s="402">
        <f t="shared" si="68"/>
        <v>-75929.400000000373</v>
      </c>
      <c r="I918" s="402">
        <f t="shared" si="69"/>
        <v>7637967.9000000004</v>
      </c>
      <c r="M918" s="535"/>
      <c r="N918" s="535"/>
      <c r="O918" s="535"/>
    </row>
    <row r="919" spans="2:15" hidden="1">
      <c r="B919" s="156">
        <v>45252</v>
      </c>
      <c r="C919" s="255" t="s">
        <v>1624</v>
      </c>
      <c r="D919" s="402">
        <f t="shared" si="65"/>
        <v>4389468.8</v>
      </c>
      <c r="E919" s="376">
        <v>873.7</v>
      </c>
      <c r="F919" s="401">
        <v>5024</v>
      </c>
      <c r="G919" s="401">
        <f t="shared" si="70"/>
        <v>865.1</v>
      </c>
      <c r="H919" s="402">
        <f t="shared" si="68"/>
        <v>-43206.399999999441</v>
      </c>
      <c r="I919" s="402">
        <f t="shared" si="69"/>
        <v>4346262.4000000004</v>
      </c>
      <c r="M919" s="535"/>
      <c r="N919" s="535"/>
      <c r="O919" s="535"/>
    </row>
    <row r="920" spans="2:15" hidden="1">
      <c r="B920" s="156">
        <v>45252</v>
      </c>
      <c r="C920" s="255" t="s">
        <v>1625</v>
      </c>
      <c r="D920" s="402">
        <f t="shared" si="65"/>
        <v>6820102.2000000002</v>
      </c>
      <c r="E920" s="376">
        <v>873.7</v>
      </c>
      <c r="F920" s="401">
        <v>7806</v>
      </c>
      <c r="G920" s="401">
        <f t="shared" si="70"/>
        <v>865.1</v>
      </c>
      <c r="H920" s="402">
        <f t="shared" si="68"/>
        <v>-67131.599999999627</v>
      </c>
      <c r="I920" s="402">
        <f t="shared" si="69"/>
        <v>6752970.6000000006</v>
      </c>
      <c r="M920" s="535"/>
      <c r="N920" s="535"/>
      <c r="O920" s="535"/>
    </row>
    <row r="921" spans="2:15" hidden="1">
      <c r="B921" s="156">
        <v>45252</v>
      </c>
      <c r="C921" s="255" t="s">
        <v>1626</v>
      </c>
      <c r="D921" s="402">
        <f t="shared" si="65"/>
        <v>7713897.3000000007</v>
      </c>
      <c r="E921" s="376">
        <v>873.7</v>
      </c>
      <c r="F921" s="401">
        <v>8829</v>
      </c>
      <c r="G921" s="401">
        <f t="shared" si="70"/>
        <v>865.1</v>
      </c>
      <c r="H921" s="402">
        <f t="shared" si="68"/>
        <v>-75929.400000000373</v>
      </c>
      <c r="I921" s="402">
        <f t="shared" si="69"/>
        <v>7637967.9000000004</v>
      </c>
      <c r="M921" s="535"/>
      <c r="N921" s="535"/>
      <c r="O921" s="535"/>
    </row>
    <row r="922" spans="2:15" hidden="1">
      <c r="B922" s="156">
        <v>45252</v>
      </c>
      <c r="C922" s="255" t="s">
        <v>1627</v>
      </c>
      <c r="D922" s="402">
        <f t="shared" si="65"/>
        <v>31627940</v>
      </c>
      <c r="E922" s="376">
        <v>873.7</v>
      </c>
      <c r="F922" s="401">
        <v>36200</v>
      </c>
      <c r="G922" s="401">
        <f t="shared" si="70"/>
        <v>865.1</v>
      </c>
      <c r="H922" s="402">
        <f t="shared" si="68"/>
        <v>-311320</v>
      </c>
      <c r="I922" s="402">
        <f t="shared" si="69"/>
        <v>31316620</v>
      </c>
      <c r="M922" s="535"/>
      <c r="N922" s="535"/>
      <c r="O922" s="535"/>
    </row>
    <row r="923" spans="2:15" hidden="1">
      <c r="B923" s="156">
        <v>45252</v>
      </c>
      <c r="C923" s="255" t="s">
        <v>1628</v>
      </c>
      <c r="D923" s="402">
        <f t="shared" si="65"/>
        <v>6868592.5500000007</v>
      </c>
      <c r="E923" s="376">
        <v>873.7</v>
      </c>
      <c r="F923" s="401">
        <v>7861.5</v>
      </c>
      <c r="G923" s="401">
        <f t="shared" si="70"/>
        <v>865.1</v>
      </c>
      <c r="H923" s="402">
        <f t="shared" si="68"/>
        <v>-67608.900000000373</v>
      </c>
      <c r="I923" s="402">
        <f t="shared" si="69"/>
        <v>6800983.6500000004</v>
      </c>
      <c r="M923" s="535"/>
      <c r="N923" s="535"/>
      <c r="O923" s="535"/>
    </row>
    <row r="924" spans="2:15" hidden="1">
      <c r="B924" s="156">
        <v>45252</v>
      </c>
      <c r="C924" s="255" t="s">
        <v>1629</v>
      </c>
      <c r="D924" s="402">
        <f t="shared" si="65"/>
        <v>7378396.5</v>
      </c>
      <c r="E924" s="376">
        <v>873.7</v>
      </c>
      <c r="F924" s="401">
        <v>8445</v>
      </c>
      <c r="G924" s="401">
        <f t="shared" si="70"/>
        <v>865.1</v>
      </c>
      <c r="H924" s="402">
        <f t="shared" si="68"/>
        <v>-72627</v>
      </c>
      <c r="I924" s="402">
        <f t="shared" si="69"/>
        <v>7305769.5</v>
      </c>
      <c r="M924" s="535"/>
      <c r="N924" s="535"/>
      <c r="O924" s="535"/>
    </row>
    <row r="925" spans="2:15" hidden="1">
      <c r="B925" s="156">
        <v>45252</v>
      </c>
      <c r="C925" s="255" t="s">
        <v>1630</v>
      </c>
      <c r="D925" s="402">
        <f t="shared" si="65"/>
        <v>7285347.4500000002</v>
      </c>
      <c r="E925" s="376">
        <v>873.7</v>
      </c>
      <c r="F925" s="401">
        <v>8338.5</v>
      </c>
      <c r="G925" s="401">
        <f t="shared" si="70"/>
        <v>865.1</v>
      </c>
      <c r="H925" s="402">
        <f t="shared" si="68"/>
        <v>-71711.099999999627</v>
      </c>
      <c r="I925" s="402">
        <f t="shared" si="69"/>
        <v>7213636.3500000006</v>
      </c>
      <c r="M925" s="535"/>
      <c r="N925" s="535"/>
      <c r="O925" s="535"/>
    </row>
    <row r="926" spans="2:15" hidden="1">
      <c r="B926" s="156">
        <v>45252</v>
      </c>
      <c r="C926" s="255" t="s">
        <v>1631</v>
      </c>
      <c r="D926" s="402">
        <f t="shared" si="65"/>
        <v>498009</v>
      </c>
      <c r="E926" s="376">
        <v>873.7</v>
      </c>
      <c r="F926" s="401">
        <v>570</v>
      </c>
      <c r="G926" s="401">
        <f t="shared" si="70"/>
        <v>865.1</v>
      </c>
      <c r="H926" s="402">
        <f t="shared" si="68"/>
        <v>-4902</v>
      </c>
      <c r="I926" s="402">
        <f t="shared" si="69"/>
        <v>493107</v>
      </c>
      <c r="M926" s="535"/>
      <c r="N926" s="535"/>
      <c r="O926" s="535"/>
    </row>
    <row r="927" spans="2:15" hidden="1">
      <c r="B927" s="156">
        <v>45231</v>
      </c>
      <c r="C927" s="255" t="s">
        <v>1632</v>
      </c>
      <c r="D927" s="402">
        <f t="shared" si="65"/>
        <v>16722298.536000002</v>
      </c>
      <c r="E927" s="376">
        <v>899.44</v>
      </c>
      <c r="F927" s="401">
        <v>18591.900000000001</v>
      </c>
      <c r="G927" s="401">
        <f t="shared" si="70"/>
        <v>865.1</v>
      </c>
      <c r="H927" s="402">
        <f t="shared" si="68"/>
        <v>-638445.84600000083</v>
      </c>
      <c r="I927" s="402">
        <f t="shared" si="69"/>
        <v>16083852.690000001</v>
      </c>
      <c r="M927" s="535"/>
      <c r="N927" s="535"/>
      <c r="O927" s="535"/>
    </row>
    <row r="928" spans="2:15" hidden="1">
      <c r="B928" s="156">
        <v>45231</v>
      </c>
      <c r="C928" s="255" t="s">
        <v>1633</v>
      </c>
      <c r="D928" s="402">
        <f t="shared" si="65"/>
        <v>229627.03200000004</v>
      </c>
      <c r="E928" s="376">
        <v>899.44</v>
      </c>
      <c r="F928" s="401">
        <v>255.3</v>
      </c>
      <c r="G928" s="401">
        <f t="shared" si="70"/>
        <v>865.1</v>
      </c>
      <c r="H928" s="402">
        <f t="shared" si="68"/>
        <v>-8767.0020000000077</v>
      </c>
      <c r="I928" s="402">
        <f t="shared" si="69"/>
        <v>220860.03000000003</v>
      </c>
      <c r="M928" s="535"/>
      <c r="N928" s="535"/>
      <c r="O928" s="535"/>
    </row>
    <row r="929" spans="2:15" hidden="1">
      <c r="B929" s="156">
        <v>45244</v>
      </c>
      <c r="C929" s="255" t="s">
        <v>1634</v>
      </c>
      <c r="D929" s="402">
        <f t="shared" ref="D929:D978" si="71">E929*F929</f>
        <v>313729.65999999997</v>
      </c>
      <c r="E929" s="376">
        <v>921.65</v>
      </c>
      <c r="F929" s="401">
        <v>340.4</v>
      </c>
      <c r="G929" s="401">
        <f t="shared" si="70"/>
        <v>865.1</v>
      </c>
      <c r="H929" s="402">
        <f t="shared" si="68"/>
        <v>-19249.619999999995</v>
      </c>
      <c r="I929" s="402">
        <f t="shared" si="69"/>
        <v>294480.03999999998</v>
      </c>
      <c r="M929" s="535"/>
      <c r="N929" s="535"/>
      <c r="O929" s="535"/>
    </row>
    <row r="930" spans="2:15" hidden="1">
      <c r="B930" s="156">
        <v>45244</v>
      </c>
      <c r="C930" s="255" t="s">
        <v>1635</v>
      </c>
      <c r="D930" s="402">
        <f t="shared" si="71"/>
        <v>275112.52499999997</v>
      </c>
      <c r="E930" s="376">
        <v>921.65</v>
      </c>
      <c r="F930" s="401">
        <v>298.5</v>
      </c>
      <c r="G930" s="401">
        <f t="shared" si="70"/>
        <v>865.1</v>
      </c>
      <c r="H930" s="402">
        <f t="shared" si="68"/>
        <v>-16880.174999999959</v>
      </c>
      <c r="I930" s="402">
        <f t="shared" si="69"/>
        <v>258232.35</v>
      </c>
      <c r="M930" s="535"/>
      <c r="N930" s="535"/>
      <c r="O930" s="535"/>
    </row>
    <row r="931" spans="2:15" hidden="1">
      <c r="B931" s="156">
        <v>45244</v>
      </c>
      <c r="C931" s="255" t="s">
        <v>1636</v>
      </c>
      <c r="D931" s="402">
        <f t="shared" si="71"/>
        <v>275112.52499999997</v>
      </c>
      <c r="E931" s="376">
        <v>921.65</v>
      </c>
      <c r="F931" s="401">
        <v>298.5</v>
      </c>
      <c r="G931" s="401">
        <f t="shared" si="70"/>
        <v>865.1</v>
      </c>
      <c r="H931" s="402">
        <f t="shared" si="68"/>
        <v>-16880.174999999959</v>
      </c>
      <c r="I931" s="402">
        <f t="shared" si="69"/>
        <v>258232.35</v>
      </c>
      <c r="M931" s="535"/>
      <c r="N931" s="535"/>
      <c r="O931" s="535"/>
    </row>
    <row r="932" spans="2:15" hidden="1">
      <c r="B932" s="156">
        <v>45244</v>
      </c>
      <c r="C932" s="255" t="s">
        <v>1637</v>
      </c>
      <c r="D932" s="402">
        <f t="shared" si="71"/>
        <v>392162.07500000001</v>
      </c>
      <c r="E932" s="376">
        <v>921.65</v>
      </c>
      <c r="F932" s="401">
        <v>425.5</v>
      </c>
      <c r="G932" s="401">
        <f t="shared" si="70"/>
        <v>865.1</v>
      </c>
      <c r="H932" s="402">
        <f t="shared" si="68"/>
        <v>-24062.025000000023</v>
      </c>
      <c r="I932" s="402">
        <f t="shared" si="69"/>
        <v>368100.05</v>
      </c>
      <c r="M932" s="535"/>
      <c r="N932" s="535"/>
      <c r="O932" s="535"/>
    </row>
    <row r="933" spans="2:15" hidden="1">
      <c r="B933" s="156">
        <v>45244</v>
      </c>
      <c r="C933" s="255" t="s">
        <v>1638</v>
      </c>
      <c r="D933" s="402">
        <f t="shared" si="71"/>
        <v>470594.49</v>
      </c>
      <c r="E933" s="376">
        <v>921.65</v>
      </c>
      <c r="F933" s="401">
        <v>510.6</v>
      </c>
      <c r="G933" s="401">
        <f t="shared" si="70"/>
        <v>865.1</v>
      </c>
      <c r="H933" s="402">
        <f t="shared" si="68"/>
        <v>-28874.429999999935</v>
      </c>
      <c r="I933" s="402">
        <f t="shared" si="69"/>
        <v>441720.06000000006</v>
      </c>
      <c r="M933" s="535"/>
      <c r="N933" s="535"/>
      <c r="O933" s="535"/>
    </row>
    <row r="934" spans="2:15" hidden="1">
      <c r="B934" s="156">
        <v>45244</v>
      </c>
      <c r="C934" s="255" t="s">
        <v>1639</v>
      </c>
      <c r="D934" s="402">
        <f t="shared" si="71"/>
        <v>366816.7</v>
      </c>
      <c r="E934" s="376">
        <v>921.65</v>
      </c>
      <c r="F934" s="401">
        <v>398</v>
      </c>
      <c r="G934" s="401">
        <f t="shared" si="70"/>
        <v>865.1</v>
      </c>
      <c r="H934" s="402">
        <f t="shared" si="68"/>
        <v>-22506.900000000023</v>
      </c>
      <c r="I934" s="402">
        <f t="shared" si="69"/>
        <v>344309.8</v>
      </c>
      <c r="M934" s="535"/>
      <c r="N934" s="535"/>
      <c r="O934" s="535"/>
    </row>
    <row r="935" spans="2:15" hidden="1">
      <c r="B935" s="156">
        <v>45244</v>
      </c>
      <c r="C935" s="255" t="s">
        <v>1640</v>
      </c>
      <c r="D935" s="402">
        <f t="shared" si="71"/>
        <v>5182898.7749999994</v>
      </c>
      <c r="E935" s="376">
        <v>921.65</v>
      </c>
      <c r="F935" s="401">
        <v>5623.5</v>
      </c>
      <c r="G935" s="401">
        <f t="shared" si="70"/>
        <v>865.1</v>
      </c>
      <c r="H935" s="402">
        <f t="shared" si="68"/>
        <v>-318008.92499999888</v>
      </c>
      <c r="I935" s="402">
        <f t="shared" si="69"/>
        <v>4864889.8500000006</v>
      </c>
      <c r="M935" s="535"/>
      <c r="N935" s="535"/>
      <c r="O935" s="535"/>
    </row>
    <row r="936" spans="2:15" hidden="1">
      <c r="B936" s="156">
        <v>45244</v>
      </c>
      <c r="C936" s="255" t="s">
        <v>1641</v>
      </c>
      <c r="D936" s="402">
        <f t="shared" si="71"/>
        <v>275112.52499999997</v>
      </c>
      <c r="E936" s="376">
        <v>921.65</v>
      </c>
      <c r="F936" s="401">
        <v>298.5</v>
      </c>
      <c r="G936" s="401">
        <f t="shared" si="70"/>
        <v>865.1</v>
      </c>
      <c r="H936" s="402">
        <f t="shared" si="68"/>
        <v>-16880.174999999959</v>
      </c>
      <c r="I936" s="402">
        <f t="shared" si="69"/>
        <v>258232.35</v>
      </c>
      <c r="M936" s="535"/>
      <c r="N936" s="535"/>
      <c r="O936" s="535"/>
    </row>
    <row r="937" spans="2:15" hidden="1">
      <c r="B937" s="156">
        <v>45244</v>
      </c>
      <c r="C937" s="255" t="s">
        <v>1642</v>
      </c>
      <c r="D937" s="402">
        <f t="shared" si="71"/>
        <v>366816.7</v>
      </c>
      <c r="E937" s="376">
        <v>921.65</v>
      </c>
      <c r="F937" s="401">
        <v>398</v>
      </c>
      <c r="G937" s="401">
        <f t="shared" si="70"/>
        <v>865.1</v>
      </c>
      <c r="H937" s="402">
        <f t="shared" si="68"/>
        <v>-22506.900000000023</v>
      </c>
      <c r="I937" s="402">
        <f t="shared" si="69"/>
        <v>344309.8</v>
      </c>
      <c r="M937" s="535"/>
      <c r="N937" s="535"/>
      <c r="O937" s="535"/>
    </row>
    <row r="938" spans="2:15" hidden="1">
      <c r="B938" s="156">
        <v>45244</v>
      </c>
      <c r="C938" s="255" t="s">
        <v>1643</v>
      </c>
      <c r="D938" s="402">
        <f t="shared" si="71"/>
        <v>470594.49</v>
      </c>
      <c r="E938" s="376">
        <v>921.65</v>
      </c>
      <c r="F938" s="401">
        <v>510.6</v>
      </c>
      <c r="G938" s="401">
        <f t="shared" si="70"/>
        <v>865.1</v>
      </c>
      <c r="H938" s="402">
        <f t="shared" si="68"/>
        <v>-28874.429999999935</v>
      </c>
      <c r="I938" s="402">
        <f t="shared" si="69"/>
        <v>441720.06000000006</v>
      </c>
      <c r="M938" s="535"/>
      <c r="N938" s="535"/>
      <c r="O938" s="535"/>
    </row>
    <row r="939" spans="2:15" hidden="1">
      <c r="B939" s="156">
        <v>45244</v>
      </c>
      <c r="C939" s="255" t="s">
        <v>1644</v>
      </c>
      <c r="D939" s="402">
        <f t="shared" si="71"/>
        <v>313729.65999999997</v>
      </c>
      <c r="E939" s="376">
        <v>921.65</v>
      </c>
      <c r="F939" s="401">
        <v>340.4</v>
      </c>
      <c r="G939" s="401">
        <f t="shared" si="70"/>
        <v>865.1</v>
      </c>
      <c r="H939" s="402">
        <f t="shared" si="68"/>
        <v>-19249.619999999995</v>
      </c>
      <c r="I939" s="402">
        <f t="shared" si="69"/>
        <v>294480.03999999998</v>
      </c>
      <c r="M939" s="535"/>
      <c r="N939" s="535"/>
      <c r="O939" s="535"/>
    </row>
    <row r="940" spans="2:15" hidden="1">
      <c r="B940" s="156">
        <v>45244</v>
      </c>
      <c r="C940" s="255" t="s">
        <v>1645</v>
      </c>
      <c r="D940" s="402">
        <f t="shared" si="71"/>
        <v>275112.52499999997</v>
      </c>
      <c r="E940" s="376">
        <v>921.65</v>
      </c>
      <c r="F940" s="401">
        <v>298.5</v>
      </c>
      <c r="G940" s="401">
        <f t="shared" si="70"/>
        <v>865.1</v>
      </c>
      <c r="H940" s="402">
        <f t="shared" si="68"/>
        <v>-16880.174999999959</v>
      </c>
      <c r="I940" s="402">
        <f t="shared" si="69"/>
        <v>258232.35</v>
      </c>
      <c r="M940" s="535"/>
      <c r="N940" s="535"/>
      <c r="O940" s="535"/>
    </row>
    <row r="941" spans="2:15" hidden="1">
      <c r="B941" s="156">
        <v>45253</v>
      </c>
      <c r="C941" s="255" t="s">
        <v>1646</v>
      </c>
      <c r="D941" s="402">
        <f t="shared" si="71"/>
        <v>6703702.2360000005</v>
      </c>
      <c r="E941" s="376">
        <v>874.86</v>
      </c>
      <c r="F941" s="401">
        <v>7662.6</v>
      </c>
      <c r="G941" s="401">
        <f t="shared" si="70"/>
        <v>865.1</v>
      </c>
      <c r="H941" s="402">
        <f t="shared" si="68"/>
        <v>-74786.975999999791</v>
      </c>
      <c r="I941" s="402">
        <f t="shared" si="69"/>
        <v>6628915.2600000007</v>
      </c>
      <c r="M941" s="535"/>
      <c r="N941" s="535"/>
      <c r="O941" s="535"/>
    </row>
    <row r="942" spans="2:15" hidden="1">
      <c r="B942" s="156">
        <v>45253</v>
      </c>
      <c r="C942" s="255" t="s">
        <v>1647</v>
      </c>
      <c r="D942" s="402">
        <f t="shared" si="71"/>
        <v>415208.55600000004</v>
      </c>
      <c r="E942" s="376">
        <v>874.86</v>
      </c>
      <c r="F942" s="401">
        <v>474.6</v>
      </c>
      <c r="G942" s="401">
        <f t="shared" si="70"/>
        <v>865.1</v>
      </c>
      <c r="H942" s="402">
        <f t="shared" si="68"/>
        <v>-4632.0960000000196</v>
      </c>
      <c r="I942" s="402">
        <f t="shared" si="69"/>
        <v>410576.46</v>
      </c>
      <c r="M942" s="535"/>
      <c r="N942" s="535"/>
      <c r="O942" s="535"/>
    </row>
    <row r="943" spans="2:15" hidden="1">
      <c r="B943" s="156">
        <v>45253</v>
      </c>
      <c r="C943" s="255" t="s">
        <v>1648</v>
      </c>
      <c r="D943" s="402">
        <f t="shared" si="71"/>
        <v>2046822.456</v>
      </c>
      <c r="E943" s="376">
        <v>874.86</v>
      </c>
      <c r="F943" s="401">
        <v>2339.6</v>
      </c>
      <c r="G943" s="401">
        <f t="shared" si="70"/>
        <v>865.1</v>
      </c>
      <c r="H943" s="402">
        <f t="shared" si="68"/>
        <v>-22834.496000000043</v>
      </c>
      <c r="I943" s="402">
        <f t="shared" si="69"/>
        <v>2023987.96</v>
      </c>
      <c r="M943" s="535"/>
      <c r="N943" s="535"/>
      <c r="O943" s="535"/>
    </row>
    <row r="944" spans="2:15" hidden="1">
      <c r="B944" s="156">
        <v>45253</v>
      </c>
      <c r="C944" s="255" t="s">
        <v>1649</v>
      </c>
      <c r="D944" s="402">
        <f t="shared" si="71"/>
        <v>4581379.3619999997</v>
      </c>
      <c r="E944" s="376">
        <v>874.86</v>
      </c>
      <c r="F944" s="401">
        <v>5236.7</v>
      </c>
      <c r="G944" s="401">
        <f t="shared" si="70"/>
        <v>865.1</v>
      </c>
      <c r="H944" s="402">
        <f t="shared" si="68"/>
        <v>-51110.191999999806</v>
      </c>
      <c r="I944" s="402">
        <f t="shared" si="69"/>
        <v>4530269.17</v>
      </c>
      <c r="M944" s="535"/>
      <c r="N944" s="535"/>
      <c r="O944" s="535"/>
    </row>
    <row r="945" spans="2:15" hidden="1">
      <c r="B945" s="156">
        <v>45253</v>
      </c>
      <c r="C945" s="255" t="s">
        <v>1650</v>
      </c>
      <c r="D945" s="402">
        <f t="shared" si="71"/>
        <v>5550986.7000000002</v>
      </c>
      <c r="E945" s="376">
        <v>874.86</v>
      </c>
      <c r="F945" s="401">
        <v>6345</v>
      </c>
      <c r="G945" s="401">
        <f t="shared" si="70"/>
        <v>865.1</v>
      </c>
      <c r="H945" s="402">
        <f t="shared" si="68"/>
        <v>-61927.200000000186</v>
      </c>
      <c r="I945" s="402">
        <f t="shared" si="69"/>
        <v>5489059.5</v>
      </c>
      <c r="M945" s="535"/>
      <c r="N945" s="535"/>
      <c r="O945" s="535"/>
    </row>
    <row r="946" spans="2:15" hidden="1">
      <c r="B946" s="156">
        <v>45253</v>
      </c>
      <c r="C946" s="255" t="s">
        <v>1651</v>
      </c>
      <c r="D946" s="402">
        <f t="shared" si="71"/>
        <v>1745520.672</v>
      </c>
      <c r="E946" s="376">
        <v>874.86</v>
      </c>
      <c r="F946" s="401">
        <v>1995.2</v>
      </c>
      <c r="G946" s="401">
        <f t="shared" si="70"/>
        <v>865.1</v>
      </c>
      <c r="H946" s="402">
        <f t="shared" si="68"/>
        <v>-19473.152000000002</v>
      </c>
      <c r="I946" s="402">
        <f t="shared" si="69"/>
        <v>1726047.52</v>
      </c>
      <c r="M946" s="535"/>
      <c r="N946" s="535"/>
      <c r="O946" s="535"/>
    </row>
    <row r="947" spans="2:15" hidden="1">
      <c r="B947" s="156">
        <v>45253</v>
      </c>
      <c r="C947" s="255" t="s">
        <v>1652</v>
      </c>
      <c r="D947" s="402">
        <f t="shared" si="71"/>
        <v>840915.43200000003</v>
      </c>
      <c r="E947" s="376">
        <v>874.86</v>
      </c>
      <c r="F947" s="401">
        <v>961.2</v>
      </c>
      <c r="G947" s="401">
        <f t="shared" si="70"/>
        <v>865.1</v>
      </c>
      <c r="H947" s="402">
        <f t="shared" si="68"/>
        <v>-9381.311999999918</v>
      </c>
      <c r="I947" s="402">
        <f t="shared" si="69"/>
        <v>831534.12000000011</v>
      </c>
      <c r="M947" s="535"/>
      <c r="N947" s="535"/>
      <c r="O947" s="535"/>
    </row>
    <row r="948" spans="2:15" hidden="1">
      <c r="B948" s="156">
        <v>45253</v>
      </c>
      <c r="C948" s="255" t="s">
        <v>1653</v>
      </c>
      <c r="D948" s="402">
        <f t="shared" si="71"/>
        <v>1192171.7220000001</v>
      </c>
      <c r="E948" s="376">
        <v>874.86</v>
      </c>
      <c r="F948" s="401">
        <v>1362.7</v>
      </c>
      <c r="G948" s="401">
        <f t="shared" si="70"/>
        <v>865.1</v>
      </c>
      <c r="H948" s="402">
        <f t="shared" si="68"/>
        <v>-13299.952000000048</v>
      </c>
      <c r="I948" s="402">
        <f t="shared" si="69"/>
        <v>1178871.77</v>
      </c>
      <c r="M948" s="535"/>
      <c r="N948" s="535"/>
      <c r="O948" s="535"/>
    </row>
    <row r="949" spans="2:15" hidden="1">
      <c r="B949" s="156">
        <v>45253</v>
      </c>
      <c r="C949" s="255" t="s">
        <v>1654</v>
      </c>
      <c r="D949" s="402">
        <f t="shared" si="71"/>
        <v>1261373.148</v>
      </c>
      <c r="E949" s="376">
        <v>874.86</v>
      </c>
      <c r="F949" s="401">
        <v>1441.8</v>
      </c>
      <c r="G949" s="401">
        <f t="shared" si="70"/>
        <v>865.1</v>
      </c>
      <c r="H949" s="402">
        <f t="shared" si="68"/>
        <v>-14071.96800000011</v>
      </c>
      <c r="I949" s="402">
        <f t="shared" si="69"/>
        <v>1247301.18</v>
      </c>
      <c r="M949" s="535"/>
      <c r="N949" s="535"/>
      <c r="O949" s="535"/>
    </row>
    <row r="950" spans="2:15" hidden="1">
      <c r="B950" s="156">
        <v>45253</v>
      </c>
      <c r="C950" s="255" t="s">
        <v>1655</v>
      </c>
      <c r="D950" s="402">
        <f t="shared" si="71"/>
        <v>840915.43200000003</v>
      </c>
      <c r="E950" s="376">
        <v>874.86</v>
      </c>
      <c r="F950" s="401">
        <v>961.2</v>
      </c>
      <c r="G950" s="401">
        <f t="shared" si="70"/>
        <v>865.1</v>
      </c>
      <c r="H950" s="402">
        <f t="shared" si="68"/>
        <v>-9381.311999999918</v>
      </c>
      <c r="I950" s="402">
        <f t="shared" si="69"/>
        <v>831534.12000000011</v>
      </c>
      <c r="M950" s="535"/>
      <c r="N950" s="535"/>
      <c r="O950" s="535"/>
    </row>
    <row r="951" spans="2:15" hidden="1">
      <c r="B951" s="156">
        <v>45253</v>
      </c>
      <c r="C951" s="255" t="s">
        <v>1656</v>
      </c>
      <c r="D951" s="402">
        <f t="shared" si="71"/>
        <v>376627.23</v>
      </c>
      <c r="E951" s="376">
        <v>874.86</v>
      </c>
      <c r="F951" s="401">
        <v>430.5</v>
      </c>
      <c r="G951" s="401">
        <f t="shared" si="70"/>
        <v>865.1</v>
      </c>
      <c r="H951" s="402">
        <f t="shared" si="68"/>
        <v>-4201.679999999993</v>
      </c>
      <c r="I951" s="402">
        <f t="shared" si="69"/>
        <v>372425.55</v>
      </c>
      <c r="M951" s="535"/>
      <c r="N951" s="535"/>
      <c r="O951" s="535"/>
    </row>
    <row r="952" spans="2:15" hidden="1">
      <c r="B952" s="156">
        <v>45253</v>
      </c>
      <c r="C952" s="255" t="s">
        <v>1657</v>
      </c>
      <c r="D952" s="402">
        <f t="shared" si="71"/>
        <v>451952.67600000004</v>
      </c>
      <c r="E952" s="376">
        <v>874.86</v>
      </c>
      <c r="F952" s="401">
        <v>516.6</v>
      </c>
      <c r="G952" s="401">
        <f t="shared" si="70"/>
        <v>865.1</v>
      </c>
      <c r="H952" s="402">
        <f t="shared" si="68"/>
        <v>-5042.0160000000033</v>
      </c>
      <c r="I952" s="402">
        <f t="shared" si="69"/>
        <v>446910.66000000003</v>
      </c>
      <c r="M952" s="535"/>
      <c r="N952" s="535"/>
      <c r="O952" s="535"/>
    </row>
    <row r="953" spans="2:15" hidden="1">
      <c r="B953" s="156">
        <v>45253</v>
      </c>
      <c r="C953" s="255" t="s">
        <v>1658</v>
      </c>
      <c r="D953" s="402">
        <f t="shared" si="71"/>
        <v>301301.78399999999</v>
      </c>
      <c r="E953" s="376">
        <v>874.86</v>
      </c>
      <c r="F953" s="401">
        <v>344.4</v>
      </c>
      <c r="G953" s="401">
        <f t="shared" si="70"/>
        <v>865.1</v>
      </c>
      <c r="H953" s="402">
        <f t="shared" si="68"/>
        <v>-3361.3439999999828</v>
      </c>
      <c r="I953" s="402">
        <f t="shared" si="69"/>
        <v>297940.44</v>
      </c>
      <c r="M953" s="535"/>
      <c r="N953" s="535"/>
      <c r="O953" s="535"/>
    </row>
    <row r="954" spans="2:15" hidden="1">
      <c r="B954" s="156">
        <v>45260</v>
      </c>
      <c r="C954" s="255" t="s">
        <v>673</v>
      </c>
      <c r="D954" s="402">
        <v>-256395168</v>
      </c>
      <c r="E954" s="376">
        <v>869.56</v>
      </c>
      <c r="F954" s="401">
        <f>D954/E954</f>
        <v>-294856.21233727405</v>
      </c>
      <c r="G954" s="401">
        <f t="shared" ref="G954:G975" si="72">+G804</f>
        <v>865.1</v>
      </c>
      <c r="H954" s="402">
        <f>+I954-D954</f>
        <v>1315058.7070242167</v>
      </c>
      <c r="I954" s="402">
        <f>+F954*G954</f>
        <v>-255080109.29297578</v>
      </c>
    </row>
    <row r="955" spans="2:15" hidden="1">
      <c r="B955" s="156">
        <v>45274</v>
      </c>
      <c r="C955" s="255" t="s">
        <v>1666</v>
      </c>
      <c r="D955" s="402">
        <f t="shared" si="71"/>
        <v>1166104.0999999999</v>
      </c>
      <c r="E955" s="376">
        <v>876.77</v>
      </c>
      <c r="F955" s="401">
        <v>1330</v>
      </c>
      <c r="G955" s="401">
        <f t="shared" si="72"/>
        <v>865.1</v>
      </c>
      <c r="H955" s="402">
        <f t="shared" ref="H955:H979" si="73">+I955-D955</f>
        <v>-15521.09999999986</v>
      </c>
      <c r="I955" s="402">
        <f t="shared" ref="I955:I979" si="74">+F955*G955</f>
        <v>1150583</v>
      </c>
    </row>
    <row r="956" spans="2:15" hidden="1">
      <c r="B956" s="156">
        <v>45288</v>
      </c>
      <c r="C956" s="255" t="s">
        <v>1686</v>
      </c>
      <c r="D956" s="402">
        <f t="shared" si="71"/>
        <v>2781866.7239999999</v>
      </c>
      <c r="E956" s="376">
        <v>886.34</v>
      </c>
      <c r="F956" s="401">
        <v>3138.6</v>
      </c>
      <c r="G956" s="401">
        <f t="shared" si="72"/>
        <v>865.1</v>
      </c>
      <c r="H956" s="402">
        <f t="shared" si="73"/>
        <v>-66663.86400000006</v>
      </c>
      <c r="I956" s="402">
        <f t="shared" si="74"/>
        <v>2715202.86</v>
      </c>
    </row>
    <row r="957" spans="2:15" hidden="1">
      <c r="B957" s="156">
        <v>45265</v>
      </c>
      <c r="C957" s="255" t="s">
        <v>1667</v>
      </c>
      <c r="D957" s="402">
        <f t="shared" si="71"/>
        <v>154020.51</v>
      </c>
      <c r="E957" s="376">
        <v>862.86</v>
      </c>
      <c r="F957" s="401">
        <v>178.5</v>
      </c>
      <c r="G957" s="401">
        <f t="shared" si="72"/>
        <v>865.1</v>
      </c>
      <c r="H957" s="402">
        <f t="shared" si="73"/>
        <v>399.83999999999651</v>
      </c>
      <c r="I957" s="402">
        <f t="shared" si="74"/>
        <v>154420.35</v>
      </c>
    </row>
    <row r="958" spans="2:15" hidden="1">
      <c r="B958" s="156">
        <v>45265</v>
      </c>
      <c r="C958" s="255" t="s">
        <v>1668</v>
      </c>
      <c r="D958" s="402">
        <f t="shared" si="71"/>
        <v>205360.68</v>
      </c>
      <c r="E958" s="376">
        <v>862.86</v>
      </c>
      <c r="F958" s="401">
        <v>238</v>
      </c>
      <c r="G958" s="401">
        <f t="shared" si="72"/>
        <v>865.1</v>
      </c>
      <c r="H958" s="402">
        <f t="shared" si="73"/>
        <v>533.12000000002445</v>
      </c>
      <c r="I958" s="402">
        <f t="shared" si="74"/>
        <v>205893.80000000002</v>
      </c>
    </row>
    <row r="959" spans="2:15" hidden="1">
      <c r="B959" s="156">
        <v>45265</v>
      </c>
      <c r="C959" s="255" t="s">
        <v>1669</v>
      </c>
      <c r="D959" s="402">
        <f t="shared" si="71"/>
        <v>205360.68</v>
      </c>
      <c r="E959" s="376">
        <v>862.86</v>
      </c>
      <c r="F959" s="401">
        <v>238</v>
      </c>
      <c r="G959" s="401">
        <f t="shared" si="72"/>
        <v>865.1</v>
      </c>
      <c r="H959" s="402">
        <f t="shared" si="73"/>
        <v>533.12000000002445</v>
      </c>
      <c r="I959" s="402">
        <f t="shared" si="74"/>
        <v>205893.80000000002</v>
      </c>
    </row>
    <row r="960" spans="2:15" hidden="1">
      <c r="B960" s="156">
        <v>45265</v>
      </c>
      <c r="C960" s="255" t="s">
        <v>1670</v>
      </c>
      <c r="D960" s="402">
        <f t="shared" si="71"/>
        <v>256700.85</v>
      </c>
      <c r="E960" s="376">
        <v>862.86</v>
      </c>
      <c r="F960" s="401">
        <v>297.5</v>
      </c>
      <c r="G960" s="401">
        <f t="shared" si="72"/>
        <v>865.1</v>
      </c>
      <c r="H960" s="402">
        <f t="shared" si="73"/>
        <v>666.39999999999418</v>
      </c>
      <c r="I960" s="402">
        <f t="shared" si="74"/>
        <v>257367.25</v>
      </c>
    </row>
    <row r="961" spans="2:9" hidden="1">
      <c r="B961" s="156">
        <v>45265</v>
      </c>
      <c r="C961" s="255" t="s">
        <v>1671</v>
      </c>
      <c r="D961" s="402">
        <f t="shared" si="71"/>
        <v>11649904.290000001</v>
      </c>
      <c r="E961" s="376">
        <v>862.86</v>
      </c>
      <c r="F961" s="401">
        <v>13501.5</v>
      </c>
      <c r="G961" s="401">
        <f t="shared" si="72"/>
        <v>865.1</v>
      </c>
      <c r="H961" s="402">
        <f t="shared" si="73"/>
        <v>30243.359999999404</v>
      </c>
      <c r="I961" s="402">
        <f t="shared" si="74"/>
        <v>11680147.65</v>
      </c>
    </row>
    <row r="962" spans="2:9" hidden="1">
      <c r="B962" s="156">
        <v>45265</v>
      </c>
      <c r="C962" s="255" t="s">
        <v>1672</v>
      </c>
      <c r="D962" s="402">
        <f t="shared" si="71"/>
        <v>17940101.918400001</v>
      </c>
      <c r="E962" s="376">
        <v>862.86</v>
      </c>
      <c r="F962" s="401">
        <v>20791.439999999999</v>
      </c>
      <c r="G962" s="401">
        <f t="shared" si="72"/>
        <v>865.1</v>
      </c>
      <c r="H962" s="402">
        <f t="shared" si="73"/>
        <v>46572.825599998236</v>
      </c>
      <c r="I962" s="402">
        <f t="shared" si="74"/>
        <v>17986674.743999999</v>
      </c>
    </row>
    <row r="963" spans="2:9" hidden="1">
      <c r="B963" s="156">
        <v>45266</v>
      </c>
      <c r="C963" s="255" t="s">
        <v>1673</v>
      </c>
      <c r="D963" s="402">
        <f t="shared" si="71"/>
        <v>641699.5</v>
      </c>
      <c r="E963" s="376">
        <v>874.25</v>
      </c>
      <c r="F963" s="401">
        <v>734</v>
      </c>
      <c r="G963" s="401">
        <f t="shared" si="72"/>
        <v>865.1</v>
      </c>
      <c r="H963" s="402">
        <f t="shared" si="73"/>
        <v>-6716.0999999999767</v>
      </c>
      <c r="I963" s="402">
        <f t="shared" si="74"/>
        <v>634983.4</v>
      </c>
    </row>
    <row r="964" spans="2:9" hidden="1">
      <c r="B964" s="156">
        <v>45266</v>
      </c>
      <c r="C964" s="255" t="s">
        <v>1674</v>
      </c>
      <c r="D964" s="402">
        <f t="shared" si="71"/>
        <v>802124.375</v>
      </c>
      <c r="E964" s="376">
        <v>874.25</v>
      </c>
      <c r="F964" s="401">
        <v>917.5</v>
      </c>
      <c r="G964" s="401">
        <f t="shared" si="72"/>
        <v>865.1</v>
      </c>
      <c r="H964" s="402">
        <f t="shared" si="73"/>
        <v>-8395.125</v>
      </c>
      <c r="I964" s="402">
        <f t="shared" si="74"/>
        <v>793729.25</v>
      </c>
    </row>
    <row r="965" spans="2:9" hidden="1">
      <c r="B965" s="156">
        <v>45266</v>
      </c>
      <c r="C965" s="255" t="s">
        <v>1675</v>
      </c>
      <c r="D965" s="402">
        <f t="shared" si="71"/>
        <v>208071.5</v>
      </c>
      <c r="E965" s="376">
        <v>874.25</v>
      </c>
      <c r="F965" s="401">
        <v>238</v>
      </c>
      <c r="G965" s="401">
        <f t="shared" si="72"/>
        <v>865.1</v>
      </c>
      <c r="H965" s="402">
        <f t="shared" si="73"/>
        <v>-2177.6999999999825</v>
      </c>
      <c r="I965" s="402">
        <f t="shared" si="74"/>
        <v>205893.80000000002</v>
      </c>
    </row>
    <row r="966" spans="2:9" hidden="1">
      <c r="B966" s="156">
        <v>45266</v>
      </c>
      <c r="C966" s="255" t="s">
        <v>1676</v>
      </c>
      <c r="D966" s="402">
        <f t="shared" si="71"/>
        <v>260089.375</v>
      </c>
      <c r="E966" s="376">
        <v>874.25</v>
      </c>
      <c r="F966" s="401">
        <v>297.5</v>
      </c>
      <c r="G966" s="401">
        <f t="shared" si="72"/>
        <v>865.1</v>
      </c>
      <c r="H966" s="402">
        <f t="shared" si="73"/>
        <v>-2722.125</v>
      </c>
      <c r="I966" s="402">
        <f t="shared" si="74"/>
        <v>257367.25</v>
      </c>
    </row>
    <row r="967" spans="2:9" hidden="1">
      <c r="B967" s="156">
        <v>45266</v>
      </c>
      <c r="C967" s="255" t="s">
        <v>1677</v>
      </c>
      <c r="D967" s="402">
        <f t="shared" si="71"/>
        <v>2945348.25</v>
      </c>
      <c r="E967" s="376">
        <v>874.25</v>
      </c>
      <c r="F967" s="401">
        <v>3369</v>
      </c>
      <c r="G967" s="401">
        <f t="shared" si="72"/>
        <v>865.1</v>
      </c>
      <c r="H967" s="402">
        <f t="shared" si="73"/>
        <v>-30826.350000000093</v>
      </c>
      <c r="I967" s="402">
        <f t="shared" si="74"/>
        <v>2914521.9</v>
      </c>
    </row>
    <row r="968" spans="2:9" hidden="1">
      <c r="B968" s="156">
        <v>45266</v>
      </c>
      <c r="C968" s="255" t="s">
        <v>1678</v>
      </c>
      <c r="D968" s="402">
        <f t="shared" si="71"/>
        <v>1355961.75</v>
      </c>
      <c r="E968" s="376">
        <v>874.25</v>
      </c>
      <c r="F968" s="401">
        <v>1551</v>
      </c>
      <c r="G968" s="401">
        <f t="shared" si="72"/>
        <v>865.1</v>
      </c>
      <c r="H968" s="402">
        <f t="shared" si="73"/>
        <v>-14191.649999999907</v>
      </c>
      <c r="I968" s="402">
        <f t="shared" si="74"/>
        <v>1341770.1000000001</v>
      </c>
    </row>
    <row r="969" spans="2:9" hidden="1">
      <c r="B969" s="156">
        <v>45266</v>
      </c>
      <c r="C969" s="255" t="s">
        <v>1679</v>
      </c>
      <c r="D969" s="402">
        <f t="shared" si="71"/>
        <v>1456500.5</v>
      </c>
      <c r="E969" s="376">
        <v>874.25</v>
      </c>
      <c r="F969" s="401">
        <v>1666</v>
      </c>
      <c r="G969" s="401">
        <f t="shared" si="72"/>
        <v>865.1</v>
      </c>
      <c r="H969" s="402">
        <f t="shared" si="73"/>
        <v>-15243.899999999907</v>
      </c>
      <c r="I969" s="402">
        <f t="shared" si="74"/>
        <v>1441256.6</v>
      </c>
    </row>
    <row r="970" spans="2:9" hidden="1">
      <c r="B970" s="156">
        <v>45266</v>
      </c>
      <c r="C970" s="255" t="s">
        <v>1680</v>
      </c>
      <c r="D970" s="402">
        <f t="shared" si="71"/>
        <v>1624356.5</v>
      </c>
      <c r="E970" s="376">
        <v>874.25</v>
      </c>
      <c r="F970" s="401">
        <v>1858</v>
      </c>
      <c r="G970" s="401">
        <f t="shared" si="72"/>
        <v>865.1</v>
      </c>
      <c r="H970" s="402">
        <f t="shared" si="73"/>
        <v>-17000.699999999953</v>
      </c>
      <c r="I970" s="402">
        <f t="shared" si="74"/>
        <v>1607355.8</v>
      </c>
    </row>
    <row r="971" spans="2:9" hidden="1">
      <c r="B971" s="156">
        <v>45266</v>
      </c>
      <c r="C971" s="255" t="s">
        <v>1681</v>
      </c>
      <c r="D971" s="402">
        <f t="shared" si="71"/>
        <v>78640536</v>
      </c>
      <c r="E971" s="376">
        <v>874.25</v>
      </c>
      <c r="F971" s="401">
        <v>89952</v>
      </c>
      <c r="G971" s="401">
        <f t="shared" si="72"/>
        <v>865.1</v>
      </c>
      <c r="H971" s="402">
        <f t="shared" si="73"/>
        <v>-823060.79999999702</v>
      </c>
      <c r="I971" s="402">
        <f t="shared" si="74"/>
        <v>77817475.200000003</v>
      </c>
    </row>
    <row r="972" spans="2:9" hidden="1">
      <c r="B972" s="156">
        <v>45266</v>
      </c>
      <c r="C972" s="255" t="s">
        <v>1682</v>
      </c>
      <c r="D972" s="402">
        <f t="shared" si="71"/>
        <v>1407979.625</v>
      </c>
      <c r="E972" s="376">
        <v>874.25</v>
      </c>
      <c r="F972" s="401">
        <v>1610.5</v>
      </c>
      <c r="G972" s="401">
        <f t="shared" si="72"/>
        <v>865.1</v>
      </c>
      <c r="H972" s="402">
        <f t="shared" si="73"/>
        <v>-14736.074999999953</v>
      </c>
      <c r="I972" s="402">
        <f t="shared" si="74"/>
        <v>1393243.55</v>
      </c>
    </row>
    <row r="973" spans="2:9" hidden="1">
      <c r="B973" s="156">
        <v>45266</v>
      </c>
      <c r="C973" s="255" t="s">
        <v>1683</v>
      </c>
      <c r="D973" s="402">
        <f t="shared" si="71"/>
        <v>1624356.5</v>
      </c>
      <c r="E973" s="376">
        <v>874.25</v>
      </c>
      <c r="F973" s="401">
        <v>1858</v>
      </c>
      <c r="G973" s="401">
        <f t="shared" si="72"/>
        <v>865.1</v>
      </c>
      <c r="H973" s="402">
        <f t="shared" si="73"/>
        <v>-17000.699999999953</v>
      </c>
      <c r="I973" s="402">
        <f t="shared" si="74"/>
        <v>1607355.8</v>
      </c>
    </row>
    <row r="974" spans="2:9" hidden="1">
      <c r="B974" s="156">
        <v>45266</v>
      </c>
      <c r="C974" s="255" t="s">
        <v>1684</v>
      </c>
      <c r="D974" s="402">
        <f t="shared" si="71"/>
        <v>1407979.625</v>
      </c>
      <c r="E974" s="376">
        <v>874.25</v>
      </c>
      <c r="F974" s="401">
        <v>1610.5</v>
      </c>
      <c r="G974" s="401">
        <f t="shared" si="72"/>
        <v>865.1</v>
      </c>
      <c r="H974" s="402">
        <f t="shared" si="73"/>
        <v>-14736.074999999953</v>
      </c>
      <c r="I974" s="402">
        <f t="shared" si="74"/>
        <v>1393243.55</v>
      </c>
    </row>
    <row r="975" spans="2:9" hidden="1">
      <c r="B975" s="156">
        <v>45266</v>
      </c>
      <c r="C975" s="255" t="s">
        <v>1685</v>
      </c>
      <c r="D975" s="402">
        <f t="shared" si="71"/>
        <v>1456500.5</v>
      </c>
      <c r="E975" s="376">
        <v>874.25</v>
      </c>
      <c r="F975" s="401">
        <v>1666</v>
      </c>
      <c r="G975" s="401">
        <f t="shared" si="72"/>
        <v>865.1</v>
      </c>
      <c r="H975" s="402">
        <f t="shared" si="73"/>
        <v>-15243.899999999907</v>
      </c>
      <c r="I975" s="402">
        <f t="shared" si="74"/>
        <v>1441256.6</v>
      </c>
    </row>
    <row r="976" spans="2:9">
      <c r="B976" s="156">
        <v>45291</v>
      </c>
      <c r="C976" s="255" t="s">
        <v>673</v>
      </c>
      <c r="D976" s="402">
        <f>E976*F976</f>
        <v>-137692595.65439999</v>
      </c>
      <c r="E976" s="376">
        <v>877.12</v>
      </c>
      <c r="F976" s="401">
        <v>-156982.62</v>
      </c>
      <c r="G976" s="401">
        <f>+G824</f>
        <v>865.1</v>
      </c>
      <c r="H976" s="402">
        <f t="shared" si="73"/>
        <v>1886931.0923999846</v>
      </c>
      <c r="I976" s="402">
        <f t="shared" si="74"/>
        <v>-135805664.56200001</v>
      </c>
    </row>
    <row r="977" spans="2:9">
      <c r="B977" s="156">
        <v>45268</v>
      </c>
      <c r="C977" s="255" t="s">
        <v>2326</v>
      </c>
      <c r="D977" s="402">
        <f>E977*F977</f>
        <v>321716.60639999999</v>
      </c>
      <c r="E977" s="376">
        <v>874.42</v>
      </c>
      <c r="F977" s="401">
        <v>367.92</v>
      </c>
      <c r="G977" s="401">
        <f>+G1289</f>
        <v>865.1</v>
      </c>
      <c r="H977" s="402">
        <f>+I977-D977</f>
        <v>-3429.0143999999855</v>
      </c>
      <c r="I977" s="402">
        <f>+F977*G977</f>
        <v>318287.592</v>
      </c>
    </row>
    <row r="978" spans="2:9">
      <c r="B978" s="156">
        <v>45310</v>
      </c>
      <c r="C978" s="255" t="s">
        <v>1713</v>
      </c>
      <c r="D978" s="402">
        <f t="shared" si="71"/>
        <v>1221764.6000000001</v>
      </c>
      <c r="E978" s="376">
        <v>918.62</v>
      </c>
      <c r="F978" s="401">
        <v>1330</v>
      </c>
      <c r="G978" s="401">
        <f>+G825</f>
        <v>865.1</v>
      </c>
      <c r="H978" s="402">
        <f t="shared" si="73"/>
        <v>-71181.600000000093</v>
      </c>
      <c r="I978" s="402">
        <f t="shared" si="74"/>
        <v>1150583</v>
      </c>
    </row>
    <row r="979" spans="2:9" hidden="1">
      <c r="B979" s="156">
        <v>45322</v>
      </c>
      <c r="C979" s="255" t="s">
        <v>673</v>
      </c>
      <c r="D979" s="402">
        <f t="shared" ref="D979:D1042" si="75">E979*F979</f>
        <v>-128120883.34920001</v>
      </c>
      <c r="E979" s="376">
        <v>932.26</v>
      </c>
      <c r="F979" s="401">
        <v>-137430.42000000001</v>
      </c>
      <c r="G979" s="401">
        <f t="shared" ref="G979:G1004" si="76">+G825</f>
        <v>865.1</v>
      </c>
      <c r="H979" s="402">
        <f t="shared" si="73"/>
        <v>9229827.0072000027</v>
      </c>
      <c r="I979" s="402">
        <f t="shared" si="74"/>
        <v>-118891056.34200001</v>
      </c>
    </row>
    <row r="980" spans="2:9" hidden="1">
      <c r="B980" s="156">
        <v>45331</v>
      </c>
      <c r="C980" s="255" t="s">
        <v>1758</v>
      </c>
      <c r="D980" s="402">
        <f t="shared" si="75"/>
        <v>1438514.148</v>
      </c>
      <c r="E980" s="376">
        <v>957.86</v>
      </c>
      <c r="F980" s="401">
        <v>1501.8</v>
      </c>
      <c r="G980" s="401">
        <f t="shared" si="76"/>
        <v>865.1</v>
      </c>
      <c r="H980" s="402">
        <f t="shared" ref="H980:H1023" si="77">+I980-D980</f>
        <v>-139306.96800000011</v>
      </c>
      <c r="I980" s="402">
        <f t="shared" ref="I980:I1023" si="78">+F980*G980</f>
        <v>1299207.18</v>
      </c>
    </row>
    <row r="981" spans="2:9" hidden="1">
      <c r="B981" s="156">
        <v>45331</v>
      </c>
      <c r="C981" s="255" t="s">
        <v>1759</v>
      </c>
      <c r="D981" s="402">
        <f t="shared" si="75"/>
        <v>1438514.148</v>
      </c>
      <c r="E981" s="376">
        <v>957.86</v>
      </c>
      <c r="F981" s="401">
        <v>1501.8</v>
      </c>
      <c r="G981" s="401">
        <f t="shared" si="76"/>
        <v>865.1</v>
      </c>
      <c r="H981" s="402">
        <f t="shared" si="77"/>
        <v>-139306.96800000011</v>
      </c>
      <c r="I981" s="402">
        <f t="shared" si="78"/>
        <v>1299207.18</v>
      </c>
    </row>
    <row r="982" spans="2:9" hidden="1">
      <c r="B982" s="156">
        <v>45331</v>
      </c>
      <c r="C982" s="255" t="s">
        <v>1760</v>
      </c>
      <c r="D982" s="402">
        <f t="shared" si="75"/>
        <v>1438514.148</v>
      </c>
      <c r="E982" s="376">
        <v>957.86</v>
      </c>
      <c r="F982" s="401">
        <v>1501.8</v>
      </c>
      <c r="G982" s="401">
        <f t="shared" si="76"/>
        <v>865.1</v>
      </c>
      <c r="H982" s="402">
        <f t="shared" si="77"/>
        <v>-139306.96800000011</v>
      </c>
      <c r="I982" s="402">
        <f t="shared" si="78"/>
        <v>1299207.18</v>
      </c>
    </row>
    <row r="983" spans="2:9" hidden="1">
      <c r="B983" s="156">
        <v>45331</v>
      </c>
      <c r="C983" s="255" t="s">
        <v>1761</v>
      </c>
      <c r="D983" s="402">
        <f t="shared" si="75"/>
        <v>978166.6320000001</v>
      </c>
      <c r="E983" s="376">
        <v>957.86</v>
      </c>
      <c r="F983" s="401">
        <v>1021.2</v>
      </c>
      <c r="G983" s="401">
        <f t="shared" si="76"/>
        <v>865.1</v>
      </c>
      <c r="H983" s="402">
        <f t="shared" si="77"/>
        <v>-94726.511999999988</v>
      </c>
      <c r="I983" s="402">
        <f t="shared" si="78"/>
        <v>883440.12000000011</v>
      </c>
    </row>
    <row r="984" spans="2:9" hidden="1">
      <c r="B984" s="156">
        <v>45331</v>
      </c>
      <c r="C984" s="255" t="s">
        <v>1762</v>
      </c>
      <c r="D984" s="402">
        <f t="shared" si="75"/>
        <v>978166.6320000001</v>
      </c>
      <c r="E984" s="376">
        <v>957.86</v>
      </c>
      <c r="F984" s="401">
        <v>1021.2</v>
      </c>
      <c r="G984" s="401">
        <f t="shared" si="76"/>
        <v>865.1</v>
      </c>
      <c r="H984" s="402">
        <f t="shared" si="77"/>
        <v>-94726.511999999988</v>
      </c>
      <c r="I984" s="402">
        <f t="shared" si="78"/>
        <v>883440.12000000011</v>
      </c>
    </row>
    <row r="985" spans="2:9" hidden="1">
      <c r="B985" s="156">
        <v>45331</v>
      </c>
      <c r="C985" s="255" t="s">
        <v>1763</v>
      </c>
      <c r="D985" s="402">
        <f t="shared" si="75"/>
        <v>978166.6320000001</v>
      </c>
      <c r="E985" s="376">
        <v>957.86</v>
      </c>
      <c r="F985" s="401">
        <v>1021.2</v>
      </c>
      <c r="G985" s="401">
        <f t="shared" si="76"/>
        <v>865.1</v>
      </c>
      <c r="H985" s="402">
        <f t="shared" si="77"/>
        <v>-94726.511999999988</v>
      </c>
      <c r="I985" s="402">
        <f t="shared" si="78"/>
        <v>883440.12000000011</v>
      </c>
    </row>
    <row r="986" spans="2:9" hidden="1">
      <c r="B986" s="156">
        <v>45331</v>
      </c>
      <c r="C986" s="255" t="s">
        <v>1764</v>
      </c>
      <c r="D986" s="402">
        <f t="shared" si="75"/>
        <v>978166.6320000001</v>
      </c>
      <c r="E986" s="376">
        <v>957.86</v>
      </c>
      <c r="F986" s="401">
        <v>1021.2</v>
      </c>
      <c r="G986" s="401">
        <f t="shared" si="76"/>
        <v>865.1</v>
      </c>
      <c r="H986" s="402">
        <f t="shared" si="77"/>
        <v>-94726.511999999988</v>
      </c>
      <c r="I986" s="402">
        <f t="shared" si="78"/>
        <v>883440.12000000011</v>
      </c>
    </row>
    <row r="987" spans="2:9" hidden="1">
      <c r="B987" s="156">
        <v>45331</v>
      </c>
      <c r="C987" s="255" t="s">
        <v>1765</v>
      </c>
      <c r="D987" s="402">
        <f t="shared" si="75"/>
        <v>978166.6320000001</v>
      </c>
      <c r="E987" s="376">
        <v>957.86</v>
      </c>
      <c r="F987" s="401">
        <v>1021.2</v>
      </c>
      <c r="G987" s="401">
        <f t="shared" si="76"/>
        <v>865.1</v>
      </c>
      <c r="H987" s="402">
        <f t="shared" si="77"/>
        <v>-94726.511999999988</v>
      </c>
      <c r="I987" s="402">
        <f t="shared" si="78"/>
        <v>883440.12000000011</v>
      </c>
    </row>
    <row r="988" spans="2:9" hidden="1">
      <c r="B988" s="156">
        <v>45331</v>
      </c>
      <c r="C988" s="255" t="s">
        <v>1766</v>
      </c>
      <c r="D988" s="402">
        <f t="shared" si="75"/>
        <v>978166.6320000001</v>
      </c>
      <c r="E988" s="376">
        <v>957.86</v>
      </c>
      <c r="F988" s="401">
        <v>1021.2</v>
      </c>
      <c r="G988" s="401">
        <f t="shared" si="76"/>
        <v>865.1</v>
      </c>
      <c r="H988" s="402">
        <f t="shared" si="77"/>
        <v>-94726.511999999988</v>
      </c>
      <c r="I988" s="402">
        <f t="shared" si="78"/>
        <v>883440.12000000011</v>
      </c>
    </row>
    <row r="989" spans="2:9" hidden="1">
      <c r="B989" s="156">
        <v>45345</v>
      </c>
      <c r="C989" s="255" t="s">
        <v>1767</v>
      </c>
      <c r="D989" s="402">
        <f t="shared" si="75"/>
        <v>993392.72400000005</v>
      </c>
      <c r="E989" s="376">
        <v>972.77</v>
      </c>
      <c r="F989" s="401">
        <v>1021.2</v>
      </c>
      <c r="G989" s="401">
        <f t="shared" si="76"/>
        <v>865.1</v>
      </c>
      <c r="H989" s="402">
        <f t="shared" si="77"/>
        <v>-109952.60399999993</v>
      </c>
      <c r="I989" s="402">
        <f t="shared" si="78"/>
        <v>883440.12000000011</v>
      </c>
    </row>
    <row r="990" spans="2:9" hidden="1">
      <c r="B990" s="156">
        <v>45345</v>
      </c>
      <c r="C990" s="255" t="s">
        <v>1768</v>
      </c>
      <c r="D990" s="402">
        <f t="shared" si="75"/>
        <v>993392.72400000005</v>
      </c>
      <c r="E990" s="376">
        <v>972.77</v>
      </c>
      <c r="F990" s="401">
        <v>1021.2</v>
      </c>
      <c r="G990" s="401">
        <f t="shared" si="76"/>
        <v>865.1</v>
      </c>
      <c r="H990" s="402">
        <f t="shared" si="77"/>
        <v>-109952.60399999993</v>
      </c>
      <c r="I990" s="402">
        <f t="shared" si="78"/>
        <v>883440.12000000011</v>
      </c>
    </row>
    <row r="991" spans="2:9" hidden="1">
      <c r="B991" s="156">
        <v>45345</v>
      </c>
      <c r="C991" s="255" t="s">
        <v>1769</v>
      </c>
      <c r="D991" s="402">
        <f t="shared" si="75"/>
        <v>993392.72400000005</v>
      </c>
      <c r="E991" s="376">
        <v>972.77</v>
      </c>
      <c r="F991" s="401">
        <v>1021.2</v>
      </c>
      <c r="G991" s="401">
        <f t="shared" si="76"/>
        <v>865.1</v>
      </c>
      <c r="H991" s="402">
        <f t="shared" si="77"/>
        <v>-109952.60399999993</v>
      </c>
      <c r="I991" s="402">
        <f t="shared" si="78"/>
        <v>883440.12000000011</v>
      </c>
    </row>
    <row r="992" spans="2:9" hidden="1">
      <c r="B992" s="156">
        <v>45345</v>
      </c>
      <c r="C992" s="255" t="s">
        <v>1770</v>
      </c>
      <c r="D992" s="402">
        <f t="shared" si="75"/>
        <v>1460905.986</v>
      </c>
      <c r="E992" s="376">
        <v>972.77</v>
      </c>
      <c r="F992" s="401">
        <v>1501.8</v>
      </c>
      <c r="G992" s="401">
        <f t="shared" si="76"/>
        <v>865.1</v>
      </c>
      <c r="H992" s="402">
        <f t="shared" si="77"/>
        <v>-161698.8060000001</v>
      </c>
      <c r="I992" s="402">
        <f t="shared" si="78"/>
        <v>1299207.18</v>
      </c>
    </row>
    <row r="993" spans="2:9" hidden="1">
      <c r="B993" s="156">
        <v>45345</v>
      </c>
      <c r="C993" s="255" t="s">
        <v>1771</v>
      </c>
      <c r="D993" s="402">
        <f t="shared" si="75"/>
        <v>496696.36200000002</v>
      </c>
      <c r="E993" s="376">
        <v>972.77</v>
      </c>
      <c r="F993" s="401">
        <v>510.6</v>
      </c>
      <c r="G993" s="401">
        <f t="shared" si="76"/>
        <v>865.1</v>
      </c>
      <c r="H993" s="402">
        <f t="shared" si="77"/>
        <v>-54976.301999999967</v>
      </c>
      <c r="I993" s="402">
        <f t="shared" si="78"/>
        <v>441720.06000000006</v>
      </c>
    </row>
    <row r="994" spans="2:9" hidden="1">
      <c r="B994" s="156">
        <v>45345</v>
      </c>
      <c r="C994" s="255" t="s">
        <v>1772</v>
      </c>
      <c r="D994" s="402">
        <f t="shared" si="75"/>
        <v>496696.36200000002</v>
      </c>
      <c r="E994" s="376">
        <v>972.77</v>
      </c>
      <c r="F994" s="401">
        <v>510.6</v>
      </c>
      <c r="G994" s="401">
        <f t="shared" si="76"/>
        <v>865.1</v>
      </c>
      <c r="H994" s="402">
        <f t="shared" si="77"/>
        <v>-54976.301999999967</v>
      </c>
      <c r="I994" s="402">
        <f t="shared" si="78"/>
        <v>441720.06000000006</v>
      </c>
    </row>
    <row r="995" spans="2:9" hidden="1">
      <c r="B995" s="156">
        <v>45345</v>
      </c>
      <c r="C995" s="255" t="s">
        <v>1773</v>
      </c>
      <c r="D995" s="402">
        <f t="shared" si="75"/>
        <v>496696.36200000002</v>
      </c>
      <c r="E995" s="376">
        <v>972.77</v>
      </c>
      <c r="F995" s="401">
        <v>510.6</v>
      </c>
      <c r="G995" s="401">
        <f t="shared" si="76"/>
        <v>865.1</v>
      </c>
      <c r="H995" s="402">
        <f t="shared" si="77"/>
        <v>-54976.301999999967</v>
      </c>
      <c r="I995" s="402">
        <f t="shared" si="78"/>
        <v>441720.06000000006</v>
      </c>
    </row>
    <row r="996" spans="2:9" hidden="1">
      <c r="B996" s="156">
        <v>45345</v>
      </c>
      <c r="C996" s="255" t="s">
        <v>1774</v>
      </c>
      <c r="D996" s="402">
        <f t="shared" si="75"/>
        <v>496696.36200000002</v>
      </c>
      <c r="E996" s="376">
        <v>972.77</v>
      </c>
      <c r="F996" s="401">
        <v>510.6</v>
      </c>
      <c r="G996" s="401">
        <f t="shared" si="76"/>
        <v>865.1</v>
      </c>
      <c r="H996" s="402">
        <f t="shared" si="77"/>
        <v>-54976.301999999967</v>
      </c>
      <c r="I996" s="402">
        <f t="shared" si="78"/>
        <v>441720.06000000006</v>
      </c>
    </row>
    <row r="997" spans="2:9" hidden="1">
      <c r="B997" s="156">
        <v>45324</v>
      </c>
      <c r="C997" s="255" t="s">
        <v>1732</v>
      </c>
      <c r="D997" s="402">
        <f t="shared" si="75"/>
        <v>22659678.888</v>
      </c>
      <c r="E997" s="376">
        <v>936.01</v>
      </c>
      <c r="F997" s="401">
        <v>24208.799999999999</v>
      </c>
      <c r="G997" s="401">
        <f t="shared" si="76"/>
        <v>865.1</v>
      </c>
      <c r="H997" s="402">
        <f t="shared" si="77"/>
        <v>-1716646.0080000013</v>
      </c>
      <c r="I997" s="402">
        <f t="shared" si="78"/>
        <v>20943032.879999999</v>
      </c>
    </row>
    <row r="998" spans="2:9" hidden="1">
      <c r="B998" s="156">
        <v>45324</v>
      </c>
      <c r="C998" s="255" t="s">
        <v>1733</v>
      </c>
      <c r="D998" s="402">
        <f t="shared" si="75"/>
        <v>27497352.971999999</v>
      </c>
      <c r="E998" s="376">
        <v>936.01</v>
      </c>
      <c r="F998" s="401">
        <v>29377.200000000001</v>
      </c>
      <c r="G998" s="401">
        <f t="shared" si="76"/>
        <v>865.1</v>
      </c>
      <c r="H998" s="402">
        <f t="shared" si="77"/>
        <v>-2083137.2519999966</v>
      </c>
      <c r="I998" s="402">
        <f t="shared" si="78"/>
        <v>25414215.720000003</v>
      </c>
    </row>
    <row r="999" spans="2:9" hidden="1">
      <c r="B999" s="156">
        <v>45328</v>
      </c>
      <c r="C999" s="255" t="s">
        <v>1734</v>
      </c>
      <c r="D999" s="402">
        <f t="shared" si="75"/>
        <v>48923245.262000002</v>
      </c>
      <c r="E999" s="376">
        <v>955.73</v>
      </c>
      <c r="F999" s="401">
        <v>51189.4</v>
      </c>
      <c r="G999" s="401">
        <f t="shared" si="76"/>
        <v>865.1</v>
      </c>
      <c r="H999" s="402">
        <f t="shared" si="77"/>
        <v>-4639295.3219999969</v>
      </c>
      <c r="I999" s="402">
        <f t="shared" si="78"/>
        <v>44283949.940000005</v>
      </c>
    </row>
    <row r="1000" spans="2:9" hidden="1">
      <c r="B1000" s="156">
        <v>45334</v>
      </c>
      <c r="C1000" s="255" t="s">
        <v>1735</v>
      </c>
      <c r="D1000" s="402">
        <f t="shared" si="75"/>
        <v>35774753.284200005</v>
      </c>
      <c r="E1000" s="376">
        <v>968.73</v>
      </c>
      <c r="F1000" s="401">
        <v>36929.54</v>
      </c>
      <c r="G1000" s="401">
        <f t="shared" si="76"/>
        <v>865.1</v>
      </c>
      <c r="H1000" s="402">
        <f t="shared" si="77"/>
        <v>-3827008.2302000038</v>
      </c>
      <c r="I1000" s="402">
        <f t="shared" si="78"/>
        <v>31947745.054000001</v>
      </c>
    </row>
    <row r="1001" spans="2:9" hidden="1">
      <c r="B1001" s="156">
        <v>45335</v>
      </c>
      <c r="C1001" s="255" t="s">
        <v>1736</v>
      </c>
      <c r="D1001" s="402">
        <f t="shared" si="75"/>
        <v>4097907.3000000003</v>
      </c>
      <c r="E1001" s="376">
        <v>972.22</v>
      </c>
      <c r="F1001" s="401">
        <v>4215</v>
      </c>
      <c r="G1001" s="401">
        <f t="shared" si="76"/>
        <v>865.1</v>
      </c>
      <c r="H1001" s="402">
        <f t="shared" si="77"/>
        <v>-451510.80000000028</v>
      </c>
      <c r="I1001" s="402">
        <f t="shared" si="78"/>
        <v>3646396.5</v>
      </c>
    </row>
    <row r="1002" spans="2:9" hidden="1">
      <c r="B1002" s="156">
        <v>45335</v>
      </c>
      <c r="C1002" s="255" t="s">
        <v>1737</v>
      </c>
      <c r="D1002" s="402">
        <f t="shared" si="75"/>
        <v>5975264.1200000001</v>
      </c>
      <c r="E1002" s="376">
        <v>972.22</v>
      </c>
      <c r="F1002" s="401">
        <v>6146</v>
      </c>
      <c r="G1002" s="401">
        <f t="shared" si="76"/>
        <v>865.1</v>
      </c>
      <c r="H1002" s="402">
        <f t="shared" si="77"/>
        <v>-658359.51999999955</v>
      </c>
      <c r="I1002" s="402">
        <f t="shared" si="78"/>
        <v>5316904.6000000006</v>
      </c>
    </row>
    <row r="1003" spans="2:9" hidden="1">
      <c r="B1003" s="156">
        <v>45335</v>
      </c>
      <c r="C1003" s="255" t="s">
        <v>1738</v>
      </c>
      <c r="D1003" s="402">
        <f t="shared" si="75"/>
        <v>5467765.2800000003</v>
      </c>
      <c r="E1003" s="376">
        <v>972.22</v>
      </c>
      <c r="F1003" s="401">
        <v>5624</v>
      </c>
      <c r="G1003" s="401">
        <f t="shared" si="76"/>
        <v>865.1</v>
      </c>
      <c r="H1003" s="402">
        <f t="shared" si="77"/>
        <v>-602442.87999999989</v>
      </c>
      <c r="I1003" s="402">
        <f t="shared" si="78"/>
        <v>4865322.4000000004</v>
      </c>
    </row>
    <row r="1004" spans="2:9" hidden="1">
      <c r="B1004" s="156">
        <v>45335</v>
      </c>
      <c r="C1004" s="255" t="s">
        <v>1739</v>
      </c>
      <c r="D1004" s="402">
        <f t="shared" si="75"/>
        <v>7624635.3500000006</v>
      </c>
      <c r="E1004" s="376">
        <v>972.22</v>
      </c>
      <c r="F1004" s="401">
        <v>7842.5</v>
      </c>
      <c r="G1004" s="401">
        <f t="shared" si="76"/>
        <v>865.1</v>
      </c>
      <c r="H1004" s="402">
        <f t="shared" si="77"/>
        <v>-840088.60000000056</v>
      </c>
      <c r="I1004" s="402">
        <f t="shared" si="78"/>
        <v>6784546.75</v>
      </c>
    </row>
    <row r="1005" spans="2:9" hidden="1">
      <c r="B1005" s="156">
        <v>45335</v>
      </c>
      <c r="C1005" s="255" t="s">
        <v>1740</v>
      </c>
      <c r="D1005" s="402">
        <f>E1005*F1005</f>
        <v>9564700.3599999994</v>
      </c>
      <c r="E1005" s="376">
        <v>972.22</v>
      </c>
      <c r="F1005" s="401">
        <v>9838</v>
      </c>
      <c r="G1005" s="401">
        <f t="shared" ref="G1005:G1036" si="79">+G850</f>
        <v>865.1</v>
      </c>
      <c r="H1005" s="402">
        <f>+I1005-D1005</f>
        <v>-1053846.5599999987</v>
      </c>
      <c r="I1005" s="402">
        <f>+F1005*G1005</f>
        <v>8510853.8000000007</v>
      </c>
    </row>
    <row r="1006" spans="2:9" hidden="1">
      <c r="B1006" s="156">
        <v>45335</v>
      </c>
      <c r="C1006" s="255" t="s">
        <v>1775</v>
      </c>
      <c r="D1006" s="402">
        <f t="shared" si="75"/>
        <v>9681366.7599999998</v>
      </c>
      <c r="E1006" s="376">
        <v>972.22</v>
      </c>
      <c r="F1006" s="401">
        <v>9958</v>
      </c>
      <c r="G1006" s="401">
        <f t="shared" si="79"/>
        <v>865.1</v>
      </c>
      <c r="H1006" s="402">
        <f t="shared" si="77"/>
        <v>-1066700.959999999</v>
      </c>
      <c r="I1006" s="402">
        <f t="shared" si="78"/>
        <v>8614665.8000000007</v>
      </c>
    </row>
    <row r="1007" spans="2:9" hidden="1">
      <c r="B1007" s="156">
        <v>45336</v>
      </c>
      <c r="C1007" s="255" t="s">
        <v>1741</v>
      </c>
      <c r="D1007" s="402">
        <f t="shared" si="75"/>
        <v>10206237.799999999</v>
      </c>
      <c r="E1007" s="376">
        <v>971.56</v>
      </c>
      <c r="F1007" s="401">
        <v>10505</v>
      </c>
      <c r="G1007" s="401">
        <f t="shared" si="79"/>
        <v>865.1</v>
      </c>
      <c r="H1007" s="402">
        <f t="shared" si="77"/>
        <v>-1118362.2999999989</v>
      </c>
      <c r="I1007" s="402">
        <f t="shared" si="78"/>
        <v>9087875.5</v>
      </c>
    </row>
    <row r="1008" spans="2:9" hidden="1">
      <c r="B1008" s="156">
        <v>45336</v>
      </c>
      <c r="C1008" s="255" t="s">
        <v>1742</v>
      </c>
      <c r="D1008" s="402">
        <f t="shared" si="75"/>
        <v>7043810</v>
      </c>
      <c r="E1008" s="376">
        <v>971.56</v>
      </c>
      <c r="F1008" s="401">
        <v>7250</v>
      </c>
      <c r="G1008" s="401">
        <f t="shared" si="79"/>
        <v>865.1</v>
      </c>
      <c r="H1008" s="402">
        <f t="shared" si="77"/>
        <v>-771835</v>
      </c>
      <c r="I1008" s="402">
        <f t="shared" si="78"/>
        <v>6271975</v>
      </c>
    </row>
    <row r="1009" spans="2:9" hidden="1">
      <c r="B1009" s="156">
        <v>45336</v>
      </c>
      <c r="C1009" s="255" t="s">
        <v>1743</v>
      </c>
      <c r="D1009" s="402">
        <f t="shared" si="75"/>
        <v>6470103.8199999994</v>
      </c>
      <c r="E1009" s="376">
        <v>971.56</v>
      </c>
      <c r="F1009" s="401">
        <v>6659.5</v>
      </c>
      <c r="G1009" s="401">
        <f t="shared" si="79"/>
        <v>865.1</v>
      </c>
      <c r="H1009" s="402">
        <f t="shared" si="77"/>
        <v>-708970.36999999918</v>
      </c>
      <c r="I1009" s="402">
        <f t="shared" si="78"/>
        <v>5761133.4500000002</v>
      </c>
    </row>
    <row r="1010" spans="2:9" hidden="1">
      <c r="B1010" s="156">
        <v>45336</v>
      </c>
      <c r="C1010" s="255" t="s">
        <v>1744</v>
      </c>
      <c r="D1010" s="402">
        <f t="shared" si="75"/>
        <v>3591371.5399999996</v>
      </c>
      <c r="E1010" s="376">
        <v>971.56</v>
      </c>
      <c r="F1010" s="401">
        <v>3696.5</v>
      </c>
      <c r="G1010" s="401">
        <f t="shared" si="79"/>
        <v>865.1</v>
      </c>
      <c r="H1010" s="402">
        <f t="shared" si="77"/>
        <v>-393529.38999999966</v>
      </c>
      <c r="I1010" s="402">
        <f t="shared" si="78"/>
        <v>3197842.15</v>
      </c>
    </row>
    <row r="1011" spans="2:9" hidden="1">
      <c r="B1011" s="156">
        <v>45337</v>
      </c>
      <c r="C1011" s="255" t="s">
        <v>1745</v>
      </c>
      <c r="D1011" s="402">
        <f t="shared" si="75"/>
        <v>5175085.1900000004</v>
      </c>
      <c r="E1011" s="376">
        <v>959.86</v>
      </c>
      <c r="F1011" s="401">
        <v>5391.5</v>
      </c>
      <c r="G1011" s="401">
        <f t="shared" si="79"/>
        <v>865.1</v>
      </c>
      <c r="H1011" s="402">
        <f t="shared" si="77"/>
        <v>-510898.54000000004</v>
      </c>
      <c r="I1011" s="402">
        <f t="shared" si="78"/>
        <v>4664186.6500000004</v>
      </c>
    </row>
    <row r="1012" spans="2:9" hidden="1">
      <c r="B1012" s="156">
        <v>45337</v>
      </c>
      <c r="C1012" s="255" t="s">
        <v>1746</v>
      </c>
      <c r="D1012" s="402">
        <f t="shared" si="75"/>
        <v>5131411.5600000005</v>
      </c>
      <c r="E1012" s="376">
        <v>959.86</v>
      </c>
      <c r="F1012" s="401">
        <v>5346</v>
      </c>
      <c r="G1012" s="401">
        <f t="shared" si="79"/>
        <v>865.1</v>
      </c>
      <c r="H1012" s="402">
        <f t="shared" si="77"/>
        <v>-506586.95999999996</v>
      </c>
      <c r="I1012" s="402">
        <f t="shared" si="78"/>
        <v>4624824.6000000006</v>
      </c>
    </row>
    <row r="1013" spans="2:9" hidden="1">
      <c r="B1013" s="156">
        <v>45337</v>
      </c>
      <c r="C1013" s="255" t="s">
        <v>1747</v>
      </c>
      <c r="D1013" s="402">
        <f t="shared" si="75"/>
        <v>8680493.9100000001</v>
      </c>
      <c r="E1013" s="376">
        <v>959.86</v>
      </c>
      <c r="F1013" s="401">
        <v>9043.5</v>
      </c>
      <c r="G1013" s="401">
        <f t="shared" si="79"/>
        <v>865.1</v>
      </c>
      <c r="H1013" s="402">
        <f t="shared" si="77"/>
        <v>-856962.05999999959</v>
      </c>
      <c r="I1013" s="402">
        <f t="shared" si="78"/>
        <v>7823531.8500000006</v>
      </c>
    </row>
    <row r="1014" spans="2:9" hidden="1">
      <c r="B1014" s="156">
        <v>45337</v>
      </c>
      <c r="C1014" s="255" t="s">
        <v>1748</v>
      </c>
      <c r="D1014" s="402">
        <f t="shared" si="75"/>
        <v>9385991.0099999998</v>
      </c>
      <c r="E1014" s="376">
        <v>959.86</v>
      </c>
      <c r="F1014" s="401">
        <v>9778.5</v>
      </c>
      <c r="G1014" s="401">
        <f t="shared" si="79"/>
        <v>865.1</v>
      </c>
      <c r="H1014" s="402">
        <f t="shared" si="77"/>
        <v>-926610.66000000015</v>
      </c>
      <c r="I1014" s="402">
        <f t="shared" si="78"/>
        <v>8459380.3499999996</v>
      </c>
    </row>
    <row r="1015" spans="2:9" hidden="1">
      <c r="B1015" s="156">
        <v>45337</v>
      </c>
      <c r="C1015" s="255" t="s">
        <v>1749</v>
      </c>
      <c r="D1015" s="402">
        <f t="shared" si="75"/>
        <v>5175085.1900000004</v>
      </c>
      <c r="E1015" s="376">
        <v>959.86</v>
      </c>
      <c r="F1015" s="401">
        <v>5391.5</v>
      </c>
      <c r="G1015" s="401">
        <f t="shared" si="79"/>
        <v>865.1</v>
      </c>
      <c r="H1015" s="402">
        <f t="shared" si="77"/>
        <v>-510898.54000000004</v>
      </c>
      <c r="I1015" s="402">
        <f t="shared" si="78"/>
        <v>4664186.6500000004</v>
      </c>
    </row>
    <row r="1016" spans="2:9" hidden="1">
      <c r="B1016" s="156">
        <v>45337</v>
      </c>
      <c r="C1016" s="255" t="s">
        <v>1750</v>
      </c>
      <c r="D1016" s="402">
        <f t="shared" si="75"/>
        <v>6392187.6699999999</v>
      </c>
      <c r="E1016" s="376">
        <v>959.86</v>
      </c>
      <c r="F1016" s="401">
        <v>6659.5</v>
      </c>
      <c r="G1016" s="401">
        <f t="shared" si="79"/>
        <v>865.1</v>
      </c>
      <c r="H1016" s="402">
        <f t="shared" si="77"/>
        <v>-631054.21999999974</v>
      </c>
      <c r="I1016" s="402">
        <f t="shared" si="78"/>
        <v>5761133.4500000002</v>
      </c>
    </row>
    <row r="1017" spans="2:9" hidden="1">
      <c r="B1017" s="156">
        <v>45337</v>
      </c>
      <c r="C1017" s="255" t="s">
        <v>1751</v>
      </c>
      <c r="D1017" s="402">
        <f t="shared" si="75"/>
        <v>8690092.5099999998</v>
      </c>
      <c r="E1017" s="376">
        <v>959.86</v>
      </c>
      <c r="F1017" s="401">
        <v>9053.5</v>
      </c>
      <c r="G1017" s="401">
        <f t="shared" si="79"/>
        <v>865.1</v>
      </c>
      <c r="H1017" s="402">
        <f t="shared" si="77"/>
        <v>-857909.65999999922</v>
      </c>
      <c r="I1017" s="402">
        <f t="shared" si="78"/>
        <v>7832182.8500000006</v>
      </c>
    </row>
    <row r="1018" spans="2:9" hidden="1">
      <c r="B1018" s="156">
        <v>45337</v>
      </c>
      <c r="C1018" s="255" t="s">
        <v>1752</v>
      </c>
      <c r="D1018" s="402">
        <f t="shared" si="75"/>
        <v>9730580.75</v>
      </c>
      <c r="E1018" s="376">
        <v>959.86</v>
      </c>
      <c r="F1018" s="401">
        <v>10137.5</v>
      </c>
      <c r="G1018" s="401">
        <f t="shared" si="79"/>
        <v>865.1</v>
      </c>
      <c r="H1018" s="402">
        <f t="shared" si="77"/>
        <v>-960629.5</v>
      </c>
      <c r="I1018" s="402">
        <f t="shared" si="78"/>
        <v>8769951.25</v>
      </c>
    </row>
    <row r="1019" spans="2:9" hidden="1">
      <c r="B1019" s="156">
        <v>45337</v>
      </c>
      <c r="C1019" s="255" t="s">
        <v>1753</v>
      </c>
      <c r="D1019" s="402">
        <f t="shared" si="75"/>
        <v>352748.55</v>
      </c>
      <c r="E1019" s="376">
        <v>959.86</v>
      </c>
      <c r="F1019" s="401">
        <v>367.5</v>
      </c>
      <c r="G1019" s="401">
        <f t="shared" si="79"/>
        <v>865.1</v>
      </c>
      <c r="H1019" s="402">
        <f t="shared" si="77"/>
        <v>-34824.299999999988</v>
      </c>
      <c r="I1019" s="402">
        <f t="shared" si="78"/>
        <v>317924.25</v>
      </c>
    </row>
    <row r="1020" spans="2:9" hidden="1">
      <c r="B1020" s="156">
        <v>45337</v>
      </c>
      <c r="C1020" s="255" t="s">
        <v>1754</v>
      </c>
      <c r="D1020" s="402">
        <f t="shared" si="75"/>
        <v>3689433.0792</v>
      </c>
      <c r="E1020" s="376">
        <v>959.86</v>
      </c>
      <c r="F1020" s="401">
        <v>3843.72</v>
      </c>
      <c r="G1020" s="401">
        <f t="shared" si="79"/>
        <v>865.1</v>
      </c>
      <c r="H1020" s="402">
        <f t="shared" si="77"/>
        <v>-364230.90720000025</v>
      </c>
      <c r="I1020" s="402">
        <f t="shared" si="78"/>
        <v>3325202.1719999998</v>
      </c>
    </row>
    <row r="1021" spans="2:9" hidden="1">
      <c r="B1021" s="156">
        <v>45337</v>
      </c>
      <c r="C1021" s="255" t="s">
        <v>1755</v>
      </c>
      <c r="D1021" s="402">
        <f t="shared" si="75"/>
        <v>27276821.550000001</v>
      </c>
      <c r="E1021" s="376">
        <v>959.86</v>
      </c>
      <c r="F1021" s="401">
        <v>28417.5</v>
      </c>
      <c r="G1021" s="401">
        <f t="shared" si="79"/>
        <v>865.1</v>
      </c>
      <c r="H1021" s="402">
        <f t="shared" si="77"/>
        <v>-2692842.3000000007</v>
      </c>
      <c r="I1021" s="402">
        <f t="shared" si="78"/>
        <v>24583979.25</v>
      </c>
    </row>
    <row r="1022" spans="2:9" hidden="1">
      <c r="B1022" s="156">
        <v>45337</v>
      </c>
      <c r="C1022" s="255" t="s">
        <v>1756</v>
      </c>
      <c r="D1022" s="402">
        <f t="shared" si="75"/>
        <v>510645.52</v>
      </c>
      <c r="E1022" s="376">
        <v>959.86</v>
      </c>
      <c r="F1022" s="401">
        <v>532</v>
      </c>
      <c r="G1022" s="401">
        <f t="shared" si="79"/>
        <v>865.1</v>
      </c>
      <c r="H1022" s="402">
        <f t="shared" si="77"/>
        <v>-50412.320000000007</v>
      </c>
      <c r="I1022" s="402">
        <f t="shared" si="78"/>
        <v>460233.2</v>
      </c>
    </row>
    <row r="1023" spans="2:9" hidden="1">
      <c r="B1023" s="156">
        <v>45336</v>
      </c>
      <c r="C1023" s="255" t="s">
        <v>1757</v>
      </c>
      <c r="D1023" s="402">
        <f t="shared" si="75"/>
        <v>-213986.09</v>
      </c>
      <c r="E1023" s="376">
        <v>971.56</v>
      </c>
      <c r="F1023" s="401">
        <v>-220.25</v>
      </c>
      <c r="G1023" s="401">
        <f t="shared" si="79"/>
        <v>865.1</v>
      </c>
      <c r="H1023" s="402">
        <f t="shared" si="77"/>
        <v>23447.815000000002</v>
      </c>
      <c r="I1023" s="402">
        <f t="shared" si="78"/>
        <v>-190538.27499999999</v>
      </c>
    </row>
    <row r="1024" spans="2:9" hidden="1">
      <c r="B1024" s="156">
        <v>45351</v>
      </c>
      <c r="C1024" s="255" t="s">
        <v>673</v>
      </c>
      <c r="D1024" s="402">
        <f t="shared" si="75"/>
        <v>18163003.0004417</v>
      </c>
      <c r="E1024" s="376">
        <v>969.91</v>
      </c>
      <c r="F1024" s="401">
        <v>18726.48287</v>
      </c>
      <c r="G1024" s="401">
        <f t="shared" si="79"/>
        <v>865.1</v>
      </c>
      <c r="H1024" s="402">
        <f>+I1024-D1024</f>
        <v>-1962722.6696047001</v>
      </c>
      <c r="I1024" s="402">
        <f>+F1024*G1024</f>
        <v>16200280.330837</v>
      </c>
    </row>
    <row r="1025" spans="2:9" hidden="1">
      <c r="B1025" s="156">
        <v>45362</v>
      </c>
      <c r="C1025" s="255" t="s">
        <v>1812</v>
      </c>
      <c r="D1025" s="402">
        <f t="shared" si="75"/>
        <v>1215837</v>
      </c>
      <c r="E1025" s="376">
        <v>964.95</v>
      </c>
      <c r="F1025" s="401">
        <v>1260</v>
      </c>
      <c r="G1025" s="401">
        <f t="shared" si="79"/>
        <v>865.1</v>
      </c>
      <c r="H1025" s="402">
        <f t="shared" ref="H1025:H1088" si="80">+I1025-D1025</f>
        <v>-125811</v>
      </c>
      <c r="I1025" s="402">
        <f t="shared" ref="I1025:I1088" si="81">+F1025*G1025</f>
        <v>1090026</v>
      </c>
    </row>
    <row r="1026" spans="2:9" hidden="1">
      <c r="B1026" s="156">
        <v>45357</v>
      </c>
      <c r="C1026" s="255" t="s">
        <v>1813</v>
      </c>
      <c r="D1026" s="402">
        <f t="shared" si="75"/>
        <v>2471655.34</v>
      </c>
      <c r="E1026" s="376">
        <v>976.36</v>
      </c>
      <c r="F1026" s="401">
        <v>2531.5</v>
      </c>
      <c r="G1026" s="401">
        <f t="shared" si="79"/>
        <v>865.1</v>
      </c>
      <c r="H1026" s="402">
        <f t="shared" si="80"/>
        <v>-281654.68999999994</v>
      </c>
      <c r="I1026" s="402">
        <f t="shared" si="81"/>
        <v>2190000.65</v>
      </c>
    </row>
    <row r="1027" spans="2:9" hidden="1">
      <c r="B1027" s="156">
        <v>45357</v>
      </c>
      <c r="C1027" s="255" t="s">
        <v>1814</v>
      </c>
      <c r="D1027" s="402">
        <f t="shared" si="75"/>
        <v>3244444.2800000003</v>
      </c>
      <c r="E1027" s="376">
        <v>976.36</v>
      </c>
      <c r="F1027" s="401">
        <v>3323</v>
      </c>
      <c r="G1027" s="401">
        <f t="shared" si="79"/>
        <v>865.1</v>
      </c>
      <c r="H1027" s="402">
        <f t="shared" si="80"/>
        <v>-369716.98</v>
      </c>
      <c r="I1027" s="402">
        <f t="shared" si="81"/>
        <v>2874727.3000000003</v>
      </c>
    </row>
    <row r="1028" spans="2:9" hidden="1">
      <c r="B1028" s="156">
        <v>45357</v>
      </c>
      <c r="C1028" s="255" t="s">
        <v>1815</v>
      </c>
      <c r="D1028" s="402">
        <f t="shared" si="75"/>
        <v>3110682.96</v>
      </c>
      <c r="E1028" s="376">
        <v>976.36</v>
      </c>
      <c r="F1028" s="401">
        <v>3186</v>
      </c>
      <c r="G1028" s="401">
        <f t="shared" si="79"/>
        <v>865.1</v>
      </c>
      <c r="H1028" s="402">
        <f t="shared" si="80"/>
        <v>-354474.35999999987</v>
      </c>
      <c r="I1028" s="402">
        <f t="shared" si="81"/>
        <v>2756208.6</v>
      </c>
    </row>
    <row r="1029" spans="2:9" hidden="1">
      <c r="B1029" s="156">
        <v>45357</v>
      </c>
      <c r="C1029" s="255" t="s">
        <v>1816</v>
      </c>
      <c r="D1029" s="402">
        <f t="shared" si="75"/>
        <v>3746781.5</v>
      </c>
      <c r="E1029" s="376">
        <v>976.36</v>
      </c>
      <c r="F1029" s="401">
        <v>3837.5</v>
      </c>
      <c r="G1029" s="401">
        <f t="shared" si="79"/>
        <v>865.1</v>
      </c>
      <c r="H1029" s="402">
        <f t="shared" si="80"/>
        <v>-426960.25</v>
      </c>
      <c r="I1029" s="402">
        <f t="shared" si="81"/>
        <v>3319821.25</v>
      </c>
    </row>
    <row r="1030" spans="2:9" hidden="1">
      <c r="B1030" s="156">
        <v>45357</v>
      </c>
      <c r="C1030" s="255" t="s">
        <v>1817</v>
      </c>
      <c r="D1030" s="402">
        <f t="shared" si="75"/>
        <v>8555432.6087999996</v>
      </c>
      <c r="E1030" s="376">
        <v>976.36</v>
      </c>
      <c r="F1030" s="401">
        <v>8762.58</v>
      </c>
      <c r="G1030" s="401">
        <f t="shared" si="79"/>
        <v>865.1</v>
      </c>
      <c r="H1030" s="402">
        <f t="shared" si="80"/>
        <v>-974924.65079999901</v>
      </c>
      <c r="I1030" s="402">
        <f t="shared" si="81"/>
        <v>7580507.9580000006</v>
      </c>
    </row>
    <row r="1031" spans="2:9" hidden="1">
      <c r="B1031" s="156">
        <v>45357</v>
      </c>
      <c r="C1031" s="255" t="s">
        <v>1818</v>
      </c>
      <c r="D1031" s="402">
        <f t="shared" si="75"/>
        <v>62557826.100000001</v>
      </c>
      <c r="E1031" s="376">
        <v>976.36</v>
      </c>
      <c r="F1031" s="401">
        <v>64072.5</v>
      </c>
      <c r="G1031" s="401">
        <f t="shared" si="79"/>
        <v>865.1</v>
      </c>
      <c r="H1031" s="402">
        <f t="shared" si="80"/>
        <v>-7128706.3500000015</v>
      </c>
      <c r="I1031" s="402">
        <f t="shared" si="81"/>
        <v>55429119.75</v>
      </c>
    </row>
    <row r="1032" spans="2:9" hidden="1">
      <c r="B1032" s="156">
        <v>45357</v>
      </c>
      <c r="C1032" s="255" t="s">
        <v>1819</v>
      </c>
      <c r="D1032" s="402">
        <f t="shared" si="75"/>
        <v>3252743.34</v>
      </c>
      <c r="E1032" s="376">
        <v>976.36</v>
      </c>
      <c r="F1032" s="401">
        <v>3331.5</v>
      </c>
      <c r="G1032" s="401">
        <f t="shared" si="79"/>
        <v>865.1</v>
      </c>
      <c r="H1032" s="402">
        <f t="shared" si="80"/>
        <v>-370662.68999999994</v>
      </c>
      <c r="I1032" s="402">
        <f t="shared" si="81"/>
        <v>2882080.65</v>
      </c>
    </row>
    <row r="1033" spans="2:9" hidden="1">
      <c r="B1033" s="156">
        <v>45357</v>
      </c>
      <c r="C1033" s="255" t="s">
        <v>1820</v>
      </c>
      <c r="D1033" s="402">
        <f t="shared" si="75"/>
        <v>1908295.62</v>
      </c>
      <c r="E1033" s="376">
        <v>976.36</v>
      </c>
      <c r="F1033" s="401">
        <v>1954.5</v>
      </c>
      <c r="G1033" s="401">
        <f t="shared" si="79"/>
        <v>865.1</v>
      </c>
      <c r="H1033" s="402">
        <f t="shared" si="80"/>
        <v>-217457.67000000016</v>
      </c>
      <c r="I1033" s="402">
        <f t="shared" si="81"/>
        <v>1690837.95</v>
      </c>
    </row>
    <row r="1034" spans="2:9" hidden="1">
      <c r="B1034" s="156">
        <v>45357</v>
      </c>
      <c r="C1034" s="255" t="s">
        <v>1821</v>
      </c>
      <c r="D1034" s="402">
        <f t="shared" si="75"/>
        <v>2897348.3</v>
      </c>
      <c r="E1034" s="376">
        <v>976.36</v>
      </c>
      <c r="F1034" s="401">
        <v>2967.5</v>
      </c>
      <c r="G1034" s="401">
        <f t="shared" si="79"/>
        <v>865.1</v>
      </c>
      <c r="H1034" s="402">
        <f t="shared" si="80"/>
        <v>-330164.04999999981</v>
      </c>
      <c r="I1034" s="402">
        <f t="shared" si="81"/>
        <v>2567184.25</v>
      </c>
    </row>
    <row r="1035" spans="2:9" hidden="1">
      <c r="B1035" s="156">
        <v>45357</v>
      </c>
      <c r="C1035" s="255" t="s">
        <v>1822</v>
      </c>
      <c r="D1035" s="402">
        <f t="shared" si="75"/>
        <v>3746781.5</v>
      </c>
      <c r="E1035" s="376">
        <v>976.36</v>
      </c>
      <c r="F1035" s="401">
        <v>3837.5</v>
      </c>
      <c r="G1035" s="401">
        <f t="shared" si="79"/>
        <v>865.1</v>
      </c>
      <c r="H1035" s="402">
        <f t="shared" si="80"/>
        <v>-426960.25</v>
      </c>
      <c r="I1035" s="402">
        <f t="shared" si="81"/>
        <v>3319821.25</v>
      </c>
    </row>
    <row r="1036" spans="2:9" hidden="1">
      <c r="B1036" s="156">
        <v>45357</v>
      </c>
      <c r="C1036" s="255" t="s">
        <v>1823</v>
      </c>
      <c r="D1036" s="402">
        <f t="shared" si="75"/>
        <v>4270598.6399999997</v>
      </c>
      <c r="E1036" s="376">
        <v>976.36</v>
      </c>
      <c r="F1036" s="401">
        <v>4374</v>
      </c>
      <c r="G1036" s="401">
        <f t="shared" si="79"/>
        <v>865.1</v>
      </c>
      <c r="H1036" s="402">
        <f t="shared" si="80"/>
        <v>-486651.23999999976</v>
      </c>
      <c r="I1036" s="402">
        <f t="shared" si="81"/>
        <v>3783947.4</v>
      </c>
    </row>
    <row r="1037" spans="2:9" hidden="1">
      <c r="B1037" s="156">
        <v>45357</v>
      </c>
      <c r="C1037" s="255" t="s">
        <v>1824</v>
      </c>
      <c r="D1037" s="402">
        <f t="shared" si="75"/>
        <v>2897348.3</v>
      </c>
      <c r="E1037" s="376">
        <v>976.36</v>
      </c>
      <c r="F1037" s="401">
        <v>2967.5</v>
      </c>
      <c r="G1037" s="401">
        <f t="shared" ref="G1037:G1068" si="82">+G882</f>
        <v>865.1</v>
      </c>
      <c r="H1037" s="402">
        <f t="shared" si="80"/>
        <v>-330164.04999999981</v>
      </c>
      <c r="I1037" s="402">
        <f t="shared" si="81"/>
        <v>2567184.25</v>
      </c>
    </row>
    <row r="1038" spans="2:9" hidden="1">
      <c r="B1038" s="156">
        <v>45357</v>
      </c>
      <c r="C1038" s="255" t="s">
        <v>1825</v>
      </c>
      <c r="D1038" s="402">
        <f t="shared" si="75"/>
        <v>3110682.96</v>
      </c>
      <c r="E1038" s="376">
        <v>976.36</v>
      </c>
      <c r="F1038" s="401">
        <v>3186</v>
      </c>
      <c r="G1038" s="401">
        <f t="shared" si="82"/>
        <v>865.1</v>
      </c>
      <c r="H1038" s="402">
        <f t="shared" si="80"/>
        <v>-354474.35999999987</v>
      </c>
      <c r="I1038" s="402">
        <f t="shared" si="81"/>
        <v>2756208.6</v>
      </c>
    </row>
    <row r="1039" spans="2:9" hidden="1">
      <c r="B1039" s="156">
        <v>45357</v>
      </c>
      <c r="C1039" s="255" t="s">
        <v>1826</v>
      </c>
      <c r="D1039" s="402">
        <f t="shared" si="75"/>
        <v>2724532.58</v>
      </c>
      <c r="E1039" s="376">
        <v>976.36</v>
      </c>
      <c r="F1039" s="401">
        <v>2790.5</v>
      </c>
      <c r="G1039" s="401">
        <f t="shared" si="82"/>
        <v>865.1</v>
      </c>
      <c r="H1039" s="402">
        <f t="shared" si="80"/>
        <v>-310471.0299999998</v>
      </c>
      <c r="I1039" s="402">
        <f t="shared" si="81"/>
        <v>2414061.5500000003</v>
      </c>
    </row>
    <row r="1040" spans="2:9" hidden="1">
      <c r="B1040" s="156">
        <v>45357</v>
      </c>
      <c r="C1040" s="255" t="s">
        <v>1827</v>
      </c>
      <c r="D1040" s="402">
        <f t="shared" si="75"/>
        <v>3007188.8</v>
      </c>
      <c r="E1040" s="376">
        <v>976.36</v>
      </c>
      <c r="F1040" s="401">
        <v>3080</v>
      </c>
      <c r="G1040" s="401">
        <f t="shared" si="82"/>
        <v>865.1</v>
      </c>
      <c r="H1040" s="402">
        <f t="shared" si="80"/>
        <v>-342680.79999999981</v>
      </c>
      <c r="I1040" s="402">
        <f t="shared" si="81"/>
        <v>2664508</v>
      </c>
    </row>
    <row r="1041" spans="2:9" hidden="1">
      <c r="B1041" s="156">
        <v>45357</v>
      </c>
      <c r="C1041" s="255" t="s">
        <v>1828</v>
      </c>
      <c r="D1041" s="402">
        <f t="shared" si="75"/>
        <v>3467054.36</v>
      </c>
      <c r="E1041" s="376">
        <v>976.36</v>
      </c>
      <c r="F1041" s="401">
        <v>3551</v>
      </c>
      <c r="G1041" s="401">
        <f t="shared" si="82"/>
        <v>865.1</v>
      </c>
      <c r="H1041" s="402">
        <f t="shared" si="80"/>
        <v>-395084.25999999978</v>
      </c>
      <c r="I1041" s="402">
        <f t="shared" si="81"/>
        <v>3071970.1</v>
      </c>
    </row>
    <row r="1042" spans="2:9" hidden="1">
      <c r="B1042" s="156">
        <v>45357</v>
      </c>
      <c r="C1042" s="255" t="s">
        <v>1829</v>
      </c>
      <c r="D1042" s="402">
        <f t="shared" si="75"/>
        <v>3392362.82</v>
      </c>
      <c r="E1042" s="376">
        <v>976.36</v>
      </c>
      <c r="F1042" s="401">
        <v>3474.5</v>
      </c>
      <c r="G1042" s="401">
        <f t="shared" si="82"/>
        <v>865.1</v>
      </c>
      <c r="H1042" s="402">
        <f t="shared" si="80"/>
        <v>-386572.86999999965</v>
      </c>
      <c r="I1042" s="402">
        <f t="shared" si="81"/>
        <v>3005789.95</v>
      </c>
    </row>
    <row r="1043" spans="2:9" hidden="1">
      <c r="B1043" s="156">
        <v>45357</v>
      </c>
      <c r="C1043" s="255" t="s">
        <v>1830</v>
      </c>
      <c r="D1043" s="402">
        <f t="shared" ref="D1043:D1109" si="83">E1043*F1043</f>
        <v>32024393.200799998</v>
      </c>
      <c r="E1043" s="376">
        <v>976.36</v>
      </c>
      <c r="F1043" s="401">
        <v>32799.78</v>
      </c>
      <c r="G1043" s="401">
        <f t="shared" si="82"/>
        <v>865.1</v>
      </c>
      <c r="H1043" s="402">
        <f t="shared" si="80"/>
        <v>-3649303.5227999985</v>
      </c>
      <c r="I1043" s="402">
        <f t="shared" si="81"/>
        <v>28375089.677999999</v>
      </c>
    </row>
    <row r="1044" spans="2:9" hidden="1">
      <c r="B1044" s="156">
        <v>45357</v>
      </c>
      <c r="C1044" s="255" t="s">
        <v>1831</v>
      </c>
      <c r="D1044" s="402">
        <f t="shared" si="83"/>
        <v>4339432.0200000005</v>
      </c>
      <c r="E1044" s="376">
        <v>976.36</v>
      </c>
      <c r="F1044" s="401">
        <v>4444.5</v>
      </c>
      <c r="G1044" s="401">
        <f t="shared" si="82"/>
        <v>865.1</v>
      </c>
      <c r="H1044" s="402">
        <f t="shared" si="80"/>
        <v>-494495.0700000003</v>
      </c>
      <c r="I1044" s="402">
        <f t="shared" si="81"/>
        <v>3844936.95</v>
      </c>
    </row>
    <row r="1045" spans="2:9" hidden="1">
      <c r="B1045" s="156">
        <v>45359</v>
      </c>
      <c r="C1045" s="255" t="s">
        <v>1832</v>
      </c>
      <c r="D1045" s="402">
        <f t="shared" si="83"/>
        <v>2877615</v>
      </c>
      <c r="E1045" s="376">
        <v>983.8</v>
      </c>
      <c r="F1045" s="401">
        <v>2925</v>
      </c>
      <c r="G1045" s="401">
        <f t="shared" si="82"/>
        <v>865.1</v>
      </c>
      <c r="H1045" s="402">
        <f t="shared" si="80"/>
        <v>-347197.5</v>
      </c>
      <c r="I1045" s="402">
        <f t="shared" si="81"/>
        <v>2530417.5</v>
      </c>
    </row>
    <row r="1046" spans="2:9" hidden="1">
      <c r="B1046" s="156">
        <v>45359</v>
      </c>
      <c r="C1046" s="255" t="s">
        <v>1833</v>
      </c>
      <c r="D1046" s="402">
        <f t="shared" si="83"/>
        <v>3030595.9</v>
      </c>
      <c r="E1046" s="376">
        <v>983.8</v>
      </c>
      <c r="F1046" s="401">
        <v>3080.5</v>
      </c>
      <c r="G1046" s="401">
        <f t="shared" si="82"/>
        <v>865.1</v>
      </c>
      <c r="H1046" s="402">
        <f t="shared" si="80"/>
        <v>-365655.34999999963</v>
      </c>
      <c r="I1046" s="402">
        <f t="shared" si="81"/>
        <v>2664940.5500000003</v>
      </c>
    </row>
    <row r="1047" spans="2:9" hidden="1">
      <c r="B1047" s="156">
        <v>45359</v>
      </c>
      <c r="C1047" s="255" t="s">
        <v>1834</v>
      </c>
      <c r="D1047" s="402">
        <f t="shared" si="83"/>
        <v>3735488.5999999996</v>
      </c>
      <c r="E1047" s="376">
        <v>983.8</v>
      </c>
      <c r="F1047" s="401">
        <v>3797</v>
      </c>
      <c r="G1047" s="401">
        <f t="shared" si="82"/>
        <v>865.1</v>
      </c>
      <c r="H1047" s="402">
        <f t="shared" si="80"/>
        <v>-450703.89999999944</v>
      </c>
      <c r="I1047" s="402">
        <f t="shared" si="81"/>
        <v>3284784.7</v>
      </c>
    </row>
    <row r="1048" spans="2:9" hidden="1">
      <c r="B1048" s="156">
        <v>45359</v>
      </c>
      <c r="C1048" s="255" t="s">
        <v>1835</v>
      </c>
      <c r="D1048" s="402">
        <f t="shared" si="83"/>
        <v>5888043</v>
      </c>
      <c r="E1048" s="376">
        <v>983.8</v>
      </c>
      <c r="F1048" s="401">
        <v>5985</v>
      </c>
      <c r="G1048" s="401">
        <f t="shared" si="82"/>
        <v>865.1</v>
      </c>
      <c r="H1048" s="402">
        <f t="shared" si="80"/>
        <v>-710419.5</v>
      </c>
      <c r="I1048" s="402">
        <f t="shared" si="81"/>
        <v>5177623.5</v>
      </c>
    </row>
    <row r="1049" spans="2:9" hidden="1">
      <c r="B1049" s="156">
        <v>45359</v>
      </c>
      <c r="C1049" s="255" t="s">
        <v>1836</v>
      </c>
      <c r="D1049" s="402">
        <f t="shared" si="83"/>
        <v>3151603.3</v>
      </c>
      <c r="E1049" s="376">
        <v>983.8</v>
      </c>
      <c r="F1049" s="401">
        <v>3203.5</v>
      </c>
      <c r="G1049" s="401">
        <f t="shared" si="82"/>
        <v>865.1</v>
      </c>
      <c r="H1049" s="402">
        <f t="shared" si="80"/>
        <v>-380255.44999999972</v>
      </c>
      <c r="I1049" s="402">
        <f t="shared" si="81"/>
        <v>2771347.85</v>
      </c>
    </row>
    <row r="1050" spans="2:9" hidden="1">
      <c r="B1050" s="156">
        <v>45359</v>
      </c>
      <c r="C1050" s="255" t="s">
        <v>1837</v>
      </c>
      <c r="D1050" s="402">
        <f t="shared" si="83"/>
        <v>3394110</v>
      </c>
      <c r="E1050" s="376">
        <v>983.8</v>
      </c>
      <c r="F1050" s="401">
        <v>3450</v>
      </c>
      <c r="G1050" s="401">
        <f t="shared" si="82"/>
        <v>865.1</v>
      </c>
      <c r="H1050" s="402">
        <f t="shared" si="80"/>
        <v>-409515</v>
      </c>
      <c r="I1050" s="402">
        <f t="shared" si="81"/>
        <v>2984595</v>
      </c>
    </row>
    <row r="1051" spans="2:9" hidden="1">
      <c r="B1051" s="156">
        <v>45359</v>
      </c>
      <c r="C1051" s="255" t="s">
        <v>1838</v>
      </c>
      <c r="D1051" s="402">
        <f t="shared" si="83"/>
        <v>8998326.6999999993</v>
      </c>
      <c r="E1051" s="376">
        <v>983.8</v>
      </c>
      <c r="F1051" s="401">
        <v>9146.5</v>
      </c>
      <c r="G1051" s="401">
        <f t="shared" si="82"/>
        <v>865.1</v>
      </c>
      <c r="H1051" s="402">
        <f t="shared" si="80"/>
        <v>-1085689.5499999989</v>
      </c>
      <c r="I1051" s="402">
        <f t="shared" si="81"/>
        <v>7912637.1500000004</v>
      </c>
    </row>
    <row r="1052" spans="2:9" hidden="1">
      <c r="B1052" s="156">
        <v>45359</v>
      </c>
      <c r="C1052" s="255" t="s">
        <v>1839</v>
      </c>
      <c r="D1052" s="402">
        <f t="shared" si="83"/>
        <v>75495336.299999997</v>
      </c>
      <c r="E1052" s="376">
        <v>983.8</v>
      </c>
      <c r="F1052" s="401">
        <v>76738.5</v>
      </c>
      <c r="G1052" s="401">
        <f t="shared" si="82"/>
        <v>865.1</v>
      </c>
      <c r="H1052" s="402">
        <f t="shared" si="80"/>
        <v>-9108859.9499999955</v>
      </c>
      <c r="I1052" s="402">
        <f t="shared" si="81"/>
        <v>66386476.350000001</v>
      </c>
    </row>
    <row r="1053" spans="2:9" hidden="1">
      <c r="B1053" s="156">
        <v>45359</v>
      </c>
      <c r="C1053" s="255" t="s">
        <v>1840</v>
      </c>
      <c r="D1053" s="402">
        <f t="shared" si="83"/>
        <v>43475597.699999996</v>
      </c>
      <c r="E1053" s="376">
        <v>983.8</v>
      </c>
      <c r="F1053" s="401">
        <v>44191.5</v>
      </c>
      <c r="G1053" s="401">
        <f t="shared" si="82"/>
        <v>865.1</v>
      </c>
      <c r="H1053" s="402">
        <f t="shared" si="80"/>
        <v>-5245531.049999997</v>
      </c>
      <c r="I1053" s="402">
        <f t="shared" si="81"/>
        <v>38230066.649999999</v>
      </c>
    </row>
    <row r="1054" spans="2:9" hidden="1">
      <c r="B1054" s="156">
        <v>45359</v>
      </c>
      <c r="C1054" s="255" t="s">
        <v>1841</v>
      </c>
      <c r="D1054" s="402">
        <f t="shared" si="83"/>
        <v>175608.3</v>
      </c>
      <c r="E1054" s="376">
        <v>983.8</v>
      </c>
      <c r="F1054" s="401">
        <v>178.5</v>
      </c>
      <c r="G1054" s="401">
        <f t="shared" si="82"/>
        <v>865.1</v>
      </c>
      <c r="H1054" s="402">
        <f t="shared" si="80"/>
        <v>-21187.949999999983</v>
      </c>
      <c r="I1054" s="402">
        <f t="shared" si="81"/>
        <v>154420.35</v>
      </c>
    </row>
    <row r="1055" spans="2:9" hidden="1">
      <c r="B1055" s="156">
        <v>45362</v>
      </c>
      <c r="C1055" s="255" t="s">
        <v>1842</v>
      </c>
      <c r="D1055" s="402">
        <f t="shared" si="83"/>
        <v>90126.330000000016</v>
      </c>
      <c r="E1055" s="376">
        <v>964.95</v>
      </c>
      <c r="F1055" s="401">
        <v>93.4</v>
      </c>
      <c r="G1055" s="401">
        <f t="shared" si="82"/>
        <v>865.1</v>
      </c>
      <c r="H1055" s="402">
        <f t="shared" si="80"/>
        <v>-9325.9900000000052</v>
      </c>
      <c r="I1055" s="402">
        <f t="shared" si="81"/>
        <v>80800.340000000011</v>
      </c>
    </row>
    <row r="1056" spans="2:9" hidden="1">
      <c r="B1056" s="156">
        <v>45364</v>
      </c>
      <c r="C1056" s="255" t="s">
        <v>1843</v>
      </c>
      <c r="D1056" s="402">
        <f t="shared" si="83"/>
        <v>123552.69179999999</v>
      </c>
      <c r="E1056" s="376">
        <v>965.18</v>
      </c>
      <c r="F1056" s="401">
        <v>128.01</v>
      </c>
      <c r="G1056" s="401">
        <f t="shared" si="82"/>
        <v>865.1</v>
      </c>
      <c r="H1056" s="402">
        <f t="shared" si="80"/>
        <v>-12811.240799999985</v>
      </c>
      <c r="I1056" s="402">
        <f t="shared" si="81"/>
        <v>110741.451</v>
      </c>
    </row>
    <row r="1057" spans="2:9" hidden="1">
      <c r="B1057" s="156">
        <v>45359</v>
      </c>
      <c r="C1057" s="255" t="s">
        <v>1779</v>
      </c>
      <c r="D1057" s="402">
        <f t="shared" si="83"/>
        <v>2013740.22</v>
      </c>
      <c r="E1057" s="376">
        <v>983.8</v>
      </c>
      <c r="F1057" s="401">
        <v>2046.9</v>
      </c>
      <c r="G1057" s="401">
        <f t="shared" si="82"/>
        <v>865.1</v>
      </c>
      <c r="H1057" s="402">
        <f t="shared" si="80"/>
        <v>-242967.0299999998</v>
      </c>
      <c r="I1057" s="402">
        <f t="shared" si="81"/>
        <v>1770773.1900000002</v>
      </c>
    </row>
    <row r="1058" spans="2:9" hidden="1">
      <c r="B1058" s="156">
        <v>45359</v>
      </c>
      <c r="C1058" s="255" t="s">
        <v>1780</v>
      </c>
      <c r="D1058" s="402">
        <f t="shared" si="83"/>
        <v>1118777.3600000001</v>
      </c>
      <c r="E1058" s="376">
        <v>983.8</v>
      </c>
      <c r="F1058" s="401">
        <v>1137.2</v>
      </c>
      <c r="G1058" s="401">
        <f t="shared" si="82"/>
        <v>865.1</v>
      </c>
      <c r="H1058" s="402">
        <f t="shared" si="80"/>
        <v>-134985.64000000001</v>
      </c>
      <c r="I1058" s="402">
        <f t="shared" si="81"/>
        <v>983791.72000000009</v>
      </c>
    </row>
    <row r="1059" spans="2:9" hidden="1">
      <c r="B1059" s="156">
        <v>45359</v>
      </c>
      <c r="C1059" s="255" t="s">
        <v>1781</v>
      </c>
      <c r="D1059" s="402">
        <f t="shared" si="83"/>
        <v>3076539.36</v>
      </c>
      <c r="E1059" s="376">
        <v>983.8</v>
      </c>
      <c r="F1059" s="401">
        <v>3127.2</v>
      </c>
      <c r="G1059" s="401">
        <f t="shared" si="82"/>
        <v>865.1</v>
      </c>
      <c r="H1059" s="402">
        <f t="shared" si="80"/>
        <v>-371198.64000000013</v>
      </c>
      <c r="I1059" s="402">
        <f t="shared" si="81"/>
        <v>2705340.7199999997</v>
      </c>
    </row>
    <row r="1060" spans="2:9" hidden="1">
      <c r="B1060" s="156">
        <v>45359</v>
      </c>
      <c r="C1060" s="255" t="s">
        <v>1782</v>
      </c>
      <c r="D1060" s="402">
        <f t="shared" si="83"/>
        <v>3076539.36</v>
      </c>
      <c r="E1060" s="376">
        <v>983.8</v>
      </c>
      <c r="F1060" s="401">
        <v>3127.2</v>
      </c>
      <c r="G1060" s="401">
        <f t="shared" si="82"/>
        <v>865.1</v>
      </c>
      <c r="H1060" s="402">
        <f t="shared" si="80"/>
        <v>-371198.64000000013</v>
      </c>
      <c r="I1060" s="402">
        <f t="shared" si="81"/>
        <v>2705340.7199999997</v>
      </c>
    </row>
    <row r="1061" spans="2:9" hidden="1">
      <c r="B1061" s="156">
        <v>45359</v>
      </c>
      <c r="C1061" s="255" t="s">
        <v>1783</v>
      </c>
      <c r="D1061" s="402">
        <f t="shared" si="83"/>
        <v>2137797.4</v>
      </c>
      <c r="E1061" s="376">
        <v>983.8</v>
      </c>
      <c r="F1061" s="401">
        <v>2173</v>
      </c>
      <c r="G1061" s="401">
        <f t="shared" si="82"/>
        <v>865.1</v>
      </c>
      <c r="H1061" s="402">
        <f t="shared" si="80"/>
        <v>-257935.09999999986</v>
      </c>
      <c r="I1061" s="402">
        <f t="shared" si="81"/>
        <v>1879862.3</v>
      </c>
    </row>
    <row r="1062" spans="2:9" hidden="1">
      <c r="B1062" s="156">
        <v>45359</v>
      </c>
      <c r="C1062" s="255" t="s">
        <v>1784</v>
      </c>
      <c r="D1062" s="402">
        <f t="shared" si="83"/>
        <v>2725126</v>
      </c>
      <c r="E1062" s="376">
        <v>983.8</v>
      </c>
      <c r="F1062" s="401">
        <v>2770</v>
      </c>
      <c r="G1062" s="401">
        <f t="shared" si="82"/>
        <v>865.1</v>
      </c>
      <c r="H1062" s="402">
        <f t="shared" si="80"/>
        <v>-328799</v>
      </c>
      <c r="I1062" s="402">
        <f t="shared" si="81"/>
        <v>2396327</v>
      </c>
    </row>
    <row r="1063" spans="2:9" hidden="1">
      <c r="B1063" s="156">
        <v>45359</v>
      </c>
      <c r="C1063" s="255" t="s">
        <v>1785</v>
      </c>
      <c r="D1063" s="402">
        <f t="shared" si="83"/>
        <v>1746245</v>
      </c>
      <c r="E1063" s="376">
        <v>983.8</v>
      </c>
      <c r="F1063" s="401">
        <v>1775</v>
      </c>
      <c r="G1063" s="401">
        <f t="shared" si="82"/>
        <v>865.1</v>
      </c>
      <c r="H1063" s="402">
        <f t="shared" si="80"/>
        <v>-210692.5</v>
      </c>
      <c r="I1063" s="402">
        <f t="shared" si="81"/>
        <v>1535552.5</v>
      </c>
    </row>
    <row r="1064" spans="2:9" hidden="1">
      <c r="B1064" s="156">
        <v>45359</v>
      </c>
      <c r="C1064" s="255" t="s">
        <v>1786</v>
      </c>
      <c r="D1064" s="402">
        <f t="shared" si="83"/>
        <v>2433429.2999999998</v>
      </c>
      <c r="E1064" s="376">
        <v>983.8</v>
      </c>
      <c r="F1064" s="401">
        <v>2473.5</v>
      </c>
      <c r="G1064" s="401">
        <f t="shared" si="82"/>
        <v>865.1</v>
      </c>
      <c r="H1064" s="402">
        <f t="shared" si="80"/>
        <v>-293604.44999999972</v>
      </c>
      <c r="I1064" s="402">
        <f t="shared" si="81"/>
        <v>2139824.85</v>
      </c>
    </row>
    <row r="1065" spans="2:9" hidden="1">
      <c r="B1065" s="156">
        <v>45359</v>
      </c>
      <c r="C1065" s="255" t="s">
        <v>1787</v>
      </c>
      <c r="D1065" s="402">
        <f t="shared" si="83"/>
        <v>351413.36</v>
      </c>
      <c r="E1065" s="376">
        <v>983.8</v>
      </c>
      <c r="F1065" s="401">
        <v>357.2</v>
      </c>
      <c r="G1065" s="401">
        <f t="shared" si="82"/>
        <v>865.1</v>
      </c>
      <c r="H1065" s="402">
        <f t="shared" si="80"/>
        <v>-42399.640000000014</v>
      </c>
      <c r="I1065" s="402">
        <f t="shared" si="81"/>
        <v>309013.71999999997</v>
      </c>
    </row>
    <row r="1066" spans="2:9" hidden="1">
      <c r="B1066" s="156">
        <v>45359</v>
      </c>
      <c r="C1066" s="255" t="s">
        <v>1788</v>
      </c>
      <c r="D1066" s="402">
        <f t="shared" si="83"/>
        <v>351413.36</v>
      </c>
      <c r="E1066" s="376">
        <v>983.8</v>
      </c>
      <c r="F1066" s="401">
        <v>357.2</v>
      </c>
      <c r="G1066" s="401">
        <f t="shared" si="82"/>
        <v>865.1</v>
      </c>
      <c r="H1066" s="402">
        <f t="shared" si="80"/>
        <v>-42399.640000000014</v>
      </c>
      <c r="I1066" s="402">
        <f t="shared" si="81"/>
        <v>309013.71999999997</v>
      </c>
    </row>
    <row r="1067" spans="2:9" hidden="1">
      <c r="B1067" s="156">
        <v>45359</v>
      </c>
      <c r="C1067" s="255" t="s">
        <v>1789</v>
      </c>
      <c r="D1067" s="402">
        <f t="shared" si="83"/>
        <v>263560.01999999996</v>
      </c>
      <c r="E1067" s="376">
        <v>983.8</v>
      </c>
      <c r="F1067" s="401">
        <v>267.89999999999998</v>
      </c>
      <c r="G1067" s="401">
        <f t="shared" si="82"/>
        <v>865.1</v>
      </c>
      <c r="H1067" s="402">
        <f t="shared" si="80"/>
        <v>-31799.729999999981</v>
      </c>
      <c r="I1067" s="402">
        <f t="shared" si="81"/>
        <v>231760.28999999998</v>
      </c>
    </row>
    <row r="1068" spans="2:9" hidden="1">
      <c r="B1068" s="156">
        <v>45359</v>
      </c>
      <c r="C1068" s="255" t="s">
        <v>1790</v>
      </c>
      <c r="D1068" s="402">
        <f t="shared" si="83"/>
        <v>351413.36</v>
      </c>
      <c r="E1068" s="376">
        <v>983.8</v>
      </c>
      <c r="F1068" s="401">
        <v>357.2</v>
      </c>
      <c r="G1068" s="401">
        <f t="shared" si="82"/>
        <v>865.1</v>
      </c>
      <c r="H1068" s="402">
        <f t="shared" si="80"/>
        <v>-42399.640000000014</v>
      </c>
      <c r="I1068" s="402">
        <f t="shared" si="81"/>
        <v>309013.71999999997</v>
      </c>
    </row>
    <row r="1069" spans="2:9" hidden="1">
      <c r="B1069" s="156">
        <v>45364</v>
      </c>
      <c r="C1069" s="255" t="s">
        <v>1791</v>
      </c>
      <c r="D1069" s="402">
        <f t="shared" si="83"/>
        <v>246410.454</v>
      </c>
      <c r="E1069" s="376">
        <v>965.18</v>
      </c>
      <c r="F1069" s="401">
        <v>255.3</v>
      </c>
      <c r="G1069" s="401">
        <f t="shared" ref="G1069:G1089" si="84">+G914</f>
        <v>865.1</v>
      </c>
      <c r="H1069" s="402">
        <f t="shared" si="80"/>
        <v>-25550.42399999997</v>
      </c>
      <c r="I1069" s="402">
        <f t="shared" si="81"/>
        <v>220860.03000000003</v>
      </c>
    </row>
    <row r="1070" spans="2:9" hidden="1">
      <c r="B1070" s="156">
        <v>45364</v>
      </c>
      <c r="C1070" s="255" t="s">
        <v>1792</v>
      </c>
      <c r="D1070" s="402">
        <f t="shared" si="83"/>
        <v>246410.454</v>
      </c>
      <c r="E1070" s="376">
        <v>965.18</v>
      </c>
      <c r="F1070" s="401">
        <v>255.3</v>
      </c>
      <c r="G1070" s="401">
        <f t="shared" si="84"/>
        <v>865.1</v>
      </c>
      <c r="H1070" s="402">
        <f t="shared" si="80"/>
        <v>-25550.42399999997</v>
      </c>
      <c r="I1070" s="402">
        <f t="shared" si="81"/>
        <v>220860.03000000003</v>
      </c>
    </row>
    <row r="1071" spans="2:9" hidden="1">
      <c r="B1071" s="156">
        <v>45364</v>
      </c>
      <c r="C1071" s="255" t="s">
        <v>1793</v>
      </c>
      <c r="D1071" s="402">
        <f t="shared" si="83"/>
        <v>328547.27199999994</v>
      </c>
      <c r="E1071" s="376">
        <v>965.18</v>
      </c>
      <c r="F1071" s="401">
        <v>340.4</v>
      </c>
      <c r="G1071" s="401">
        <f t="shared" si="84"/>
        <v>865.1</v>
      </c>
      <c r="H1071" s="402">
        <f t="shared" si="80"/>
        <v>-34067.23199999996</v>
      </c>
      <c r="I1071" s="402">
        <f t="shared" si="81"/>
        <v>294480.03999999998</v>
      </c>
    </row>
    <row r="1072" spans="2:9" hidden="1">
      <c r="B1072" s="156">
        <v>45364</v>
      </c>
      <c r="C1072" s="255" t="s">
        <v>1794</v>
      </c>
      <c r="D1072" s="402">
        <f t="shared" si="83"/>
        <v>328547.27199999994</v>
      </c>
      <c r="E1072" s="376">
        <v>965.18</v>
      </c>
      <c r="F1072" s="401">
        <v>340.4</v>
      </c>
      <c r="G1072" s="401">
        <f t="shared" si="84"/>
        <v>865.1</v>
      </c>
      <c r="H1072" s="402">
        <f t="shared" si="80"/>
        <v>-34067.23199999996</v>
      </c>
      <c r="I1072" s="402">
        <f t="shared" si="81"/>
        <v>294480.03999999998</v>
      </c>
    </row>
    <row r="1073" spans="2:9" hidden="1">
      <c r="B1073" s="156">
        <v>45364</v>
      </c>
      <c r="C1073" s="255" t="s">
        <v>1795</v>
      </c>
      <c r="D1073" s="402">
        <f t="shared" si="83"/>
        <v>328547.27199999994</v>
      </c>
      <c r="E1073" s="376">
        <v>965.18</v>
      </c>
      <c r="F1073" s="401">
        <v>340.4</v>
      </c>
      <c r="G1073" s="401">
        <f t="shared" si="84"/>
        <v>865.1</v>
      </c>
      <c r="H1073" s="402">
        <f t="shared" si="80"/>
        <v>-34067.23199999996</v>
      </c>
      <c r="I1073" s="402">
        <f t="shared" si="81"/>
        <v>294480.03999999998</v>
      </c>
    </row>
    <row r="1074" spans="2:9" hidden="1">
      <c r="B1074" s="156">
        <v>45364</v>
      </c>
      <c r="C1074" s="255" t="s">
        <v>1796</v>
      </c>
      <c r="D1074" s="402">
        <f t="shared" si="83"/>
        <v>328547.27199999994</v>
      </c>
      <c r="E1074" s="376">
        <v>965.18</v>
      </c>
      <c r="F1074" s="401">
        <v>340.4</v>
      </c>
      <c r="G1074" s="401">
        <f t="shared" si="84"/>
        <v>865.1</v>
      </c>
      <c r="H1074" s="402">
        <f t="shared" si="80"/>
        <v>-34067.23199999996</v>
      </c>
      <c r="I1074" s="402">
        <f t="shared" si="81"/>
        <v>294480.03999999998</v>
      </c>
    </row>
    <row r="1075" spans="2:9" hidden="1">
      <c r="B1075" s="156">
        <v>45364</v>
      </c>
      <c r="C1075" s="255" t="s">
        <v>1797</v>
      </c>
      <c r="D1075" s="402">
        <f t="shared" si="83"/>
        <v>246410.454</v>
      </c>
      <c r="E1075" s="376">
        <v>965.18</v>
      </c>
      <c r="F1075" s="401">
        <v>255.3</v>
      </c>
      <c r="G1075" s="401">
        <f t="shared" si="84"/>
        <v>865.1</v>
      </c>
      <c r="H1075" s="402">
        <f t="shared" si="80"/>
        <v>-25550.42399999997</v>
      </c>
      <c r="I1075" s="402">
        <f t="shared" si="81"/>
        <v>220860.03000000003</v>
      </c>
    </row>
    <row r="1076" spans="2:9" hidden="1">
      <c r="B1076" s="156">
        <v>45364</v>
      </c>
      <c r="C1076" s="255" t="s">
        <v>1798</v>
      </c>
      <c r="D1076" s="402">
        <f t="shared" si="83"/>
        <v>17944530.041999999</v>
      </c>
      <c r="E1076" s="376">
        <v>965.18</v>
      </c>
      <c r="F1076" s="401">
        <v>18591.900000000001</v>
      </c>
      <c r="G1076" s="401">
        <f t="shared" si="84"/>
        <v>865.1</v>
      </c>
      <c r="H1076" s="402">
        <f t="shared" si="80"/>
        <v>-1860677.3519999981</v>
      </c>
      <c r="I1076" s="402">
        <f t="shared" si="81"/>
        <v>16083852.690000001</v>
      </c>
    </row>
    <row r="1077" spans="2:9" hidden="1">
      <c r="B1077" s="156">
        <v>45364</v>
      </c>
      <c r="C1077" s="255" t="s">
        <v>1799</v>
      </c>
      <c r="D1077" s="402">
        <f t="shared" si="83"/>
        <v>246410.454</v>
      </c>
      <c r="E1077" s="376">
        <v>965.18</v>
      </c>
      <c r="F1077" s="401">
        <v>255.3</v>
      </c>
      <c r="G1077" s="401">
        <f t="shared" si="84"/>
        <v>865.1</v>
      </c>
      <c r="H1077" s="402">
        <f t="shared" si="80"/>
        <v>-25550.42399999997</v>
      </c>
      <c r="I1077" s="402">
        <f t="shared" si="81"/>
        <v>220860.03000000003</v>
      </c>
    </row>
    <row r="1078" spans="2:9" hidden="1">
      <c r="B1078" s="156">
        <v>45364</v>
      </c>
      <c r="C1078" s="255" t="s">
        <v>1800</v>
      </c>
      <c r="D1078" s="402">
        <f t="shared" si="83"/>
        <v>328547.27199999994</v>
      </c>
      <c r="E1078" s="376">
        <v>965.18</v>
      </c>
      <c r="F1078" s="401">
        <v>340.4</v>
      </c>
      <c r="G1078" s="401">
        <f t="shared" si="84"/>
        <v>865.1</v>
      </c>
      <c r="H1078" s="402">
        <f t="shared" si="80"/>
        <v>-34067.23199999996</v>
      </c>
      <c r="I1078" s="402">
        <f t="shared" si="81"/>
        <v>294480.03999999998</v>
      </c>
    </row>
    <row r="1079" spans="2:9" hidden="1">
      <c r="B1079" s="156">
        <v>45364</v>
      </c>
      <c r="C1079" s="255" t="s">
        <v>1801</v>
      </c>
      <c r="D1079" s="402">
        <f t="shared" si="83"/>
        <v>288106.23</v>
      </c>
      <c r="E1079" s="376">
        <v>965.18</v>
      </c>
      <c r="F1079" s="401">
        <v>298.5</v>
      </c>
      <c r="G1079" s="401">
        <f t="shared" si="84"/>
        <v>865.1</v>
      </c>
      <c r="H1079" s="402">
        <f t="shared" si="80"/>
        <v>-29873.879999999976</v>
      </c>
      <c r="I1079" s="402">
        <f t="shared" si="81"/>
        <v>258232.35</v>
      </c>
    </row>
    <row r="1080" spans="2:9" hidden="1">
      <c r="B1080" s="156">
        <v>45364</v>
      </c>
      <c r="C1080" s="255" t="s">
        <v>1802</v>
      </c>
      <c r="D1080" s="402">
        <f t="shared" si="83"/>
        <v>288106.23</v>
      </c>
      <c r="E1080" s="376">
        <v>965.18</v>
      </c>
      <c r="F1080" s="401">
        <v>298.5</v>
      </c>
      <c r="G1080" s="401">
        <f t="shared" si="84"/>
        <v>865.1</v>
      </c>
      <c r="H1080" s="402">
        <f t="shared" si="80"/>
        <v>-29873.879999999976</v>
      </c>
      <c r="I1080" s="402">
        <f t="shared" si="81"/>
        <v>258232.35</v>
      </c>
    </row>
    <row r="1081" spans="2:9" hidden="1">
      <c r="B1081" s="156">
        <v>45364</v>
      </c>
      <c r="C1081" s="255" t="s">
        <v>1803</v>
      </c>
      <c r="D1081" s="402">
        <f t="shared" si="83"/>
        <v>410684.08999999997</v>
      </c>
      <c r="E1081" s="376">
        <v>965.18</v>
      </c>
      <c r="F1081" s="401">
        <v>425.5</v>
      </c>
      <c r="G1081" s="401">
        <f t="shared" si="84"/>
        <v>865.1</v>
      </c>
      <c r="H1081" s="402">
        <f t="shared" si="80"/>
        <v>-42584.039999999979</v>
      </c>
      <c r="I1081" s="402">
        <f t="shared" si="81"/>
        <v>368100.05</v>
      </c>
    </row>
    <row r="1082" spans="2:9" hidden="1">
      <c r="B1082" s="156">
        <v>45364</v>
      </c>
      <c r="C1082" s="255" t="s">
        <v>1804</v>
      </c>
      <c r="D1082" s="402">
        <f t="shared" si="83"/>
        <v>492820.908</v>
      </c>
      <c r="E1082" s="376">
        <v>965.18</v>
      </c>
      <c r="F1082" s="401">
        <v>510.6</v>
      </c>
      <c r="G1082" s="401">
        <f t="shared" si="84"/>
        <v>865.1</v>
      </c>
      <c r="H1082" s="402">
        <f t="shared" si="80"/>
        <v>-51100.84799999994</v>
      </c>
      <c r="I1082" s="402">
        <f t="shared" si="81"/>
        <v>441720.06000000006</v>
      </c>
    </row>
    <row r="1083" spans="2:9" hidden="1">
      <c r="B1083" s="156">
        <v>45364</v>
      </c>
      <c r="C1083" s="255" t="s">
        <v>1805</v>
      </c>
      <c r="D1083" s="402">
        <f t="shared" si="83"/>
        <v>384141.63999999996</v>
      </c>
      <c r="E1083" s="376">
        <v>965.18</v>
      </c>
      <c r="F1083" s="401">
        <v>398</v>
      </c>
      <c r="G1083" s="401">
        <f t="shared" si="84"/>
        <v>865.1</v>
      </c>
      <c r="H1083" s="402">
        <f t="shared" si="80"/>
        <v>-39831.839999999967</v>
      </c>
      <c r="I1083" s="402">
        <f t="shared" si="81"/>
        <v>344309.8</v>
      </c>
    </row>
    <row r="1084" spans="2:9" hidden="1">
      <c r="B1084" s="156">
        <v>45364</v>
      </c>
      <c r="C1084" s="255" t="s">
        <v>1806</v>
      </c>
      <c r="D1084" s="402">
        <f t="shared" si="83"/>
        <v>5427689.7299999995</v>
      </c>
      <c r="E1084" s="376">
        <v>965.18</v>
      </c>
      <c r="F1084" s="401">
        <v>5623.5</v>
      </c>
      <c r="G1084" s="401">
        <f t="shared" si="84"/>
        <v>865.1</v>
      </c>
      <c r="H1084" s="402">
        <f t="shared" si="80"/>
        <v>-562799.87999999896</v>
      </c>
      <c r="I1084" s="402">
        <f t="shared" si="81"/>
        <v>4864889.8500000006</v>
      </c>
    </row>
    <row r="1085" spans="2:9" hidden="1">
      <c r="B1085" s="156">
        <v>45364</v>
      </c>
      <c r="C1085" s="255" t="s">
        <v>1807</v>
      </c>
      <c r="D1085" s="402">
        <f t="shared" si="83"/>
        <v>288106.23</v>
      </c>
      <c r="E1085" s="376">
        <v>965.18</v>
      </c>
      <c r="F1085" s="401">
        <v>298.5</v>
      </c>
      <c r="G1085" s="401">
        <f t="shared" si="84"/>
        <v>865.1</v>
      </c>
      <c r="H1085" s="402">
        <f t="shared" si="80"/>
        <v>-29873.879999999976</v>
      </c>
      <c r="I1085" s="402">
        <f t="shared" si="81"/>
        <v>258232.35</v>
      </c>
    </row>
    <row r="1086" spans="2:9" hidden="1">
      <c r="B1086" s="156">
        <v>45364</v>
      </c>
      <c r="C1086" s="255" t="s">
        <v>1808</v>
      </c>
      <c r="D1086" s="402">
        <f t="shared" si="83"/>
        <v>384141.63999999996</v>
      </c>
      <c r="E1086" s="376">
        <v>965.18</v>
      </c>
      <c r="F1086" s="401">
        <v>398</v>
      </c>
      <c r="G1086" s="401">
        <f t="shared" si="84"/>
        <v>865.1</v>
      </c>
      <c r="H1086" s="402">
        <f t="shared" si="80"/>
        <v>-39831.839999999967</v>
      </c>
      <c r="I1086" s="402">
        <f t="shared" si="81"/>
        <v>344309.8</v>
      </c>
    </row>
    <row r="1087" spans="2:9" hidden="1">
      <c r="B1087" s="156">
        <v>45364</v>
      </c>
      <c r="C1087" s="255" t="s">
        <v>1809</v>
      </c>
      <c r="D1087" s="402">
        <f t="shared" si="83"/>
        <v>492820.908</v>
      </c>
      <c r="E1087" s="376">
        <v>965.18</v>
      </c>
      <c r="F1087" s="401">
        <v>510.6</v>
      </c>
      <c r="G1087" s="401">
        <f t="shared" si="84"/>
        <v>865.1</v>
      </c>
      <c r="H1087" s="402">
        <f t="shared" si="80"/>
        <v>-51100.84799999994</v>
      </c>
      <c r="I1087" s="402">
        <f t="shared" si="81"/>
        <v>441720.06000000006</v>
      </c>
    </row>
    <row r="1088" spans="2:9" hidden="1">
      <c r="B1088" s="156">
        <v>45364</v>
      </c>
      <c r="C1088" s="255" t="s">
        <v>1810</v>
      </c>
      <c r="D1088" s="402">
        <f t="shared" si="83"/>
        <v>328547.27199999994</v>
      </c>
      <c r="E1088" s="376">
        <v>965.18</v>
      </c>
      <c r="F1088" s="401">
        <v>340.4</v>
      </c>
      <c r="G1088" s="401">
        <f t="shared" si="84"/>
        <v>865.1</v>
      </c>
      <c r="H1088" s="402">
        <f t="shared" si="80"/>
        <v>-34067.23199999996</v>
      </c>
      <c r="I1088" s="402">
        <f t="shared" si="81"/>
        <v>294480.03999999998</v>
      </c>
    </row>
    <row r="1089" spans="2:9" hidden="1">
      <c r="B1089" s="156">
        <v>45364</v>
      </c>
      <c r="C1089" s="255" t="s">
        <v>1811</v>
      </c>
      <c r="D1089" s="402">
        <f t="shared" si="83"/>
        <v>288106.23</v>
      </c>
      <c r="E1089" s="376">
        <v>965.18</v>
      </c>
      <c r="F1089" s="401">
        <v>298.5</v>
      </c>
      <c r="G1089" s="401">
        <f t="shared" si="84"/>
        <v>865.1</v>
      </c>
      <c r="H1089" s="402">
        <f>+I1089-D1089</f>
        <v>-29873.879999999976</v>
      </c>
      <c r="I1089" s="402">
        <f>+F1089*G1089</f>
        <v>258232.35</v>
      </c>
    </row>
    <row r="1090" spans="2:9" hidden="1">
      <c r="B1090" s="156">
        <v>45366</v>
      </c>
      <c r="C1090" s="255" t="s">
        <v>2323</v>
      </c>
      <c r="D1090" s="402">
        <f>E1090*F1090</f>
        <v>11388835.2424</v>
      </c>
      <c r="E1090" s="376">
        <v>945.56</v>
      </c>
      <c r="F1090" s="401">
        <v>12044.54</v>
      </c>
      <c r="G1090" s="401">
        <f>+G1286</f>
        <v>865.1</v>
      </c>
      <c r="H1090" s="402">
        <f>+I1090-D1090</f>
        <v>-969103.68839999847</v>
      </c>
      <c r="I1090" s="402">
        <f>+F1090*G1090</f>
        <v>10419731.554000001</v>
      </c>
    </row>
    <row r="1091" spans="2:9" hidden="1">
      <c r="B1091" s="156">
        <v>45356</v>
      </c>
      <c r="C1091" s="255" t="s">
        <v>2324</v>
      </c>
      <c r="D1091" s="402">
        <f>E1091*F1091</f>
        <v>1055106.6327999998</v>
      </c>
      <c r="E1091" s="376">
        <v>971.92</v>
      </c>
      <c r="F1091" s="401">
        <v>1085.5899999999999</v>
      </c>
      <c r="G1091" s="401">
        <f>+G1287</f>
        <v>865.1</v>
      </c>
      <c r="H1091" s="402">
        <f>+I1091-D1091</f>
        <v>-115962.7237999998</v>
      </c>
      <c r="I1091" s="402">
        <f>+F1091*G1091</f>
        <v>939143.90899999999</v>
      </c>
    </row>
    <row r="1092" spans="2:9" hidden="1">
      <c r="B1092" s="156">
        <v>45356</v>
      </c>
      <c r="C1092" s="255" t="s">
        <v>2325</v>
      </c>
      <c r="D1092" s="402">
        <f>E1092*F1092</f>
        <v>11136998.019199999</v>
      </c>
      <c r="E1092" s="376">
        <v>971.92</v>
      </c>
      <c r="F1092" s="401">
        <v>11458.76</v>
      </c>
      <c r="G1092" s="401">
        <f>+G1288</f>
        <v>865.1</v>
      </c>
      <c r="H1092" s="402">
        <f>+I1092-D1092</f>
        <v>-1224024.7431999985</v>
      </c>
      <c r="I1092" s="402">
        <f>+F1092*G1092</f>
        <v>9912973.2760000005</v>
      </c>
    </row>
    <row r="1093" spans="2:9" hidden="1">
      <c r="B1093" s="156">
        <v>45382</v>
      </c>
      <c r="C1093" s="255" t="s">
        <v>673</v>
      </c>
      <c r="D1093" s="402">
        <f t="shared" si="83"/>
        <v>-279162153.00009298</v>
      </c>
      <c r="E1093" s="376">
        <v>981.71</v>
      </c>
      <c r="F1093" s="401">
        <v>-284363.15510700003</v>
      </c>
      <c r="G1093" s="401">
        <f t="shared" ref="G1093:G1134" si="85">+G935</f>
        <v>865.1</v>
      </c>
      <c r="H1093" s="402">
        <f>+I1093-D1093</f>
        <v>33159587.517027259</v>
      </c>
      <c r="I1093" s="402">
        <f>+F1093*G1093</f>
        <v>-246002565.48306572</v>
      </c>
    </row>
    <row r="1094" spans="2:9" hidden="1">
      <c r="B1094" s="156">
        <v>45394</v>
      </c>
      <c r="C1094" s="255" t="s">
        <v>1846</v>
      </c>
      <c r="D1094" s="402">
        <f t="shared" si="83"/>
        <v>3158199</v>
      </c>
      <c r="E1094" s="376">
        <v>957.03</v>
      </c>
      <c r="F1094" s="401">
        <v>3300</v>
      </c>
      <c r="G1094" s="401">
        <f t="shared" si="85"/>
        <v>865.1</v>
      </c>
      <c r="H1094" s="402">
        <f t="shared" ref="H1094:H1143" si="86">+I1094-D1094</f>
        <v>-303369</v>
      </c>
      <c r="I1094" s="402">
        <f t="shared" ref="I1094:I1143" si="87">+F1094*G1094</f>
        <v>2854830</v>
      </c>
    </row>
    <row r="1095" spans="2:9" hidden="1">
      <c r="B1095" s="156">
        <v>45401</v>
      </c>
      <c r="C1095" s="255" t="s">
        <v>1847</v>
      </c>
      <c r="D1095" s="402">
        <f t="shared" si="83"/>
        <v>1937267.3760000002</v>
      </c>
      <c r="E1095" s="376">
        <v>968.44</v>
      </c>
      <c r="F1095" s="401">
        <v>2000.4</v>
      </c>
      <c r="G1095" s="401">
        <f t="shared" si="85"/>
        <v>865.1</v>
      </c>
      <c r="H1095" s="402">
        <f t="shared" si="86"/>
        <v>-206721.33600000013</v>
      </c>
      <c r="I1095" s="402">
        <f t="shared" si="87"/>
        <v>1730546.04</v>
      </c>
    </row>
    <row r="1096" spans="2:9" hidden="1">
      <c r="B1096" s="156">
        <v>45401</v>
      </c>
      <c r="C1096" s="255" t="s">
        <v>1848</v>
      </c>
      <c r="D1096" s="402">
        <f t="shared" si="83"/>
        <v>1937267.3760000002</v>
      </c>
      <c r="E1096" s="376">
        <v>968.44</v>
      </c>
      <c r="F1096" s="401">
        <v>2000.4</v>
      </c>
      <c r="G1096" s="401">
        <f t="shared" si="85"/>
        <v>865.1</v>
      </c>
      <c r="H1096" s="402">
        <f t="shared" si="86"/>
        <v>-206721.33600000013</v>
      </c>
      <c r="I1096" s="402">
        <f t="shared" si="87"/>
        <v>1730546.04</v>
      </c>
    </row>
    <row r="1097" spans="2:9" hidden="1">
      <c r="B1097" s="156">
        <v>45401</v>
      </c>
      <c r="C1097" s="255" t="s">
        <v>1849</v>
      </c>
      <c r="D1097" s="402">
        <f t="shared" si="83"/>
        <v>1937267.3760000002</v>
      </c>
      <c r="E1097" s="376">
        <v>968.44</v>
      </c>
      <c r="F1097" s="401">
        <v>2000.4</v>
      </c>
      <c r="G1097" s="401">
        <f t="shared" si="85"/>
        <v>865.1</v>
      </c>
      <c r="H1097" s="402">
        <f t="shared" si="86"/>
        <v>-206721.33600000013</v>
      </c>
      <c r="I1097" s="402">
        <f t="shared" si="87"/>
        <v>1730546.04</v>
      </c>
    </row>
    <row r="1098" spans="2:9" hidden="1">
      <c r="B1098" s="156">
        <v>45401</v>
      </c>
      <c r="C1098" s="255" t="s">
        <v>1850</v>
      </c>
      <c r="D1098" s="402">
        <f t="shared" si="83"/>
        <v>1937267.3760000002</v>
      </c>
      <c r="E1098" s="376">
        <v>968.44</v>
      </c>
      <c r="F1098" s="401">
        <v>2000.4</v>
      </c>
      <c r="G1098" s="401">
        <f t="shared" si="85"/>
        <v>865.1</v>
      </c>
      <c r="H1098" s="402">
        <f t="shared" si="86"/>
        <v>-206721.33600000013</v>
      </c>
      <c r="I1098" s="402">
        <f t="shared" si="87"/>
        <v>1730546.04</v>
      </c>
    </row>
    <row r="1099" spans="2:9" hidden="1">
      <c r="B1099" s="156">
        <v>45401</v>
      </c>
      <c r="C1099" s="255" t="s">
        <v>1851</v>
      </c>
      <c r="D1099" s="402">
        <f t="shared" si="83"/>
        <v>2402699.64</v>
      </c>
      <c r="E1099" s="376">
        <v>968.44</v>
      </c>
      <c r="F1099" s="401">
        <v>2481</v>
      </c>
      <c r="G1099" s="401">
        <f t="shared" si="85"/>
        <v>865.1</v>
      </c>
      <c r="H1099" s="402">
        <f t="shared" si="86"/>
        <v>-256386.54000000004</v>
      </c>
      <c r="I1099" s="402">
        <f t="shared" si="87"/>
        <v>2146313.1</v>
      </c>
    </row>
    <row r="1100" spans="2:9" hidden="1">
      <c r="B1100" s="156">
        <v>45401</v>
      </c>
      <c r="C1100" s="255" t="s">
        <v>1852</v>
      </c>
      <c r="D1100" s="402">
        <f t="shared" si="83"/>
        <v>2897185.1040000003</v>
      </c>
      <c r="E1100" s="376">
        <v>968.44</v>
      </c>
      <c r="F1100" s="401">
        <v>2991.6</v>
      </c>
      <c r="G1100" s="401">
        <f t="shared" si="85"/>
        <v>865.1</v>
      </c>
      <c r="H1100" s="402">
        <f t="shared" si="86"/>
        <v>-309151.94400000013</v>
      </c>
      <c r="I1100" s="402">
        <f t="shared" si="87"/>
        <v>2588033.16</v>
      </c>
    </row>
    <row r="1101" spans="2:9" hidden="1">
      <c r="B1101" s="156">
        <v>45401</v>
      </c>
      <c r="C1101" s="255" t="s">
        <v>1853</v>
      </c>
      <c r="D1101" s="402">
        <f t="shared" si="83"/>
        <v>2402699.64</v>
      </c>
      <c r="E1101" s="376">
        <v>968.44</v>
      </c>
      <c r="F1101" s="401">
        <v>2481</v>
      </c>
      <c r="G1101" s="401">
        <f t="shared" si="85"/>
        <v>865.1</v>
      </c>
      <c r="H1101" s="402">
        <f t="shared" si="86"/>
        <v>-256386.54000000004</v>
      </c>
      <c r="I1101" s="402">
        <f t="shared" si="87"/>
        <v>2146313.1</v>
      </c>
    </row>
    <row r="1102" spans="2:9" hidden="1">
      <c r="B1102" s="156">
        <v>45401</v>
      </c>
      <c r="C1102" s="255" t="s">
        <v>1854</v>
      </c>
      <c r="D1102" s="402">
        <f t="shared" si="83"/>
        <v>2402699.64</v>
      </c>
      <c r="E1102" s="376">
        <v>968.44</v>
      </c>
      <c r="F1102" s="401">
        <v>2481</v>
      </c>
      <c r="G1102" s="401">
        <f t="shared" si="85"/>
        <v>865.1</v>
      </c>
      <c r="H1102" s="402">
        <f t="shared" si="86"/>
        <v>-256386.54000000004</v>
      </c>
      <c r="I1102" s="402">
        <f t="shared" si="87"/>
        <v>2146313.1</v>
      </c>
    </row>
    <row r="1103" spans="2:9" hidden="1">
      <c r="B1103" s="156">
        <v>45401</v>
      </c>
      <c r="C1103" s="255" t="s">
        <v>1855</v>
      </c>
      <c r="D1103" s="402">
        <f t="shared" si="83"/>
        <v>1908214.1760000002</v>
      </c>
      <c r="E1103" s="376">
        <v>968.44</v>
      </c>
      <c r="F1103" s="401">
        <v>1970.4</v>
      </c>
      <c r="G1103" s="401">
        <f t="shared" si="85"/>
        <v>865.1</v>
      </c>
      <c r="H1103" s="402">
        <f t="shared" si="86"/>
        <v>-203621.13600000017</v>
      </c>
      <c r="I1103" s="402">
        <f t="shared" si="87"/>
        <v>1704593.04</v>
      </c>
    </row>
    <row r="1104" spans="2:9" hidden="1">
      <c r="B1104" s="156">
        <v>45405</v>
      </c>
      <c r="C1104" s="255" t="s">
        <v>1856</v>
      </c>
      <c r="D1104" s="402">
        <f t="shared" si="83"/>
        <v>772537.5</v>
      </c>
      <c r="E1104" s="376">
        <v>953.75</v>
      </c>
      <c r="F1104" s="401">
        <v>810</v>
      </c>
      <c r="G1104" s="401">
        <f t="shared" si="85"/>
        <v>865.1</v>
      </c>
      <c r="H1104" s="402">
        <f t="shared" si="86"/>
        <v>-71806.5</v>
      </c>
      <c r="I1104" s="402">
        <f t="shared" si="87"/>
        <v>700731</v>
      </c>
    </row>
    <row r="1105" spans="2:9" hidden="1">
      <c r="B1105" s="156">
        <v>45405</v>
      </c>
      <c r="C1105" s="255" t="s">
        <v>1857</v>
      </c>
      <c r="D1105" s="402">
        <f t="shared" si="83"/>
        <v>1030050</v>
      </c>
      <c r="E1105" s="376">
        <v>953.75</v>
      </c>
      <c r="F1105" s="401">
        <v>1080</v>
      </c>
      <c r="G1105" s="401">
        <f t="shared" si="85"/>
        <v>865.1</v>
      </c>
      <c r="H1105" s="402">
        <f t="shared" si="86"/>
        <v>-95742</v>
      </c>
      <c r="I1105" s="402">
        <f t="shared" si="87"/>
        <v>934308</v>
      </c>
    </row>
    <row r="1106" spans="2:9" hidden="1">
      <c r="B1106" s="156">
        <v>45405</v>
      </c>
      <c r="C1106" s="255" t="s">
        <v>1858</v>
      </c>
      <c r="D1106" s="402">
        <f t="shared" si="83"/>
        <v>1030050</v>
      </c>
      <c r="E1106" s="376">
        <v>953.75</v>
      </c>
      <c r="F1106" s="401">
        <v>1080</v>
      </c>
      <c r="G1106" s="401">
        <f t="shared" si="85"/>
        <v>865.1</v>
      </c>
      <c r="H1106" s="402">
        <f t="shared" si="86"/>
        <v>-95742</v>
      </c>
      <c r="I1106" s="402">
        <f t="shared" si="87"/>
        <v>934308</v>
      </c>
    </row>
    <row r="1107" spans="2:9" hidden="1">
      <c r="B1107" s="156">
        <v>45405</v>
      </c>
      <c r="C1107" s="255" t="s">
        <v>1859</v>
      </c>
      <c r="D1107" s="402">
        <f t="shared" si="83"/>
        <v>2172032.1</v>
      </c>
      <c r="E1107" s="376">
        <v>953.75</v>
      </c>
      <c r="F1107" s="401">
        <v>2277.36</v>
      </c>
      <c r="G1107" s="401">
        <f t="shared" si="85"/>
        <v>865.1</v>
      </c>
      <c r="H1107" s="402">
        <f t="shared" si="86"/>
        <v>-201887.96399999992</v>
      </c>
      <c r="I1107" s="402">
        <f t="shared" si="87"/>
        <v>1970144.1360000002</v>
      </c>
    </row>
    <row r="1108" spans="2:9" hidden="1">
      <c r="B1108" s="156">
        <v>45405</v>
      </c>
      <c r="C1108" s="255" t="s">
        <v>1860</v>
      </c>
      <c r="D1108" s="402">
        <f t="shared" si="83"/>
        <v>34814259.375</v>
      </c>
      <c r="E1108" s="376">
        <v>953.75</v>
      </c>
      <c r="F1108" s="401">
        <v>36502.5</v>
      </c>
      <c r="G1108" s="401">
        <f t="shared" si="85"/>
        <v>865.1</v>
      </c>
      <c r="H1108" s="402">
        <f t="shared" si="86"/>
        <v>-3235946.625</v>
      </c>
      <c r="I1108" s="402">
        <f t="shared" si="87"/>
        <v>31578312.75</v>
      </c>
    </row>
    <row r="1109" spans="2:9" hidden="1">
      <c r="B1109" s="156">
        <v>45405</v>
      </c>
      <c r="C1109" s="255" t="s">
        <v>1861</v>
      </c>
      <c r="D1109" s="402">
        <f t="shared" si="83"/>
        <v>170244.375</v>
      </c>
      <c r="E1109" s="376">
        <v>953.75</v>
      </c>
      <c r="F1109" s="401">
        <v>178.5</v>
      </c>
      <c r="G1109" s="401">
        <f t="shared" si="85"/>
        <v>865.1</v>
      </c>
      <c r="H1109" s="402">
        <f t="shared" si="86"/>
        <v>-15824.024999999994</v>
      </c>
      <c r="I1109" s="402">
        <f t="shared" si="87"/>
        <v>154420.35</v>
      </c>
    </row>
    <row r="1110" spans="2:9" hidden="1">
      <c r="B1110" s="156">
        <v>45405</v>
      </c>
      <c r="C1110" s="255" t="s">
        <v>1862</v>
      </c>
      <c r="D1110" s="402">
        <f t="shared" ref="D1110:D1175" si="88">E1110*F1110</f>
        <v>1030050</v>
      </c>
      <c r="E1110" s="376">
        <v>953.75</v>
      </c>
      <c r="F1110" s="401">
        <v>1080</v>
      </c>
      <c r="G1110" s="401">
        <f t="shared" si="85"/>
        <v>865.1</v>
      </c>
      <c r="H1110" s="402">
        <f t="shared" si="86"/>
        <v>-95742</v>
      </c>
      <c r="I1110" s="402">
        <f t="shared" si="87"/>
        <v>934308</v>
      </c>
    </row>
    <row r="1111" spans="2:9" hidden="1">
      <c r="B1111" s="156">
        <v>45405</v>
      </c>
      <c r="C1111" s="255" t="s">
        <v>1863</v>
      </c>
      <c r="D1111" s="402">
        <f t="shared" si="88"/>
        <v>1030050</v>
      </c>
      <c r="E1111" s="376">
        <v>953.75</v>
      </c>
      <c r="F1111" s="401">
        <v>1080</v>
      </c>
      <c r="G1111" s="401">
        <f t="shared" si="85"/>
        <v>865.1</v>
      </c>
      <c r="H1111" s="402">
        <f t="shared" si="86"/>
        <v>-95742</v>
      </c>
      <c r="I1111" s="402">
        <f t="shared" si="87"/>
        <v>934308</v>
      </c>
    </row>
    <row r="1112" spans="2:9" hidden="1">
      <c r="B1112" s="156">
        <v>45405</v>
      </c>
      <c r="C1112" s="255" t="s">
        <v>1864</v>
      </c>
      <c r="D1112" s="402">
        <f t="shared" si="88"/>
        <v>710543.75</v>
      </c>
      <c r="E1112" s="376">
        <v>953.75</v>
      </c>
      <c r="F1112" s="401">
        <v>745</v>
      </c>
      <c r="G1112" s="401">
        <f t="shared" si="85"/>
        <v>865.1</v>
      </c>
      <c r="H1112" s="402">
        <f t="shared" si="86"/>
        <v>-66044.25</v>
      </c>
      <c r="I1112" s="402">
        <f t="shared" si="87"/>
        <v>644499.5</v>
      </c>
    </row>
    <row r="1113" spans="2:9" hidden="1">
      <c r="B1113" s="156">
        <v>45405</v>
      </c>
      <c r="C1113" s="255" t="s">
        <v>1865</v>
      </c>
      <c r="D1113" s="402">
        <f t="shared" si="88"/>
        <v>772537.5</v>
      </c>
      <c r="E1113" s="376">
        <v>953.75</v>
      </c>
      <c r="F1113" s="401">
        <v>810</v>
      </c>
      <c r="G1113" s="401">
        <f t="shared" si="85"/>
        <v>865.1</v>
      </c>
      <c r="H1113" s="402">
        <f t="shared" si="86"/>
        <v>-71806.5</v>
      </c>
      <c r="I1113" s="402">
        <f t="shared" si="87"/>
        <v>700731</v>
      </c>
    </row>
    <row r="1114" spans="2:9" hidden="1">
      <c r="B1114" s="156">
        <v>45405</v>
      </c>
      <c r="C1114" s="255" t="s">
        <v>1866</v>
      </c>
      <c r="D1114" s="402">
        <f t="shared" si="88"/>
        <v>1030050</v>
      </c>
      <c r="E1114" s="376">
        <v>953.75</v>
      </c>
      <c r="F1114" s="401">
        <v>1080</v>
      </c>
      <c r="G1114" s="401">
        <f t="shared" si="85"/>
        <v>865.1</v>
      </c>
      <c r="H1114" s="402">
        <f t="shared" si="86"/>
        <v>-95742</v>
      </c>
      <c r="I1114" s="402">
        <f t="shared" si="87"/>
        <v>934308</v>
      </c>
    </row>
    <row r="1115" spans="2:9" hidden="1">
      <c r="B1115" s="156">
        <v>45405</v>
      </c>
      <c r="C1115" s="255" t="s">
        <v>1867</v>
      </c>
      <c r="D1115" s="402">
        <f t="shared" si="88"/>
        <v>6978588.75</v>
      </c>
      <c r="E1115" s="376">
        <v>953.75</v>
      </c>
      <c r="F1115" s="401">
        <v>7317</v>
      </c>
      <c r="G1115" s="401">
        <f t="shared" si="85"/>
        <v>865.1</v>
      </c>
      <c r="H1115" s="402">
        <f t="shared" si="86"/>
        <v>-648652.04999999981</v>
      </c>
      <c r="I1115" s="402">
        <f t="shared" si="87"/>
        <v>6329936.7000000002</v>
      </c>
    </row>
    <row r="1116" spans="2:9" hidden="1">
      <c r="B1116" s="156">
        <v>45405</v>
      </c>
      <c r="C1116" s="255" t="s">
        <v>1868</v>
      </c>
      <c r="D1116" s="402">
        <f t="shared" si="88"/>
        <v>1030050</v>
      </c>
      <c r="E1116" s="376">
        <v>953.75</v>
      </c>
      <c r="F1116" s="401">
        <v>1080</v>
      </c>
      <c r="G1116" s="401">
        <f t="shared" si="85"/>
        <v>865.1</v>
      </c>
      <c r="H1116" s="402">
        <f t="shared" si="86"/>
        <v>-95742</v>
      </c>
      <c r="I1116" s="402">
        <f t="shared" si="87"/>
        <v>934308</v>
      </c>
    </row>
    <row r="1117" spans="2:9" hidden="1">
      <c r="B1117" s="156">
        <v>45405</v>
      </c>
      <c r="C1117" s="255" t="s">
        <v>1869</v>
      </c>
      <c r="D1117" s="402">
        <f t="shared" si="88"/>
        <v>1719611.25</v>
      </c>
      <c r="E1117" s="376">
        <v>953.75</v>
      </c>
      <c r="F1117" s="401">
        <v>1803</v>
      </c>
      <c r="G1117" s="401">
        <f t="shared" si="85"/>
        <v>865.1</v>
      </c>
      <c r="H1117" s="402">
        <f t="shared" si="86"/>
        <v>-159835.94999999995</v>
      </c>
      <c r="I1117" s="402">
        <f t="shared" si="87"/>
        <v>1559775.3</v>
      </c>
    </row>
    <row r="1118" spans="2:9" hidden="1">
      <c r="B1118" s="156">
        <v>45405</v>
      </c>
      <c r="C1118" s="255" t="s">
        <v>1870</v>
      </c>
      <c r="D1118" s="402">
        <f t="shared" si="88"/>
        <v>1774928.75</v>
      </c>
      <c r="E1118" s="376">
        <v>953.75</v>
      </c>
      <c r="F1118" s="401">
        <v>1861</v>
      </c>
      <c r="G1118" s="401">
        <f t="shared" si="85"/>
        <v>865.1</v>
      </c>
      <c r="H1118" s="402">
        <f t="shared" si="86"/>
        <v>-164977.64999999991</v>
      </c>
      <c r="I1118" s="402">
        <f t="shared" si="87"/>
        <v>1609951.1</v>
      </c>
    </row>
    <row r="1119" spans="2:9" hidden="1">
      <c r="B1119" s="156">
        <v>45405</v>
      </c>
      <c r="C1119" s="255" t="s">
        <v>1871</v>
      </c>
      <c r="D1119" s="402">
        <f t="shared" si="88"/>
        <v>2953286.875</v>
      </c>
      <c r="E1119" s="376">
        <v>953.75</v>
      </c>
      <c r="F1119" s="401">
        <v>3096.5</v>
      </c>
      <c r="G1119" s="401">
        <f t="shared" si="85"/>
        <v>865.1</v>
      </c>
      <c r="H1119" s="402">
        <f t="shared" si="86"/>
        <v>-274504.72500000009</v>
      </c>
      <c r="I1119" s="402">
        <f t="shared" si="87"/>
        <v>2678782.15</v>
      </c>
    </row>
    <row r="1120" spans="2:9" hidden="1">
      <c r="B1120" s="156">
        <v>45405</v>
      </c>
      <c r="C1120" s="255" t="s">
        <v>1872</v>
      </c>
      <c r="D1120" s="402">
        <f t="shared" si="88"/>
        <v>1915606.875</v>
      </c>
      <c r="E1120" s="376">
        <v>953.75</v>
      </c>
      <c r="F1120" s="401">
        <v>2008.5</v>
      </c>
      <c r="G1120" s="401">
        <f t="shared" si="85"/>
        <v>865.1</v>
      </c>
      <c r="H1120" s="402">
        <f t="shared" si="86"/>
        <v>-178053.52499999991</v>
      </c>
      <c r="I1120" s="402">
        <f t="shared" si="87"/>
        <v>1737553.35</v>
      </c>
    </row>
    <row r="1121" spans="2:9" hidden="1">
      <c r="B1121" s="156">
        <v>45405</v>
      </c>
      <c r="C1121" s="255" t="s">
        <v>1873</v>
      </c>
      <c r="D1121" s="402">
        <f t="shared" si="88"/>
        <v>9847163.5500000007</v>
      </c>
      <c r="E1121" s="376">
        <v>953.75</v>
      </c>
      <c r="F1121" s="401">
        <v>10324.68</v>
      </c>
      <c r="G1121" s="401">
        <f t="shared" si="85"/>
        <v>865.1</v>
      </c>
      <c r="H1121" s="402">
        <f t="shared" si="86"/>
        <v>-915282.88200000115</v>
      </c>
      <c r="I1121" s="402">
        <f t="shared" si="87"/>
        <v>8931880.6679999996</v>
      </c>
    </row>
    <row r="1122" spans="2:9" hidden="1">
      <c r="B1122" s="156">
        <v>45405</v>
      </c>
      <c r="C1122" s="255" t="s">
        <v>1874</v>
      </c>
      <c r="D1122" s="402">
        <f t="shared" si="88"/>
        <v>1031480.625</v>
      </c>
      <c r="E1122" s="376">
        <v>953.75</v>
      </c>
      <c r="F1122" s="401">
        <v>1081.5</v>
      </c>
      <c r="G1122" s="401">
        <f t="shared" si="85"/>
        <v>865.1</v>
      </c>
      <c r="H1122" s="402">
        <f t="shared" si="86"/>
        <v>-95874.974999999977</v>
      </c>
      <c r="I1122" s="402">
        <f t="shared" si="87"/>
        <v>935605.65</v>
      </c>
    </row>
    <row r="1123" spans="2:9" hidden="1">
      <c r="B1123" s="156">
        <v>45405</v>
      </c>
      <c r="C1123" s="255" t="s">
        <v>1875</v>
      </c>
      <c r="D1123" s="402">
        <f t="shared" si="88"/>
        <v>1452084.375</v>
      </c>
      <c r="E1123" s="376">
        <v>953.75</v>
      </c>
      <c r="F1123" s="401">
        <v>1522.5</v>
      </c>
      <c r="G1123" s="401">
        <f t="shared" si="85"/>
        <v>865.1</v>
      </c>
      <c r="H1123" s="402">
        <f t="shared" si="86"/>
        <v>-134969.625</v>
      </c>
      <c r="I1123" s="402">
        <f t="shared" si="87"/>
        <v>1317114.75</v>
      </c>
    </row>
    <row r="1124" spans="2:9" hidden="1">
      <c r="B1124" s="156">
        <v>45405</v>
      </c>
      <c r="C1124" s="255" t="s">
        <v>1876</v>
      </c>
      <c r="D1124" s="402">
        <f t="shared" si="88"/>
        <v>1774928.75</v>
      </c>
      <c r="E1124" s="376">
        <v>953.75</v>
      </c>
      <c r="F1124" s="401">
        <v>1861</v>
      </c>
      <c r="G1124" s="401">
        <f t="shared" si="85"/>
        <v>865.1</v>
      </c>
      <c r="H1124" s="402">
        <f t="shared" si="86"/>
        <v>-164977.64999999991</v>
      </c>
      <c r="I1124" s="402">
        <f t="shared" si="87"/>
        <v>1609951.1</v>
      </c>
    </row>
    <row r="1125" spans="2:9" hidden="1">
      <c r="B1125" s="156">
        <v>45405</v>
      </c>
      <c r="C1125" s="255" t="s">
        <v>1877</v>
      </c>
      <c r="D1125" s="402">
        <f t="shared" si="88"/>
        <v>1700536.25</v>
      </c>
      <c r="E1125" s="376">
        <v>953.75</v>
      </c>
      <c r="F1125" s="401">
        <v>1783</v>
      </c>
      <c r="G1125" s="401">
        <f t="shared" si="85"/>
        <v>865.1</v>
      </c>
      <c r="H1125" s="402">
        <f t="shared" si="86"/>
        <v>-158062.94999999995</v>
      </c>
      <c r="I1125" s="402">
        <f t="shared" si="87"/>
        <v>1542473.3</v>
      </c>
    </row>
    <row r="1126" spans="2:9" hidden="1">
      <c r="B1126" s="156">
        <v>45405</v>
      </c>
      <c r="C1126" s="255" t="s">
        <v>1878</v>
      </c>
      <c r="D1126" s="402">
        <f t="shared" si="88"/>
        <v>1608022.5</v>
      </c>
      <c r="E1126" s="376">
        <v>953.75</v>
      </c>
      <c r="F1126" s="401">
        <v>1686</v>
      </c>
      <c r="G1126" s="401">
        <f t="shared" si="85"/>
        <v>865.1</v>
      </c>
      <c r="H1126" s="402">
        <f t="shared" si="86"/>
        <v>-149463.89999999991</v>
      </c>
      <c r="I1126" s="402">
        <f t="shared" si="87"/>
        <v>1458558.6</v>
      </c>
    </row>
    <row r="1127" spans="2:9" hidden="1">
      <c r="B1127" s="156">
        <v>45405</v>
      </c>
      <c r="C1127" s="255" t="s">
        <v>1879</v>
      </c>
      <c r="D1127" s="402">
        <f t="shared" si="88"/>
        <v>3221767.5</v>
      </c>
      <c r="E1127" s="376">
        <v>953.75</v>
      </c>
      <c r="F1127" s="401">
        <v>3378</v>
      </c>
      <c r="G1127" s="401">
        <f t="shared" si="85"/>
        <v>865.1</v>
      </c>
      <c r="H1127" s="402">
        <f t="shared" si="86"/>
        <v>-299459.69999999972</v>
      </c>
      <c r="I1127" s="402">
        <f t="shared" si="87"/>
        <v>2922307.8000000003</v>
      </c>
    </row>
    <row r="1128" spans="2:9" hidden="1">
      <c r="B1128" s="156">
        <v>45405</v>
      </c>
      <c r="C1128" s="255" t="s">
        <v>1880</v>
      </c>
      <c r="D1128" s="402">
        <f t="shared" si="88"/>
        <v>1700536.25</v>
      </c>
      <c r="E1128" s="376">
        <v>953.75</v>
      </c>
      <c r="F1128" s="401">
        <v>1783</v>
      </c>
      <c r="G1128" s="401">
        <f t="shared" si="85"/>
        <v>865.1</v>
      </c>
      <c r="H1128" s="402">
        <f t="shared" si="86"/>
        <v>-158062.94999999995</v>
      </c>
      <c r="I1128" s="402">
        <f t="shared" si="87"/>
        <v>1542473.3</v>
      </c>
    </row>
    <row r="1129" spans="2:9" hidden="1">
      <c r="B1129" s="156">
        <v>45405</v>
      </c>
      <c r="C1129" s="255" t="s">
        <v>1881</v>
      </c>
      <c r="D1129" s="402">
        <f t="shared" si="88"/>
        <v>2540790</v>
      </c>
      <c r="E1129" s="376">
        <v>953.75</v>
      </c>
      <c r="F1129" s="401">
        <v>2664</v>
      </c>
      <c r="G1129" s="401">
        <f t="shared" si="85"/>
        <v>865.1</v>
      </c>
      <c r="H1129" s="402">
        <f t="shared" si="86"/>
        <v>-236163.60000000009</v>
      </c>
      <c r="I1129" s="402">
        <f t="shared" si="87"/>
        <v>2304626.4</v>
      </c>
    </row>
    <row r="1130" spans="2:9" hidden="1">
      <c r="B1130" s="156">
        <v>45405</v>
      </c>
      <c r="C1130" s="255" t="s">
        <v>1882</v>
      </c>
      <c r="D1130" s="402">
        <f t="shared" si="88"/>
        <v>2784950</v>
      </c>
      <c r="E1130" s="376">
        <v>953.75</v>
      </c>
      <c r="F1130" s="401">
        <v>2920</v>
      </c>
      <c r="G1130" s="401">
        <f t="shared" si="85"/>
        <v>865.1</v>
      </c>
      <c r="H1130" s="402">
        <f t="shared" si="86"/>
        <v>-258858</v>
      </c>
      <c r="I1130" s="402">
        <f t="shared" si="87"/>
        <v>2526092</v>
      </c>
    </row>
    <row r="1131" spans="2:9" hidden="1">
      <c r="B1131" s="156">
        <v>45405</v>
      </c>
      <c r="C1131" s="255" t="s">
        <v>1883</v>
      </c>
      <c r="D1131" s="402">
        <f t="shared" si="88"/>
        <v>1608022.5</v>
      </c>
      <c r="E1131" s="376">
        <v>953.75</v>
      </c>
      <c r="F1131" s="401">
        <v>1686</v>
      </c>
      <c r="G1131" s="401">
        <f t="shared" si="85"/>
        <v>865.1</v>
      </c>
      <c r="H1131" s="402">
        <f t="shared" si="86"/>
        <v>-149463.89999999991</v>
      </c>
      <c r="I1131" s="402">
        <f t="shared" si="87"/>
        <v>1458558.6</v>
      </c>
    </row>
    <row r="1132" spans="2:9" hidden="1">
      <c r="B1132" s="156">
        <v>45405</v>
      </c>
      <c r="C1132" s="255" t="s">
        <v>1884</v>
      </c>
      <c r="D1132" s="402">
        <f t="shared" si="88"/>
        <v>2608029.375</v>
      </c>
      <c r="E1132" s="376">
        <v>953.75</v>
      </c>
      <c r="F1132" s="401">
        <v>2734.5</v>
      </c>
      <c r="G1132" s="401">
        <f t="shared" si="85"/>
        <v>865.1</v>
      </c>
      <c r="H1132" s="402">
        <f t="shared" si="86"/>
        <v>-242413.42499999981</v>
      </c>
      <c r="I1132" s="402">
        <f t="shared" si="87"/>
        <v>2365615.9500000002</v>
      </c>
    </row>
    <row r="1133" spans="2:9" hidden="1">
      <c r="B1133" s="156">
        <v>45407</v>
      </c>
      <c r="C1133" s="255" t="s">
        <v>1885</v>
      </c>
      <c r="D1133" s="402">
        <f t="shared" si="88"/>
        <v>42867324.060000002</v>
      </c>
      <c r="E1133" s="376">
        <v>954.58</v>
      </c>
      <c r="F1133" s="401">
        <v>44907</v>
      </c>
      <c r="G1133" s="401">
        <f t="shared" si="85"/>
        <v>865.1</v>
      </c>
      <c r="H1133" s="402">
        <f t="shared" si="86"/>
        <v>-4018278.3599999994</v>
      </c>
      <c r="I1133" s="402">
        <f t="shared" si="87"/>
        <v>38849045.700000003</v>
      </c>
    </row>
    <row r="1134" spans="2:9" hidden="1">
      <c r="B1134" s="156">
        <v>45407</v>
      </c>
      <c r="C1134" s="255" t="s">
        <v>1886</v>
      </c>
      <c r="D1134" s="402">
        <f t="shared" si="88"/>
        <v>389468.64</v>
      </c>
      <c r="E1134" s="376">
        <v>954.58</v>
      </c>
      <c r="F1134" s="401">
        <v>408</v>
      </c>
      <c r="G1134" s="401">
        <f t="shared" si="85"/>
        <v>865.1</v>
      </c>
      <c r="H1134" s="402">
        <f t="shared" si="86"/>
        <v>-36507.840000000026</v>
      </c>
      <c r="I1134" s="402">
        <f t="shared" si="87"/>
        <v>352960.8</v>
      </c>
    </row>
    <row r="1135" spans="2:9" hidden="1">
      <c r="B1135" s="156">
        <v>45408</v>
      </c>
      <c r="C1135" s="255" t="s">
        <v>1887</v>
      </c>
      <c r="D1135" s="402">
        <f t="shared" si="88"/>
        <v>36805119.390000001</v>
      </c>
      <c r="E1135" s="376">
        <v>948.61</v>
      </c>
      <c r="F1135" s="401">
        <v>38799</v>
      </c>
      <c r="G1135" s="401">
        <f t="shared" ref="G1135:G1143" si="89">+G978</f>
        <v>865.1</v>
      </c>
      <c r="H1135" s="402">
        <f t="shared" si="86"/>
        <v>-3240104.4900000021</v>
      </c>
      <c r="I1135" s="402">
        <f t="shared" si="87"/>
        <v>33565014.899999999</v>
      </c>
    </row>
    <row r="1136" spans="2:9" hidden="1">
      <c r="B1136" s="156">
        <v>45408</v>
      </c>
      <c r="C1136" s="255" t="s">
        <v>1888</v>
      </c>
      <c r="D1136" s="402">
        <f t="shared" si="88"/>
        <v>14562112.109999999</v>
      </c>
      <c r="E1136" s="376">
        <v>948.61</v>
      </c>
      <c r="F1136" s="401">
        <v>15351</v>
      </c>
      <c r="G1136" s="401">
        <f t="shared" si="89"/>
        <v>865.1</v>
      </c>
      <c r="H1136" s="402">
        <f t="shared" si="86"/>
        <v>-1281962.0099999998</v>
      </c>
      <c r="I1136" s="402">
        <f t="shared" si="87"/>
        <v>13280150.1</v>
      </c>
    </row>
    <row r="1137" spans="2:9" hidden="1">
      <c r="B1137" s="156">
        <v>45412</v>
      </c>
      <c r="C1137" s="255" t="s">
        <v>1889</v>
      </c>
      <c r="D1137" s="402">
        <f t="shared" si="88"/>
        <v>3129515.73</v>
      </c>
      <c r="E1137" s="376">
        <v>943.62</v>
      </c>
      <c r="F1137" s="401">
        <v>3316.5</v>
      </c>
      <c r="G1137" s="401">
        <f t="shared" si="89"/>
        <v>865.1</v>
      </c>
      <c r="H1137" s="402">
        <f t="shared" si="86"/>
        <v>-260411.58000000007</v>
      </c>
      <c r="I1137" s="402">
        <f t="shared" si="87"/>
        <v>2869104.15</v>
      </c>
    </row>
    <row r="1138" spans="2:9" hidden="1">
      <c r="B1138" s="156">
        <v>45412</v>
      </c>
      <c r="C1138" s="255" t="s">
        <v>1890</v>
      </c>
      <c r="D1138" s="402">
        <f t="shared" si="88"/>
        <v>1682474.46</v>
      </c>
      <c r="E1138" s="376">
        <v>943.62</v>
      </c>
      <c r="F1138" s="401">
        <v>1783</v>
      </c>
      <c r="G1138" s="401">
        <f t="shared" si="89"/>
        <v>865.1</v>
      </c>
      <c r="H1138" s="402">
        <f t="shared" si="86"/>
        <v>-140001.15999999992</v>
      </c>
      <c r="I1138" s="402">
        <f t="shared" si="87"/>
        <v>1542473.3</v>
      </c>
    </row>
    <row r="1139" spans="2:9" hidden="1">
      <c r="B1139" s="156">
        <v>45412</v>
      </c>
      <c r="C1139" s="255" t="s">
        <v>1891</v>
      </c>
      <c r="D1139" s="402">
        <f t="shared" si="88"/>
        <v>1834397.28</v>
      </c>
      <c r="E1139" s="376">
        <v>943.62</v>
      </c>
      <c r="F1139" s="401">
        <v>1944</v>
      </c>
      <c r="G1139" s="401">
        <f t="shared" si="89"/>
        <v>865.1</v>
      </c>
      <c r="H1139" s="402">
        <f t="shared" si="86"/>
        <v>-152642.87999999989</v>
      </c>
      <c r="I1139" s="402">
        <f t="shared" si="87"/>
        <v>1681754.4000000001</v>
      </c>
    </row>
    <row r="1140" spans="2:9" hidden="1">
      <c r="B1140" s="156">
        <v>45412</v>
      </c>
      <c r="C1140" s="255" t="s">
        <v>1892</v>
      </c>
      <c r="D1140" s="402">
        <f t="shared" si="88"/>
        <v>3012506.85</v>
      </c>
      <c r="E1140" s="376">
        <v>943.62</v>
      </c>
      <c r="F1140" s="401">
        <v>3192.5</v>
      </c>
      <c r="G1140" s="401">
        <f t="shared" si="89"/>
        <v>865.1</v>
      </c>
      <c r="H1140" s="402">
        <f t="shared" si="86"/>
        <v>-250675.10000000009</v>
      </c>
      <c r="I1140" s="402">
        <f t="shared" si="87"/>
        <v>2761831.75</v>
      </c>
    </row>
    <row r="1141" spans="2:9" hidden="1">
      <c r="B1141" s="156">
        <v>45412</v>
      </c>
      <c r="C1141" s="255" t="s">
        <v>1893</v>
      </c>
      <c r="D1141" s="402">
        <f t="shared" si="88"/>
        <v>26679911.879999999</v>
      </c>
      <c r="E1141" s="376">
        <v>943.62</v>
      </c>
      <c r="F1141" s="401">
        <v>28274</v>
      </c>
      <c r="G1141" s="401">
        <f t="shared" si="89"/>
        <v>865.1</v>
      </c>
      <c r="H1141" s="402">
        <f t="shared" si="86"/>
        <v>-2220074.4799999967</v>
      </c>
      <c r="I1141" s="402">
        <f t="shared" si="87"/>
        <v>24459837.400000002</v>
      </c>
    </row>
    <row r="1142" spans="2:9" hidden="1">
      <c r="B1142" s="156">
        <v>45412</v>
      </c>
      <c r="C1142" s="255" t="s">
        <v>1894</v>
      </c>
      <c r="D1142" s="402">
        <f t="shared" si="88"/>
        <v>1977827.52</v>
      </c>
      <c r="E1142" s="376">
        <v>943.62</v>
      </c>
      <c r="F1142" s="401">
        <v>2096</v>
      </c>
      <c r="G1142" s="401">
        <f t="shared" si="89"/>
        <v>865.1</v>
      </c>
      <c r="H1142" s="402">
        <f t="shared" si="86"/>
        <v>-164577.91999999993</v>
      </c>
      <c r="I1142" s="402">
        <f t="shared" si="87"/>
        <v>1813249.6</v>
      </c>
    </row>
    <row r="1143" spans="2:9" hidden="1">
      <c r="B1143" s="156">
        <v>45412</v>
      </c>
      <c r="C1143" s="255" t="s">
        <v>1895</v>
      </c>
      <c r="D1143" s="402">
        <f t="shared" si="88"/>
        <v>2300545.56</v>
      </c>
      <c r="E1143" s="376">
        <v>943.62</v>
      </c>
      <c r="F1143" s="401">
        <v>2438</v>
      </c>
      <c r="G1143" s="401">
        <f t="shared" si="89"/>
        <v>865.1</v>
      </c>
      <c r="H1143" s="402">
        <f t="shared" si="86"/>
        <v>-191431.75999999978</v>
      </c>
      <c r="I1143" s="402">
        <f t="shared" si="87"/>
        <v>2109113.8000000003</v>
      </c>
    </row>
    <row r="1144" spans="2:9" ht="12.8" hidden="1" customHeight="1">
      <c r="B1144" s="156">
        <v>45406</v>
      </c>
      <c r="C1144" s="255" t="s">
        <v>2321</v>
      </c>
      <c r="D1144" s="402">
        <f>E1144*F1144</f>
        <v>2321894.4323999998</v>
      </c>
      <c r="E1144" s="376">
        <v>950.77</v>
      </c>
      <c r="F1144" s="401">
        <v>2442.12</v>
      </c>
      <c r="G1144" s="401">
        <f>+G1284</f>
        <v>865.1</v>
      </c>
      <c r="H1144" s="402">
        <f>+I1144-D1144</f>
        <v>-209216.42039999971</v>
      </c>
      <c r="I1144" s="402">
        <f>+F1144*G1144</f>
        <v>2112678.0120000001</v>
      </c>
    </row>
    <row r="1145" spans="2:9" hidden="1">
      <c r="B1145" s="156">
        <v>45406</v>
      </c>
      <c r="C1145" s="255" t="s">
        <v>2322</v>
      </c>
      <c r="D1145" s="402">
        <f>E1145*F1145</f>
        <v>2968684.2480000001</v>
      </c>
      <c r="E1145" s="376">
        <v>950.77</v>
      </c>
      <c r="F1145" s="401">
        <v>3122.4</v>
      </c>
      <c r="G1145" s="401">
        <f>+G1285</f>
        <v>865.1</v>
      </c>
      <c r="H1145" s="402">
        <f>+I1145-D1145</f>
        <v>-267496.00799999991</v>
      </c>
      <c r="I1145" s="402">
        <f>+F1145*G1145</f>
        <v>2701188.24</v>
      </c>
    </row>
    <row r="1146" spans="2:9" hidden="1">
      <c r="B1146" s="156">
        <v>45412</v>
      </c>
      <c r="C1146" s="255" t="s">
        <v>673</v>
      </c>
      <c r="D1146" s="402">
        <f t="shared" si="88"/>
        <v>-367870034.9998877</v>
      </c>
      <c r="E1146" s="376">
        <v>954.25</v>
      </c>
      <c r="F1146" s="401">
        <v>-385506.97930299997</v>
      </c>
      <c r="G1146" s="401">
        <f t="shared" ref="G1146:G1188" si="90">+G987</f>
        <v>865.1</v>
      </c>
      <c r="H1146" s="402">
        <f>+I1146-D1146</f>
        <v>34367947.204862416</v>
      </c>
      <c r="I1146" s="402">
        <f>+F1146*G1146</f>
        <v>-333502087.79502529</v>
      </c>
    </row>
    <row r="1147" spans="2:9" hidden="1">
      <c r="B1147" s="156">
        <v>45423</v>
      </c>
      <c r="C1147" s="255" t="s">
        <v>1906</v>
      </c>
      <c r="D1147" s="402">
        <f t="shared" si="88"/>
        <v>470773.2</v>
      </c>
      <c r="E1147" s="376">
        <v>922</v>
      </c>
      <c r="F1147" s="401">
        <v>510.6</v>
      </c>
      <c r="G1147" s="401">
        <f t="shared" si="90"/>
        <v>865.1</v>
      </c>
      <c r="H1147" s="402">
        <f t="shared" ref="H1147:H1157" si="91">+I1147-D1147</f>
        <v>-29053.139999999956</v>
      </c>
      <c r="I1147" s="402">
        <f t="shared" ref="I1147:I1157" si="92">+F1147*G1147</f>
        <v>441720.06000000006</v>
      </c>
    </row>
    <row r="1148" spans="2:9" hidden="1">
      <c r="B1148" s="156">
        <v>45423</v>
      </c>
      <c r="C1148" s="255" t="s">
        <v>1907</v>
      </c>
      <c r="D1148" s="402">
        <f t="shared" si="88"/>
        <v>470773.2</v>
      </c>
      <c r="E1148" s="376">
        <v>922</v>
      </c>
      <c r="F1148" s="401">
        <v>510.6</v>
      </c>
      <c r="G1148" s="401">
        <f t="shared" si="90"/>
        <v>865.1</v>
      </c>
      <c r="H1148" s="402">
        <f t="shared" si="91"/>
        <v>-29053.139999999956</v>
      </c>
      <c r="I1148" s="402">
        <f t="shared" si="92"/>
        <v>441720.06000000006</v>
      </c>
    </row>
    <row r="1149" spans="2:9" hidden="1">
      <c r="B1149" s="156">
        <v>45423</v>
      </c>
      <c r="C1149" s="255" t="s">
        <v>1908</v>
      </c>
      <c r="D1149" s="402">
        <f t="shared" si="88"/>
        <v>470773.2</v>
      </c>
      <c r="E1149" s="376">
        <v>922</v>
      </c>
      <c r="F1149" s="401">
        <v>510.6</v>
      </c>
      <c r="G1149" s="401">
        <f t="shared" si="90"/>
        <v>865.1</v>
      </c>
      <c r="H1149" s="402">
        <f t="shared" si="91"/>
        <v>-29053.139999999956</v>
      </c>
      <c r="I1149" s="402">
        <f t="shared" si="92"/>
        <v>441720.06000000006</v>
      </c>
    </row>
    <row r="1150" spans="2:9" hidden="1">
      <c r="B1150" s="156">
        <v>45423</v>
      </c>
      <c r="C1150" s="255" t="s">
        <v>1909</v>
      </c>
      <c r="D1150" s="402">
        <f t="shared" si="88"/>
        <v>470773.2</v>
      </c>
      <c r="E1150" s="376">
        <v>922</v>
      </c>
      <c r="F1150" s="401">
        <v>510.6</v>
      </c>
      <c r="G1150" s="401">
        <f t="shared" si="90"/>
        <v>865.1</v>
      </c>
      <c r="H1150" s="402">
        <f t="shared" si="91"/>
        <v>-29053.139999999956</v>
      </c>
      <c r="I1150" s="402">
        <f t="shared" si="92"/>
        <v>441720.06000000006</v>
      </c>
    </row>
    <row r="1151" spans="2:9" hidden="1">
      <c r="B1151" s="156">
        <v>45423</v>
      </c>
      <c r="C1151" s="255" t="s">
        <v>1910</v>
      </c>
      <c r="D1151" s="402">
        <f t="shared" si="88"/>
        <v>941546.4</v>
      </c>
      <c r="E1151" s="376">
        <v>922</v>
      </c>
      <c r="F1151" s="401">
        <v>1021.2</v>
      </c>
      <c r="G1151" s="401">
        <f t="shared" si="90"/>
        <v>865.1</v>
      </c>
      <c r="H1151" s="402">
        <f t="shared" si="91"/>
        <v>-58106.279999999912</v>
      </c>
      <c r="I1151" s="402">
        <f t="shared" si="92"/>
        <v>883440.12000000011</v>
      </c>
    </row>
    <row r="1152" spans="2:9" hidden="1">
      <c r="B1152" s="156">
        <v>45423</v>
      </c>
      <c r="C1152" s="255" t="s">
        <v>1911</v>
      </c>
      <c r="D1152" s="402">
        <f t="shared" si="88"/>
        <v>941546.4</v>
      </c>
      <c r="E1152" s="376">
        <v>922</v>
      </c>
      <c r="F1152" s="401">
        <v>1021.2</v>
      </c>
      <c r="G1152" s="401">
        <f t="shared" si="90"/>
        <v>865.1</v>
      </c>
      <c r="H1152" s="402">
        <f t="shared" si="91"/>
        <v>-58106.279999999912</v>
      </c>
      <c r="I1152" s="402">
        <f t="shared" si="92"/>
        <v>883440.12000000011</v>
      </c>
    </row>
    <row r="1153" spans="2:9" hidden="1">
      <c r="B1153" s="156">
        <v>45423</v>
      </c>
      <c r="C1153" s="255" t="s">
        <v>1912</v>
      </c>
      <c r="D1153" s="402">
        <f t="shared" si="88"/>
        <v>941546.4</v>
      </c>
      <c r="E1153" s="376">
        <v>922</v>
      </c>
      <c r="F1153" s="401">
        <v>1021.2</v>
      </c>
      <c r="G1153" s="401">
        <f t="shared" si="90"/>
        <v>865.1</v>
      </c>
      <c r="H1153" s="402">
        <f t="shared" si="91"/>
        <v>-58106.279999999912</v>
      </c>
      <c r="I1153" s="402">
        <f t="shared" si="92"/>
        <v>883440.12000000011</v>
      </c>
    </row>
    <row r="1154" spans="2:9" hidden="1">
      <c r="B1154" s="156">
        <v>45423</v>
      </c>
      <c r="C1154" s="255" t="s">
        <v>1913</v>
      </c>
      <c r="D1154" s="402">
        <f t="shared" si="88"/>
        <v>941546.4</v>
      </c>
      <c r="E1154" s="376">
        <v>922</v>
      </c>
      <c r="F1154" s="401">
        <v>1021.2</v>
      </c>
      <c r="G1154" s="401">
        <f t="shared" si="90"/>
        <v>865.1</v>
      </c>
      <c r="H1154" s="402">
        <f t="shared" si="91"/>
        <v>-58106.279999999912</v>
      </c>
      <c r="I1154" s="402">
        <f t="shared" si="92"/>
        <v>883440.12000000011</v>
      </c>
    </row>
    <row r="1155" spans="2:9" hidden="1">
      <c r="B1155" s="156">
        <v>45423</v>
      </c>
      <c r="C1155" s="255" t="s">
        <v>1914</v>
      </c>
      <c r="D1155" s="402">
        <f t="shared" si="88"/>
        <v>1412319.5999999999</v>
      </c>
      <c r="E1155" s="376">
        <v>922</v>
      </c>
      <c r="F1155" s="401">
        <v>1531.8</v>
      </c>
      <c r="G1155" s="401">
        <f t="shared" si="90"/>
        <v>865.1</v>
      </c>
      <c r="H1155" s="402">
        <f t="shared" si="91"/>
        <v>-87159.419999999925</v>
      </c>
      <c r="I1155" s="402">
        <f t="shared" si="92"/>
        <v>1325160.18</v>
      </c>
    </row>
    <row r="1156" spans="2:9" hidden="1">
      <c r="B1156" s="156">
        <v>45435</v>
      </c>
      <c r="C1156" s="255" t="s">
        <v>1915</v>
      </c>
      <c r="D1156" s="402">
        <f t="shared" si="88"/>
        <v>2171208</v>
      </c>
      <c r="E1156" s="376">
        <v>904.67</v>
      </c>
      <c r="F1156" s="401">
        <v>2400</v>
      </c>
      <c r="G1156" s="401">
        <f t="shared" si="90"/>
        <v>865.1</v>
      </c>
      <c r="H1156" s="402">
        <f t="shared" si="91"/>
        <v>-94968</v>
      </c>
      <c r="I1156" s="402">
        <f t="shared" si="92"/>
        <v>2076240</v>
      </c>
    </row>
    <row r="1157" spans="2:9" hidden="1">
      <c r="B1157" s="156">
        <v>45443</v>
      </c>
      <c r="C1157" s="255" t="s">
        <v>673</v>
      </c>
      <c r="D1157" s="402">
        <f t="shared" si="88"/>
        <v>-7961401.9995602099</v>
      </c>
      <c r="E1157" s="376">
        <v>916.77</v>
      </c>
      <c r="F1157" s="401">
        <v>-8684.1868730000006</v>
      </c>
      <c r="G1157" s="401">
        <f t="shared" si="90"/>
        <v>865.1</v>
      </c>
      <c r="H1157" s="402">
        <f t="shared" si="91"/>
        <v>448711.93572790921</v>
      </c>
      <c r="I1157" s="402">
        <f t="shared" si="92"/>
        <v>-7512690.0638323007</v>
      </c>
    </row>
    <row r="1158" spans="2:9" hidden="1">
      <c r="B1158" s="156">
        <v>45448</v>
      </c>
      <c r="C1158" s="255" t="s">
        <v>1941</v>
      </c>
      <c r="D1158" s="402">
        <f t="shared" si="88"/>
        <v>187864.27499999999</v>
      </c>
      <c r="E1158" s="376">
        <v>905.37</v>
      </c>
      <c r="F1158" s="401">
        <v>207.5</v>
      </c>
      <c r="G1158" s="401">
        <f t="shared" si="90"/>
        <v>865.1</v>
      </c>
      <c r="H1158" s="402">
        <f t="shared" ref="H1158:H1191" si="93">+I1158-D1158</f>
        <v>-8356.0249999999942</v>
      </c>
      <c r="I1158" s="402">
        <f t="shared" ref="I1158:I1191" si="94">+F1158*G1158</f>
        <v>179508.25</v>
      </c>
    </row>
    <row r="1159" spans="2:9" hidden="1">
      <c r="B1159" s="156">
        <v>45448</v>
      </c>
      <c r="C1159" s="255" t="s">
        <v>1942</v>
      </c>
      <c r="D1159" s="402">
        <f t="shared" si="88"/>
        <v>5752720.9800000004</v>
      </c>
      <c r="E1159" s="376">
        <v>905.37</v>
      </c>
      <c r="F1159" s="401">
        <v>6354</v>
      </c>
      <c r="G1159" s="401">
        <f t="shared" si="90"/>
        <v>865.1</v>
      </c>
      <c r="H1159" s="402">
        <f t="shared" si="93"/>
        <v>-255875.58000000007</v>
      </c>
      <c r="I1159" s="402">
        <f t="shared" si="94"/>
        <v>5496845.4000000004</v>
      </c>
    </row>
    <row r="1160" spans="2:9" hidden="1">
      <c r="B1160" s="156">
        <v>45448</v>
      </c>
      <c r="C1160" s="255" t="s">
        <v>1943</v>
      </c>
      <c r="D1160" s="402">
        <f t="shared" si="88"/>
        <v>1000397.6352</v>
      </c>
      <c r="E1160" s="376">
        <v>905.37</v>
      </c>
      <c r="F1160" s="401">
        <v>1104.96</v>
      </c>
      <c r="G1160" s="401">
        <f t="shared" si="90"/>
        <v>865.1</v>
      </c>
      <c r="H1160" s="402">
        <f t="shared" si="93"/>
        <v>-44496.739199999953</v>
      </c>
      <c r="I1160" s="402">
        <f t="shared" si="94"/>
        <v>955900.89600000007</v>
      </c>
    </row>
    <row r="1161" spans="2:9" hidden="1">
      <c r="B1161" s="156">
        <v>45448</v>
      </c>
      <c r="C1161" s="255" t="s">
        <v>1944</v>
      </c>
      <c r="D1161" s="402">
        <f t="shared" si="88"/>
        <v>8916083.7599999998</v>
      </c>
      <c r="E1161" s="376">
        <v>905.37</v>
      </c>
      <c r="F1161" s="401">
        <v>9848</v>
      </c>
      <c r="G1161" s="401">
        <f t="shared" si="90"/>
        <v>865.1</v>
      </c>
      <c r="H1161" s="402">
        <f t="shared" si="93"/>
        <v>-396578.95999999903</v>
      </c>
      <c r="I1161" s="402">
        <f t="shared" si="94"/>
        <v>8519504.8000000007</v>
      </c>
    </row>
    <row r="1162" spans="2:9" hidden="1">
      <c r="B1162" s="156">
        <v>45448</v>
      </c>
      <c r="C1162" s="255" t="s">
        <v>1945</v>
      </c>
      <c r="D1162" s="402">
        <f t="shared" si="88"/>
        <v>776807.46</v>
      </c>
      <c r="E1162" s="376">
        <v>905.37</v>
      </c>
      <c r="F1162" s="401">
        <v>858</v>
      </c>
      <c r="G1162" s="401">
        <f t="shared" si="90"/>
        <v>865.1</v>
      </c>
      <c r="H1162" s="402">
        <f t="shared" si="93"/>
        <v>-34551.659999999916</v>
      </c>
      <c r="I1162" s="402">
        <f t="shared" si="94"/>
        <v>742255.8</v>
      </c>
    </row>
    <row r="1163" spans="2:9" hidden="1">
      <c r="B1163" s="156">
        <v>45449</v>
      </c>
      <c r="C1163" s="255" t="s">
        <v>1946</v>
      </c>
      <c r="D1163" s="402">
        <f t="shared" si="88"/>
        <v>653406.25</v>
      </c>
      <c r="E1163" s="376">
        <v>906.25</v>
      </c>
      <c r="F1163" s="401">
        <v>721</v>
      </c>
      <c r="G1163" s="401">
        <f t="shared" si="90"/>
        <v>865.1</v>
      </c>
      <c r="H1163" s="402">
        <f t="shared" si="93"/>
        <v>-29669.150000000023</v>
      </c>
      <c r="I1163" s="402">
        <f t="shared" si="94"/>
        <v>623737.1</v>
      </c>
    </row>
    <row r="1164" spans="2:9" hidden="1">
      <c r="B1164" s="156">
        <v>45449</v>
      </c>
      <c r="C1164" s="255" t="s">
        <v>1947</v>
      </c>
      <c r="D1164" s="402">
        <f t="shared" si="88"/>
        <v>112828.125</v>
      </c>
      <c r="E1164" s="376">
        <v>906.25</v>
      </c>
      <c r="F1164" s="401">
        <v>124.5</v>
      </c>
      <c r="G1164" s="401">
        <f t="shared" si="90"/>
        <v>865.1</v>
      </c>
      <c r="H1164" s="402">
        <f t="shared" si="93"/>
        <v>-5123.1750000000029</v>
      </c>
      <c r="I1164" s="402">
        <f t="shared" si="94"/>
        <v>107704.95</v>
      </c>
    </row>
    <row r="1165" spans="2:9" hidden="1">
      <c r="B1165" s="156">
        <v>45449</v>
      </c>
      <c r="C1165" s="255" t="s">
        <v>1948</v>
      </c>
      <c r="D1165" s="402">
        <f t="shared" si="88"/>
        <v>2314562.5</v>
      </c>
      <c r="E1165" s="376">
        <v>906.25</v>
      </c>
      <c r="F1165" s="401">
        <v>2554</v>
      </c>
      <c r="G1165" s="401">
        <f t="shared" si="90"/>
        <v>865.1</v>
      </c>
      <c r="H1165" s="402">
        <f t="shared" si="93"/>
        <v>-105097.10000000009</v>
      </c>
      <c r="I1165" s="402">
        <f t="shared" si="94"/>
        <v>2209465.4</v>
      </c>
    </row>
    <row r="1166" spans="2:9" hidden="1">
      <c r="B1166" s="156">
        <v>45449</v>
      </c>
      <c r="C1166" s="255" t="s">
        <v>1949</v>
      </c>
      <c r="D1166" s="402">
        <f t="shared" si="88"/>
        <v>2147812.5</v>
      </c>
      <c r="E1166" s="376">
        <v>906.25</v>
      </c>
      <c r="F1166" s="401">
        <v>2370</v>
      </c>
      <c r="G1166" s="401">
        <f t="shared" si="90"/>
        <v>865.1</v>
      </c>
      <c r="H1166" s="402">
        <f t="shared" si="93"/>
        <v>-97525.5</v>
      </c>
      <c r="I1166" s="402">
        <f t="shared" si="94"/>
        <v>2050287</v>
      </c>
    </row>
    <row r="1167" spans="2:9" hidden="1">
      <c r="B1167" s="156">
        <v>45449</v>
      </c>
      <c r="C1167" s="255" t="s">
        <v>1950</v>
      </c>
      <c r="D1167" s="402">
        <f t="shared" si="88"/>
        <v>2502609.375</v>
      </c>
      <c r="E1167" s="376">
        <v>906.25</v>
      </c>
      <c r="F1167" s="401">
        <v>2761.5</v>
      </c>
      <c r="G1167" s="401">
        <f t="shared" si="90"/>
        <v>865.1</v>
      </c>
      <c r="H1167" s="402">
        <f t="shared" si="93"/>
        <v>-113635.72500000009</v>
      </c>
      <c r="I1167" s="402">
        <f t="shared" si="94"/>
        <v>2388973.65</v>
      </c>
    </row>
    <row r="1168" spans="2:9" hidden="1">
      <c r="B1168" s="156">
        <v>45449</v>
      </c>
      <c r="C1168" s="255" t="s">
        <v>1951</v>
      </c>
      <c r="D1168" s="402">
        <f t="shared" si="88"/>
        <v>2553359.375</v>
      </c>
      <c r="E1168" s="376">
        <v>906.25</v>
      </c>
      <c r="F1168" s="401">
        <v>2817.5</v>
      </c>
      <c r="G1168" s="401">
        <f t="shared" si="90"/>
        <v>865.1</v>
      </c>
      <c r="H1168" s="402">
        <f t="shared" si="93"/>
        <v>-115940.125</v>
      </c>
      <c r="I1168" s="402">
        <f t="shared" si="94"/>
        <v>2437419.25</v>
      </c>
    </row>
    <row r="1169" spans="2:9" hidden="1">
      <c r="B1169" s="156">
        <v>45449</v>
      </c>
      <c r="C1169" s="255" t="s">
        <v>1952</v>
      </c>
      <c r="D1169" s="402">
        <f t="shared" si="88"/>
        <v>377906.25</v>
      </c>
      <c r="E1169" s="376">
        <v>906.25</v>
      </c>
      <c r="F1169" s="401">
        <v>417</v>
      </c>
      <c r="G1169" s="401">
        <f t="shared" si="90"/>
        <v>865.1</v>
      </c>
      <c r="H1169" s="402">
        <f t="shared" si="93"/>
        <v>-17159.549999999988</v>
      </c>
      <c r="I1169" s="402">
        <f t="shared" si="94"/>
        <v>360746.7</v>
      </c>
    </row>
    <row r="1170" spans="2:9" hidden="1">
      <c r="B1170" s="156">
        <v>45450</v>
      </c>
      <c r="C1170" s="255" t="s">
        <v>1953</v>
      </c>
      <c r="D1170" s="402">
        <f t="shared" si="88"/>
        <v>231254.30000000002</v>
      </c>
      <c r="E1170" s="376">
        <v>910.45</v>
      </c>
      <c r="F1170" s="401">
        <v>254</v>
      </c>
      <c r="G1170" s="401">
        <f t="shared" si="90"/>
        <v>865.1</v>
      </c>
      <c r="H1170" s="402">
        <f t="shared" si="93"/>
        <v>-11518.900000000023</v>
      </c>
      <c r="I1170" s="402">
        <f t="shared" si="94"/>
        <v>219735.4</v>
      </c>
    </row>
    <row r="1171" spans="2:9" hidden="1">
      <c r="B1171" s="156">
        <v>45450</v>
      </c>
      <c r="C1171" s="255" t="s">
        <v>1954</v>
      </c>
      <c r="D1171" s="402">
        <f t="shared" si="88"/>
        <v>289067.875</v>
      </c>
      <c r="E1171" s="376">
        <v>910.45</v>
      </c>
      <c r="F1171" s="401">
        <v>317.5</v>
      </c>
      <c r="G1171" s="401">
        <f t="shared" si="90"/>
        <v>865.1</v>
      </c>
      <c r="H1171" s="402">
        <f t="shared" si="93"/>
        <v>-14398.625</v>
      </c>
      <c r="I1171" s="402">
        <f t="shared" si="94"/>
        <v>274669.25</v>
      </c>
    </row>
    <row r="1172" spans="2:9" hidden="1">
      <c r="B1172" s="156">
        <v>45450</v>
      </c>
      <c r="C1172" s="255" t="s">
        <v>1955</v>
      </c>
      <c r="D1172" s="402">
        <f t="shared" si="88"/>
        <v>289067.875</v>
      </c>
      <c r="E1172" s="376">
        <v>910.45</v>
      </c>
      <c r="F1172" s="401">
        <v>317.5</v>
      </c>
      <c r="G1172" s="401">
        <f t="shared" si="90"/>
        <v>865.1</v>
      </c>
      <c r="H1172" s="402">
        <f t="shared" si="93"/>
        <v>-14398.625</v>
      </c>
      <c r="I1172" s="402">
        <f t="shared" si="94"/>
        <v>274669.25</v>
      </c>
    </row>
    <row r="1173" spans="2:9" hidden="1">
      <c r="B1173" s="156">
        <v>45450</v>
      </c>
      <c r="C1173" s="255" t="s">
        <v>1956</v>
      </c>
      <c r="D1173" s="402">
        <f t="shared" si="88"/>
        <v>173440.72500000001</v>
      </c>
      <c r="E1173" s="376">
        <v>910.45</v>
      </c>
      <c r="F1173" s="401">
        <v>190.5</v>
      </c>
      <c r="G1173" s="401">
        <f t="shared" si="90"/>
        <v>865.1</v>
      </c>
      <c r="H1173" s="402">
        <f t="shared" si="93"/>
        <v>-8639.1749999999884</v>
      </c>
      <c r="I1173" s="402">
        <f t="shared" si="94"/>
        <v>164801.55000000002</v>
      </c>
    </row>
    <row r="1174" spans="2:9" hidden="1">
      <c r="B1174" s="156">
        <v>45450</v>
      </c>
      <c r="C1174" s="255" t="s">
        <v>1957</v>
      </c>
      <c r="D1174" s="402">
        <f t="shared" si="88"/>
        <v>231254.30000000002</v>
      </c>
      <c r="E1174" s="376">
        <v>910.45</v>
      </c>
      <c r="F1174" s="401">
        <v>254</v>
      </c>
      <c r="G1174" s="401">
        <f t="shared" si="90"/>
        <v>865.1</v>
      </c>
      <c r="H1174" s="402">
        <f t="shared" si="93"/>
        <v>-11518.900000000023</v>
      </c>
      <c r="I1174" s="402">
        <f t="shared" si="94"/>
        <v>219735.4</v>
      </c>
    </row>
    <row r="1175" spans="2:9" hidden="1">
      <c r="B1175" s="156">
        <v>45450</v>
      </c>
      <c r="C1175" s="255" t="s">
        <v>1958</v>
      </c>
      <c r="D1175" s="402">
        <f t="shared" si="88"/>
        <v>289067.875</v>
      </c>
      <c r="E1175" s="376">
        <v>910.45</v>
      </c>
      <c r="F1175" s="401">
        <v>317.5</v>
      </c>
      <c r="G1175" s="401">
        <f t="shared" si="90"/>
        <v>865.1</v>
      </c>
      <c r="H1175" s="402">
        <f t="shared" si="93"/>
        <v>-14398.625</v>
      </c>
      <c r="I1175" s="402">
        <f t="shared" si="94"/>
        <v>274669.25</v>
      </c>
    </row>
    <row r="1176" spans="2:9" hidden="1">
      <c r="B1176" s="156">
        <v>45450</v>
      </c>
      <c r="C1176" s="255" t="s">
        <v>1959</v>
      </c>
      <c r="D1176" s="402">
        <f t="shared" ref="D1176:D1241" si="95">E1176*F1176</f>
        <v>231254.30000000002</v>
      </c>
      <c r="E1176" s="376">
        <v>910.45</v>
      </c>
      <c r="F1176" s="401">
        <v>254</v>
      </c>
      <c r="G1176" s="401">
        <f t="shared" si="90"/>
        <v>865.1</v>
      </c>
      <c r="H1176" s="402">
        <f t="shared" si="93"/>
        <v>-11518.900000000023</v>
      </c>
      <c r="I1176" s="402">
        <f t="shared" si="94"/>
        <v>219735.4</v>
      </c>
    </row>
    <row r="1177" spans="2:9" hidden="1">
      <c r="B1177" s="156">
        <v>45450</v>
      </c>
      <c r="C1177" s="255" t="s">
        <v>1960</v>
      </c>
      <c r="D1177" s="402">
        <f t="shared" si="95"/>
        <v>289067.875</v>
      </c>
      <c r="E1177" s="376">
        <v>910.45</v>
      </c>
      <c r="F1177" s="401">
        <v>317.5</v>
      </c>
      <c r="G1177" s="401">
        <f t="shared" si="90"/>
        <v>865.1</v>
      </c>
      <c r="H1177" s="402">
        <f t="shared" si="93"/>
        <v>-14398.625</v>
      </c>
      <c r="I1177" s="402">
        <f t="shared" si="94"/>
        <v>274669.25</v>
      </c>
    </row>
    <row r="1178" spans="2:9" hidden="1">
      <c r="B1178" s="156">
        <v>45450</v>
      </c>
      <c r="C1178" s="255" t="s">
        <v>1961</v>
      </c>
      <c r="D1178" s="402">
        <f t="shared" si="95"/>
        <v>231254.30000000002</v>
      </c>
      <c r="E1178" s="376">
        <v>910.45</v>
      </c>
      <c r="F1178" s="401">
        <v>254</v>
      </c>
      <c r="G1178" s="401">
        <f t="shared" si="90"/>
        <v>865.1</v>
      </c>
      <c r="H1178" s="402">
        <f t="shared" si="93"/>
        <v>-11518.900000000023</v>
      </c>
      <c r="I1178" s="402">
        <f t="shared" si="94"/>
        <v>219735.4</v>
      </c>
    </row>
    <row r="1179" spans="2:9" hidden="1">
      <c r="B1179" s="156">
        <v>45450</v>
      </c>
      <c r="C1179" s="255" t="s">
        <v>1962</v>
      </c>
      <c r="D1179" s="402">
        <f t="shared" si="95"/>
        <v>2034855.75</v>
      </c>
      <c r="E1179" s="376">
        <v>910.45</v>
      </c>
      <c r="F1179" s="401">
        <v>2235</v>
      </c>
      <c r="G1179" s="401">
        <f t="shared" si="90"/>
        <v>865.1</v>
      </c>
      <c r="H1179" s="402">
        <f t="shared" si="93"/>
        <v>-101357.25</v>
      </c>
      <c r="I1179" s="402">
        <f t="shared" si="94"/>
        <v>1933498.5</v>
      </c>
    </row>
    <row r="1180" spans="2:9" hidden="1">
      <c r="B1180" s="156">
        <v>45450</v>
      </c>
      <c r="C1180" s="255" t="s">
        <v>1963</v>
      </c>
      <c r="D1180" s="402">
        <f t="shared" si="95"/>
        <v>2514207.6750000003</v>
      </c>
      <c r="E1180" s="376">
        <v>910.45</v>
      </c>
      <c r="F1180" s="401">
        <v>2761.5</v>
      </c>
      <c r="G1180" s="401">
        <f t="shared" si="90"/>
        <v>865.1</v>
      </c>
      <c r="H1180" s="402">
        <f t="shared" si="93"/>
        <v>-125234.02500000037</v>
      </c>
      <c r="I1180" s="402">
        <f t="shared" si="94"/>
        <v>2388973.65</v>
      </c>
    </row>
    <row r="1181" spans="2:9" hidden="1">
      <c r="B1181" s="156">
        <v>45450</v>
      </c>
      <c r="C1181" s="255" t="s">
        <v>1964</v>
      </c>
      <c r="D1181" s="402">
        <f t="shared" si="95"/>
        <v>2001624.3250000002</v>
      </c>
      <c r="E1181" s="376">
        <v>910.45</v>
      </c>
      <c r="F1181" s="401">
        <v>2198.5</v>
      </c>
      <c r="G1181" s="401">
        <f t="shared" si="90"/>
        <v>865.1</v>
      </c>
      <c r="H1181" s="402">
        <f t="shared" si="93"/>
        <v>-99701.975000000093</v>
      </c>
      <c r="I1181" s="402">
        <f t="shared" si="94"/>
        <v>1901922.35</v>
      </c>
    </row>
    <row r="1182" spans="2:9" hidden="1">
      <c r="B1182" s="156">
        <v>45450</v>
      </c>
      <c r="C1182" s="255" t="s">
        <v>1965</v>
      </c>
      <c r="D1182" s="402">
        <f t="shared" si="95"/>
        <v>2514207.6750000003</v>
      </c>
      <c r="E1182" s="376">
        <v>910.45</v>
      </c>
      <c r="F1182" s="401">
        <v>2761.5</v>
      </c>
      <c r="G1182" s="401">
        <f t="shared" si="90"/>
        <v>865.1</v>
      </c>
      <c r="H1182" s="402">
        <f t="shared" si="93"/>
        <v>-125234.02500000037</v>
      </c>
      <c r="I1182" s="402">
        <f t="shared" si="94"/>
        <v>2388973.65</v>
      </c>
    </row>
    <row r="1183" spans="2:9" hidden="1">
      <c r="B1183" s="156">
        <v>45450</v>
      </c>
      <c r="C1183" s="255" t="s">
        <v>1966</v>
      </c>
      <c r="D1183" s="402">
        <f t="shared" si="95"/>
        <v>2139557.5</v>
      </c>
      <c r="E1183" s="376">
        <v>910.45</v>
      </c>
      <c r="F1183" s="401">
        <v>2350</v>
      </c>
      <c r="G1183" s="401">
        <f t="shared" si="90"/>
        <v>865.1</v>
      </c>
      <c r="H1183" s="402">
        <f t="shared" si="93"/>
        <v>-106572.5</v>
      </c>
      <c r="I1183" s="402">
        <f t="shared" si="94"/>
        <v>2032985</v>
      </c>
    </row>
    <row r="1184" spans="2:9" hidden="1">
      <c r="B1184" s="156">
        <v>45454</v>
      </c>
      <c r="C1184" s="255" t="s">
        <v>1967</v>
      </c>
      <c r="D1184" s="402">
        <f t="shared" si="95"/>
        <v>26202936.059999999</v>
      </c>
      <c r="E1184" s="376">
        <v>923.24</v>
      </c>
      <c r="F1184" s="401">
        <v>28381.5</v>
      </c>
      <c r="G1184" s="401">
        <f t="shared" si="90"/>
        <v>865.1</v>
      </c>
      <c r="H1184" s="402">
        <f t="shared" si="93"/>
        <v>-1650100.4099999964</v>
      </c>
      <c r="I1184" s="402">
        <f t="shared" si="94"/>
        <v>24552835.650000002</v>
      </c>
    </row>
    <row r="1185" spans="2:9" hidden="1">
      <c r="B1185" s="156">
        <v>45454</v>
      </c>
      <c r="C1185" s="255" t="s">
        <v>1968</v>
      </c>
      <c r="D1185" s="402">
        <f t="shared" si="95"/>
        <v>637035.6</v>
      </c>
      <c r="E1185" s="376">
        <v>923.24</v>
      </c>
      <c r="F1185" s="401">
        <v>690</v>
      </c>
      <c r="G1185" s="401">
        <f t="shared" si="90"/>
        <v>865.1</v>
      </c>
      <c r="H1185" s="402">
        <f t="shared" si="93"/>
        <v>-40116.599999999977</v>
      </c>
      <c r="I1185" s="402">
        <f t="shared" si="94"/>
        <v>596919</v>
      </c>
    </row>
    <row r="1186" spans="2:9" hidden="1">
      <c r="B1186" s="156">
        <v>45455</v>
      </c>
      <c r="C1186" s="255" t="s">
        <v>1969</v>
      </c>
      <c r="D1186" s="402">
        <f t="shared" si="95"/>
        <v>15840907.289999999</v>
      </c>
      <c r="E1186" s="376">
        <v>924.18</v>
      </c>
      <c r="F1186" s="401">
        <v>17140.5</v>
      </c>
      <c r="G1186" s="401">
        <f t="shared" si="90"/>
        <v>865.1</v>
      </c>
      <c r="H1186" s="402">
        <f t="shared" si="93"/>
        <v>-1012660.7399999984</v>
      </c>
      <c r="I1186" s="402">
        <f t="shared" si="94"/>
        <v>14828246.550000001</v>
      </c>
    </row>
    <row r="1187" spans="2:9" hidden="1">
      <c r="B1187" s="156">
        <v>45457</v>
      </c>
      <c r="C1187" s="255" t="s">
        <v>1970</v>
      </c>
      <c r="D1187" s="402">
        <f t="shared" si="95"/>
        <v>5645264.0244000005</v>
      </c>
      <c r="E1187" s="376">
        <v>919.49</v>
      </c>
      <c r="F1187" s="401">
        <v>6139.56</v>
      </c>
      <c r="G1187" s="401">
        <f t="shared" si="90"/>
        <v>865.1</v>
      </c>
      <c r="H1187" s="402">
        <f t="shared" si="93"/>
        <v>-333930.66839999985</v>
      </c>
      <c r="I1187" s="402">
        <f t="shared" si="94"/>
        <v>5311333.3560000006</v>
      </c>
    </row>
    <row r="1188" spans="2:9" hidden="1">
      <c r="B1188" s="156">
        <v>45457</v>
      </c>
      <c r="C1188" s="255" t="s">
        <v>1971</v>
      </c>
      <c r="D1188" s="402">
        <f t="shared" si="95"/>
        <v>27661937.16</v>
      </c>
      <c r="E1188" s="376">
        <v>919.49</v>
      </c>
      <c r="F1188" s="401">
        <v>30084</v>
      </c>
      <c r="G1188" s="401">
        <f t="shared" si="90"/>
        <v>865.1</v>
      </c>
      <c r="H1188" s="402">
        <f t="shared" si="93"/>
        <v>-1636268.7599999979</v>
      </c>
      <c r="I1188" s="402">
        <f t="shared" si="94"/>
        <v>26025668.400000002</v>
      </c>
    </row>
    <row r="1189" spans="2:9" hidden="1">
      <c r="B1189" s="156">
        <v>45456</v>
      </c>
      <c r="C1189" s="255" t="s">
        <v>2319</v>
      </c>
      <c r="D1189" s="402">
        <f>E1189*F1189</f>
        <v>954665.55859999999</v>
      </c>
      <c r="E1189" s="376">
        <v>914.86</v>
      </c>
      <c r="F1189" s="401">
        <v>1043.51</v>
      </c>
      <c r="G1189" s="401">
        <f>+G1282</f>
        <v>865.1</v>
      </c>
      <c r="H1189" s="402">
        <f>+I1189-D1189</f>
        <v>-51925.057599999942</v>
      </c>
      <c r="I1189" s="402">
        <f>+F1189*G1189</f>
        <v>902740.50100000005</v>
      </c>
    </row>
    <row r="1190" spans="2:9" hidden="1">
      <c r="B1190" s="156">
        <v>45456</v>
      </c>
      <c r="C1190" s="255" t="s">
        <v>2320</v>
      </c>
      <c r="D1190" s="402">
        <f>E1190*F1190</f>
        <v>1203772.7879999999</v>
      </c>
      <c r="E1190" s="376">
        <v>914.86</v>
      </c>
      <c r="F1190" s="401">
        <v>1315.8</v>
      </c>
      <c r="G1190" s="401">
        <f>+G1283</f>
        <v>865.1</v>
      </c>
      <c r="H1190" s="402">
        <f>+I1190-D1190</f>
        <v>-65474.207999999868</v>
      </c>
      <c r="I1190" s="402">
        <f>+F1190*G1190</f>
        <v>1138298.58</v>
      </c>
    </row>
    <row r="1191" spans="2:9" hidden="1">
      <c r="B1191" s="156">
        <v>45473</v>
      </c>
      <c r="C1191" s="255" t="s">
        <v>673</v>
      </c>
      <c r="D1191" s="402">
        <f t="shared" si="95"/>
        <v>-274315104.00000024</v>
      </c>
      <c r="E1191" s="376">
        <v>944.34</v>
      </c>
      <c r="F1191" s="401">
        <v>-290483.41063599999</v>
      </c>
      <c r="G1191" s="401">
        <f t="shared" ref="G1191:G1222" si="96">+G1030</f>
        <v>865.1</v>
      </c>
      <c r="H1191" s="402">
        <f t="shared" si="93"/>
        <v>23017905.45879665</v>
      </c>
      <c r="I1191" s="402">
        <f t="shared" si="94"/>
        <v>-251297198.54120359</v>
      </c>
    </row>
    <row r="1192" spans="2:9" hidden="1">
      <c r="B1192" s="156">
        <v>45483</v>
      </c>
      <c r="C1192" s="255" t="s">
        <v>1941</v>
      </c>
      <c r="D1192" s="402">
        <f t="shared" si="95"/>
        <v>1174710.5999999999</v>
      </c>
      <c r="E1192" s="376">
        <v>932.31</v>
      </c>
      <c r="F1192" s="401">
        <v>1260</v>
      </c>
      <c r="G1192" s="401">
        <f t="shared" si="96"/>
        <v>865.1</v>
      </c>
      <c r="H1192" s="402">
        <f t="shared" ref="H1192:H1255" si="97">+I1192-D1192</f>
        <v>-84684.59999999986</v>
      </c>
      <c r="I1192" s="402">
        <f t="shared" ref="I1192:I1255" si="98">+F1192*G1192</f>
        <v>1090026</v>
      </c>
    </row>
    <row r="1193" spans="2:9" hidden="1">
      <c r="B1193" s="156">
        <v>45492</v>
      </c>
      <c r="C1193" s="255" t="s">
        <v>1995</v>
      </c>
      <c r="D1193" s="402">
        <f t="shared" si="95"/>
        <v>212943.97500000001</v>
      </c>
      <c r="E1193" s="376">
        <v>940.15</v>
      </c>
      <c r="F1193" s="401">
        <v>226.5</v>
      </c>
      <c r="G1193" s="401">
        <f t="shared" si="96"/>
        <v>865.1</v>
      </c>
      <c r="H1193" s="402">
        <f t="shared" si="97"/>
        <v>-16998.825000000012</v>
      </c>
      <c r="I1193" s="402">
        <f t="shared" si="98"/>
        <v>195945.15</v>
      </c>
    </row>
    <row r="1194" spans="2:9" hidden="1">
      <c r="B1194" s="156">
        <v>45492</v>
      </c>
      <c r="C1194" s="255" t="s">
        <v>1996</v>
      </c>
      <c r="D1194" s="402">
        <f t="shared" si="95"/>
        <v>212943.97500000001</v>
      </c>
      <c r="E1194" s="376">
        <v>940.15</v>
      </c>
      <c r="F1194" s="401">
        <v>226.5</v>
      </c>
      <c r="G1194" s="401">
        <f t="shared" si="96"/>
        <v>865.1</v>
      </c>
      <c r="H1194" s="402">
        <f t="shared" si="97"/>
        <v>-16998.825000000012</v>
      </c>
      <c r="I1194" s="402">
        <f t="shared" si="98"/>
        <v>195945.15</v>
      </c>
    </row>
    <row r="1195" spans="2:9" hidden="1">
      <c r="B1195" s="156">
        <v>45492</v>
      </c>
      <c r="C1195" s="255" t="s">
        <v>1997</v>
      </c>
      <c r="D1195" s="402">
        <f t="shared" si="95"/>
        <v>283925.3</v>
      </c>
      <c r="E1195" s="376">
        <v>940.15</v>
      </c>
      <c r="F1195" s="401">
        <v>302</v>
      </c>
      <c r="G1195" s="401">
        <f t="shared" si="96"/>
        <v>865.1</v>
      </c>
      <c r="H1195" s="402">
        <f t="shared" si="97"/>
        <v>-22665.099999999977</v>
      </c>
      <c r="I1195" s="402">
        <f t="shared" si="98"/>
        <v>261260.2</v>
      </c>
    </row>
    <row r="1196" spans="2:9" hidden="1">
      <c r="B1196" s="156">
        <v>45492</v>
      </c>
      <c r="C1196" s="255" t="s">
        <v>1998</v>
      </c>
      <c r="D1196" s="402">
        <f t="shared" si="95"/>
        <v>283925.3</v>
      </c>
      <c r="E1196" s="376">
        <v>940.15</v>
      </c>
      <c r="F1196" s="401">
        <v>302</v>
      </c>
      <c r="G1196" s="401">
        <f t="shared" si="96"/>
        <v>865.1</v>
      </c>
      <c r="H1196" s="402">
        <f t="shared" si="97"/>
        <v>-22665.099999999977</v>
      </c>
      <c r="I1196" s="402">
        <f t="shared" si="98"/>
        <v>261260.2</v>
      </c>
    </row>
    <row r="1197" spans="2:9" hidden="1">
      <c r="B1197" s="156">
        <v>45492</v>
      </c>
      <c r="C1197" s="255" t="s">
        <v>1999</v>
      </c>
      <c r="D1197" s="402">
        <f t="shared" si="95"/>
        <v>283925.3</v>
      </c>
      <c r="E1197" s="376">
        <v>940.15</v>
      </c>
      <c r="F1197" s="401">
        <v>302</v>
      </c>
      <c r="G1197" s="401">
        <f t="shared" si="96"/>
        <v>865.1</v>
      </c>
      <c r="H1197" s="402">
        <f t="shared" si="97"/>
        <v>-22665.099999999977</v>
      </c>
      <c r="I1197" s="402">
        <f t="shared" si="98"/>
        <v>261260.2</v>
      </c>
    </row>
    <row r="1198" spans="2:9" hidden="1">
      <c r="B1198" s="156">
        <v>45492</v>
      </c>
      <c r="C1198" s="255" t="s">
        <v>2000</v>
      </c>
      <c r="D1198" s="402">
        <f t="shared" si="95"/>
        <v>283925.3</v>
      </c>
      <c r="E1198" s="376">
        <v>940.15</v>
      </c>
      <c r="F1198" s="401">
        <v>302</v>
      </c>
      <c r="G1198" s="401">
        <f t="shared" si="96"/>
        <v>865.1</v>
      </c>
      <c r="H1198" s="402">
        <f t="shared" si="97"/>
        <v>-22665.099999999977</v>
      </c>
      <c r="I1198" s="402">
        <f t="shared" si="98"/>
        <v>261260.2</v>
      </c>
    </row>
    <row r="1199" spans="2:9" hidden="1">
      <c r="B1199" s="156">
        <v>45492</v>
      </c>
      <c r="C1199" s="255" t="s">
        <v>2001</v>
      </c>
      <c r="D1199" s="402">
        <f t="shared" si="95"/>
        <v>212943.97500000001</v>
      </c>
      <c r="E1199" s="376">
        <v>940.15</v>
      </c>
      <c r="F1199" s="401">
        <v>226.5</v>
      </c>
      <c r="G1199" s="401">
        <f t="shared" si="96"/>
        <v>865.1</v>
      </c>
      <c r="H1199" s="402">
        <f t="shared" si="97"/>
        <v>-16998.825000000012</v>
      </c>
      <c r="I1199" s="402">
        <f t="shared" si="98"/>
        <v>195945.15</v>
      </c>
    </row>
    <row r="1200" spans="2:9" hidden="1">
      <c r="B1200" s="156">
        <v>45492</v>
      </c>
      <c r="C1200" s="255" t="s">
        <v>2002</v>
      </c>
      <c r="D1200" s="402">
        <f t="shared" si="95"/>
        <v>283925.3</v>
      </c>
      <c r="E1200" s="376">
        <v>940.15</v>
      </c>
      <c r="F1200" s="401">
        <v>302</v>
      </c>
      <c r="G1200" s="401">
        <f t="shared" si="96"/>
        <v>865.1</v>
      </c>
      <c r="H1200" s="402">
        <f t="shared" si="97"/>
        <v>-22665.099999999977</v>
      </c>
      <c r="I1200" s="402">
        <f t="shared" si="98"/>
        <v>261260.2</v>
      </c>
    </row>
    <row r="1201" spans="2:9" hidden="1">
      <c r="B1201" s="156">
        <v>45492</v>
      </c>
      <c r="C1201" s="255" t="s">
        <v>2003</v>
      </c>
      <c r="D1201" s="402">
        <f t="shared" si="95"/>
        <v>283925.3</v>
      </c>
      <c r="E1201" s="376">
        <v>940.15</v>
      </c>
      <c r="F1201" s="401">
        <v>302</v>
      </c>
      <c r="G1201" s="401">
        <f t="shared" si="96"/>
        <v>865.1</v>
      </c>
      <c r="H1201" s="402">
        <f t="shared" si="97"/>
        <v>-22665.099999999977</v>
      </c>
      <c r="I1201" s="402">
        <f t="shared" si="98"/>
        <v>261260.2</v>
      </c>
    </row>
    <row r="1202" spans="2:9" hidden="1">
      <c r="B1202" s="156">
        <v>45492</v>
      </c>
      <c r="C1202" s="255" t="s">
        <v>2004</v>
      </c>
      <c r="D1202" s="402">
        <f t="shared" si="95"/>
        <v>1926367.3499999999</v>
      </c>
      <c r="E1202" s="376">
        <v>940.15</v>
      </c>
      <c r="F1202" s="401">
        <v>2049</v>
      </c>
      <c r="G1202" s="401">
        <f t="shared" si="96"/>
        <v>865.1</v>
      </c>
      <c r="H1202" s="402">
        <f t="shared" si="97"/>
        <v>-153777.44999999972</v>
      </c>
      <c r="I1202" s="402">
        <f t="shared" si="98"/>
        <v>1772589.9000000001</v>
      </c>
    </row>
    <row r="1203" spans="2:9" hidden="1">
      <c r="B1203" s="156">
        <v>45492</v>
      </c>
      <c r="C1203" s="255" t="s">
        <v>2005</v>
      </c>
      <c r="D1203" s="402">
        <f t="shared" si="95"/>
        <v>521783.25</v>
      </c>
      <c r="E1203" s="376">
        <v>940.15</v>
      </c>
      <c r="F1203" s="401">
        <v>555</v>
      </c>
      <c r="G1203" s="401">
        <f t="shared" si="96"/>
        <v>865.1</v>
      </c>
      <c r="H1203" s="402">
        <f t="shared" si="97"/>
        <v>-41652.75</v>
      </c>
      <c r="I1203" s="402">
        <f t="shared" si="98"/>
        <v>480130.5</v>
      </c>
    </row>
    <row r="1204" spans="2:9" hidden="1">
      <c r="B1204" s="156">
        <v>45492</v>
      </c>
      <c r="C1204" s="255" t="s">
        <v>2006</v>
      </c>
      <c r="D1204" s="402">
        <f t="shared" si="95"/>
        <v>614858.1</v>
      </c>
      <c r="E1204" s="376">
        <v>940.15</v>
      </c>
      <c r="F1204" s="401">
        <v>654</v>
      </c>
      <c r="G1204" s="401">
        <f t="shared" si="96"/>
        <v>865.1</v>
      </c>
      <c r="H1204" s="402">
        <f t="shared" si="97"/>
        <v>-49082.699999999953</v>
      </c>
      <c r="I1204" s="402">
        <f t="shared" si="98"/>
        <v>565775.4</v>
      </c>
    </row>
    <row r="1205" spans="2:9" hidden="1">
      <c r="B1205" s="156">
        <v>45492</v>
      </c>
      <c r="C1205" s="255" t="s">
        <v>2007</v>
      </c>
      <c r="D1205" s="402">
        <f t="shared" si="95"/>
        <v>521783.25</v>
      </c>
      <c r="E1205" s="376">
        <v>940.15</v>
      </c>
      <c r="F1205" s="401">
        <v>555</v>
      </c>
      <c r="G1205" s="401">
        <f t="shared" si="96"/>
        <v>865.1</v>
      </c>
      <c r="H1205" s="402">
        <f t="shared" si="97"/>
        <v>-41652.75</v>
      </c>
      <c r="I1205" s="402">
        <f t="shared" si="98"/>
        <v>480130.5</v>
      </c>
    </row>
    <row r="1206" spans="2:9" hidden="1">
      <c r="B1206" s="156">
        <v>45492</v>
      </c>
      <c r="C1206" s="255" t="s">
        <v>2008</v>
      </c>
      <c r="D1206" s="402">
        <f t="shared" si="95"/>
        <v>469604.92499999999</v>
      </c>
      <c r="E1206" s="376">
        <v>940.15</v>
      </c>
      <c r="F1206" s="401">
        <v>499.5</v>
      </c>
      <c r="G1206" s="401">
        <f t="shared" si="96"/>
        <v>865.1</v>
      </c>
      <c r="H1206" s="402">
        <f t="shared" si="97"/>
        <v>-37487.474999999977</v>
      </c>
      <c r="I1206" s="402">
        <f t="shared" si="98"/>
        <v>432117.45</v>
      </c>
    </row>
    <row r="1207" spans="2:9" hidden="1">
      <c r="B1207" s="156">
        <v>45492</v>
      </c>
      <c r="C1207" s="255" t="s">
        <v>2009</v>
      </c>
      <c r="D1207" s="402">
        <f t="shared" si="95"/>
        <v>1147923.1499999999</v>
      </c>
      <c r="E1207" s="376">
        <v>940.15</v>
      </c>
      <c r="F1207" s="401">
        <v>1221</v>
      </c>
      <c r="G1207" s="401">
        <f t="shared" si="96"/>
        <v>865.1</v>
      </c>
      <c r="H1207" s="402">
        <f t="shared" si="97"/>
        <v>-91636.049999999814</v>
      </c>
      <c r="I1207" s="402">
        <f t="shared" si="98"/>
        <v>1056287.1000000001</v>
      </c>
    </row>
    <row r="1208" spans="2:9" hidden="1">
      <c r="B1208" s="156">
        <v>45492</v>
      </c>
      <c r="C1208" s="255" t="s">
        <v>2010</v>
      </c>
      <c r="D1208" s="402">
        <f t="shared" si="95"/>
        <v>2106876.15</v>
      </c>
      <c r="E1208" s="376">
        <v>940.15</v>
      </c>
      <c r="F1208" s="401">
        <v>2241</v>
      </c>
      <c r="G1208" s="401">
        <f t="shared" si="96"/>
        <v>865.1</v>
      </c>
      <c r="H1208" s="402">
        <f t="shared" si="97"/>
        <v>-168187.04999999981</v>
      </c>
      <c r="I1208" s="402">
        <f t="shared" si="98"/>
        <v>1938689.1</v>
      </c>
    </row>
    <row r="1209" spans="2:9" hidden="1">
      <c r="B1209" s="156">
        <v>45492</v>
      </c>
      <c r="C1209" s="255" t="s">
        <v>2011</v>
      </c>
      <c r="D1209" s="402">
        <f t="shared" si="95"/>
        <v>417426.6</v>
      </c>
      <c r="E1209" s="376">
        <v>940.15</v>
      </c>
      <c r="F1209" s="401">
        <v>444</v>
      </c>
      <c r="G1209" s="401">
        <f t="shared" si="96"/>
        <v>865.1</v>
      </c>
      <c r="H1209" s="402">
        <f t="shared" si="97"/>
        <v>-33322.199999999953</v>
      </c>
      <c r="I1209" s="402">
        <f t="shared" si="98"/>
        <v>384104.4</v>
      </c>
    </row>
    <row r="1210" spans="2:9" hidden="1">
      <c r="B1210" s="156">
        <v>45492</v>
      </c>
      <c r="C1210" s="255" t="s">
        <v>2012</v>
      </c>
      <c r="D1210" s="402">
        <f t="shared" si="95"/>
        <v>521783.25</v>
      </c>
      <c r="E1210" s="376">
        <v>940.15</v>
      </c>
      <c r="F1210" s="401">
        <v>555</v>
      </c>
      <c r="G1210" s="401">
        <f t="shared" si="96"/>
        <v>865.1</v>
      </c>
      <c r="H1210" s="402">
        <f t="shared" si="97"/>
        <v>-41652.75</v>
      </c>
      <c r="I1210" s="402">
        <f t="shared" si="98"/>
        <v>480130.5</v>
      </c>
    </row>
    <row r="1211" spans="2:9" hidden="1">
      <c r="B1211" s="156">
        <v>45492</v>
      </c>
      <c r="C1211" s="255" t="s">
        <v>2013</v>
      </c>
      <c r="D1211" s="402">
        <f t="shared" si="95"/>
        <v>812289.6</v>
      </c>
      <c r="E1211" s="376">
        <v>940.15</v>
      </c>
      <c r="F1211" s="401">
        <v>864</v>
      </c>
      <c r="G1211" s="401">
        <f t="shared" si="96"/>
        <v>865.1</v>
      </c>
      <c r="H1211" s="402">
        <f t="shared" si="97"/>
        <v>-64843.199999999953</v>
      </c>
      <c r="I1211" s="402">
        <f t="shared" si="98"/>
        <v>747446.4</v>
      </c>
    </row>
    <row r="1212" spans="2:9" hidden="1">
      <c r="B1212" s="156">
        <v>45492</v>
      </c>
      <c r="C1212" s="255" t="s">
        <v>2014</v>
      </c>
      <c r="D1212" s="402">
        <f t="shared" si="95"/>
        <v>521783.25</v>
      </c>
      <c r="E1212" s="376">
        <v>940.15</v>
      </c>
      <c r="F1212" s="401">
        <v>555</v>
      </c>
      <c r="G1212" s="401">
        <f t="shared" si="96"/>
        <v>865.1</v>
      </c>
      <c r="H1212" s="402">
        <f t="shared" si="97"/>
        <v>-41652.75</v>
      </c>
      <c r="I1212" s="402">
        <f t="shared" si="98"/>
        <v>480130.5</v>
      </c>
    </row>
    <row r="1213" spans="2:9" hidden="1">
      <c r="B1213" s="156">
        <v>45492</v>
      </c>
      <c r="C1213" s="255" t="s">
        <v>2015</v>
      </c>
      <c r="D1213" s="402">
        <f t="shared" si="95"/>
        <v>1587913.3499999999</v>
      </c>
      <c r="E1213" s="376">
        <v>940.15</v>
      </c>
      <c r="F1213" s="401">
        <v>1689</v>
      </c>
      <c r="G1213" s="401">
        <f t="shared" si="96"/>
        <v>865.1</v>
      </c>
      <c r="H1213" s="402">
        <f t="shared" si="97"/>
        <v>-126759.44999999972</v>
      </c>
      <c r="I1213" s="402">
        <f t="shared" si="98"/>
        <v>1461153.9000000001</v>
      </c>
    </row>
    <row r="1214" spans="2:9" hidden="1">
      <c r="B1214" s="156">
        <v>45492</v>
      </c>
      <c r="C1214" s="255" t="s">
        <v>2016</v>
      </c>
      <c r="D1214" s="402">
        <f t="shared" si="95"/>
        <v>745068.875</v>
      </c>
      <c r="E1214" s="376">
        <v>940.15</v>
      </c>
      <c r="F1214" s="401">
        <v>792.5</v>
      </c>
      <c r="G1214" s="401">
        <f t="shared" si="96"/>
        <v>865.1</v>
      </c>
      <c r="H1214" s="402">
        <f t="shared" si="97"/>
        <v>-59477.125</v>
      </c>
      <c r="I1214" s="402">
        <f t="shared" si="98"/>
        <v>685591.75</v>
      </c>
    </row>
    <row r="1215" spans="2:9" hidden="1">
      <c r="B1215" s="156">
        <v>45492</v>
      </c>
      <c r="C1215" s="255" t="s">
        <v>2017</v>
      </c>
      <c r="D1215" s="402">
        <f t="shared" si="95"/>
        <v>1102090.8374999999</v>
      </c>
      <c r="E1215" s="376">
        <v>940.15</v>
      </c>
      <c r="F1215" s="401">
        <v>1172.25</v>
      </c>
      <c r="G1215" s="401">
        <f t="shared" si="96"/>
        <v>865.1</v>
      </c>
      <c r="H1215" s="402">
        <f t="shared" si="97"/>
        <v>-87977.36249999993</v>
      </c>
      <c r="I1215" s="402">
        <f t="shared" si="98"/>
        <v>1014113.475</v>
      </c>
    </row>
    <row r="1216" spans="2:9" hidden="1">
      <c r="B1216" s="156">
        <v>45492</v>
      </c>
      <c r="C1216" s="255" t="s">
        <v>2018</v>
      </c>
      <c r="D1216" s="402">
        <f t="shared" si="95"/>
        <v>6169734.375</v>
      </c>
      <c r="E1216" s="376">
        <v>940.15</v>
      </c>
      <c r="F1216" s="401">
        <v>6562.5</v>
      </c>
      <c r="G1216" s="401">
        <f t="shared" si="96"/>
        <v>865.1</v>
      </c>
      <c r="H1216" s="402">
        <f t="shared" si="97"/>
        <v>-492515.625</v>
      </c>
      <c r="I1216" s="402">
        <f t="shared" si="98"/>
        <v>5677218.75</v>
      </c>
    </row>
    <row r="1217" spans="2:9" hidden="1">
      <c r="B1217" s="156">
        <v>45492</v>
      </c>
      <c r="C1217" s="255" t="s">
        <v>2019</v>
      </c>
      <c r="D1217" s="402">
        <f t="shared" si="95"/>
        <v>417426.6</v>
      </c>
      <c r="E1217" s="376">
        <v>940.15</v>
      </c>
      <c r="F1217" s="401">
        <v>444</v>
      </c>
      <c r="G1217" s="401">
        <f t="shared" si="96"/>
        <v>865.1</v>
      </c>
      <c r="H1217" s="402">
        <f t="shared" si="97"/>
        <v>-33322.199999999953</v>
      </c>
      <c r="I1217" s="402">
        <f t="shared" si="98"/>
        <v>384104.4</v>
      </c>
    </row>
    <row r="1218" spans="2:9" hidden="1">
      <c r="B1218" s="156">
        <v>45492</v>
      </c>
      <c r="C1218" s="255" t="s">
        <v>2020</v>
      </c>
      <c r="D1218" s="402">
        <f t="shared" si="95"/>
        <v>1221254.8499999999</v>
      </c>
      <c r="E1218" s="376">
        <v>940.15</v>
      </c>
      <c r="F1218" s="401">
        <v>1299</v>
      </c>
      <c r="G1218" s="401">
        <f t="shared" si="96"/>
        <v>865.1</v>
      </c>
      <c r="H1218" s="402">
        <f t="shared" si="97"/>
        <v>-97489.949999999721</v>
      </c>
      <c r="I1218" s="402">
        <f t="shared" si="98"/>
        <v>1123764.9000000001</v>
      </c>
    </row>
    <row r="1219" spans="2:9" hidden="1">
      <c r="B1219" s="156">
        <v>45492</v>
      </c>
      <c r="C1219" s="255" t="s">
        <v>2021</v>
      </c>
      <c r="D1219" s="402">
        <f t="shared" si="95"/>
        <v>1136641.3499999999</v>
      </c>
      <c r="E1219" s="376">
        <v>940.15</v>
      </c>
      <c r="F1219" s="401">
        <v>1209</v>
      </c>
      <c r="G1219" s="401">
        <f t="shared" si="96"/>
        <v>865.1</v>
      </c>
      <c r="H1219" s="402">
        <f t="shared" si="97"/>
        <v>-90735.449999999837</v>
      </c>
      <c r="I1219" s="402">
        <f t="shared" si="98"/>
        <v>1045905.9</v>
      </c>
    </row>
    <row r="1220" spans="2:9" hidden="1">
      <c r="B1220" s="156">
        <v>45492</v>
      </c>
      <c r="C1220" s="255" t="s">
        <v>2022</v>
      </c>
      <c r="D1220" s="402">
        <f t="shared" si="95"/>
        <v>779854.42499999993</v>
      </c>
      <c r="E1220" s="376">
        <v>940.15</v>
      </c>
      <c r="F1220" s="401">
        <v>829.5</v>
      </c>
      <c r="G1220" s="401">
        <f t="shared" si="96"/>
        <v>865.1</v>
      </c>
      <c r="H1220" s="402">
        <f t="shared" si="97"/>
        <v>-62253.97499999986</v>
      </c>
      <c r="I1220" s="402">
        <f t="shared" si="98"/>
        <v>717600.45000000007</v>
      </c>
    </row>
    <row r="1221" spans="2:9" hidden="1">
      <c r="B1221" s="156">
        <v>45492</v>
      </c>
      <c r="C1221" s="255" t="s">
        <v>2023</v>
      </c>
      <c r="D1221" s="402">
        <f t="shared" si="95"/>
        <v>1235357.0999999999</v>
      </c>
      <c r="E1221" s="376">
        <v>940.15</v>
      </c>
      <c r="F1221" s="401">
        <v>1314</v>
      </c>
      <c r="G1221" s="401">
        <f t="shared" si="96"/>
        <v>865.1</v>
      </c>
      <c r="H1221" s="402">
        <f t="shared" si="97"/>
        <v>-98615.699999999721</v>
      </c>
      <c r="I1221" s="402">
        <f t="shared" si="98"/>
        <v>1136741.4000000001</v>
      </c>
    </row>
    <row r="1222" spans="2:9" hidden="1">
      <c r="B1222" s="156">
        <v>45492</v>
      </c>
      <c r="C1222" s="255" t="s">
        <v>2024</v>
      </c>
      <c r="D1222" s="402">
        <f t="shared" si="95"/>
        <v>2419946.1</v>
      </c>
      <c r="E1222" s="376">
        <v>940.15</v>
      </c>
      <c r="F1222" s="401">
        <v>2574</v>
      </c>
      <c r="G1222" s="401">
        <f t="shared" si="96"/>
        <v>865.1</v>
      </c>
      <c r="H1222" s="402">
        <f t="shared" si="97"/>
        <v>-193178.70000000019</v>
      </c>
      <c r="I1222" s="402">
        <f t="shared" si="98"/>
        <v>2226767.4</v>
      </c>
    </row>
    <row r="1223" spans="2:9" hidden="1">
      <c r="B1223" s="156">
        <v>45492</v>
      </c>
      <c r="C1223" s="255" t="s">
        <v>2025</v>
      </c>
      <c r="D1223" s="402">
        <f t="shared" si="95"/>
        <v>2360716.65</v>
      </c>
      <c r="E1223" s="376">
        <v>940.15</v>
      </c>
      <c r="F1223" s="401">
        <v>2511</v>
      </c>
      <c r="G1223" s="401">
        <f t="shared" ref="G1223:G1250" si="99">+G1062</f>
        <v>865.1</v>
      </c>
      <c r="H1223" s="402">
        <f t="shared" si="97"/>
        <v>-188450.54999999981</v>
      </c>
      <c r="I1223" s="402">
        <f t="shared" si="98"/>
        <v>2172266.1</v>
      </c>
    </row>
    <row r="1224" spans="2:9" hidden="1">
      <c r="B1224" s="156">
        <v>45492</v>
      </c>
      <c r="C1224" s="255" t="s">
        <v>2026</v>
      </c>
      <c r="D1224" s="402">
        <f t="shared" si="95"/>
        <v>4029482.9</v>
      </c>
      <c r="E1224" s="376">
        <v>940.15</v>
      </c>
      <c r="F1224" s="401">
        <v>4286</v>
      </c>
      <c r="G1224" s="401">
        <f t="shared" si="99"/>
        <v>865.1</v>
      </c>
      <c r="H1224" s="402">
        <f t="shared" si="97"/>
        <v>-321664.29999999981</v>
      </c>
      <c r="I1224" s="402">
        <f t="shared" si="98"/>
        <v>3707818.6</v>
      </c>
    </row>
    <row r="1225" spans="2:9" hidden="1">
      <c r="B1225" s="156">
        <v>45492</v>
      </c>
      <c r="C1225" s="255" t="s">
        <v>2027</v>
      </c>
      <c r="D1225" s="402">
        <f t="shared" si="95"/>
        <v>1032284.7</v>
      </c>
      <c r="E1225" s="376">
        <v>940.15</v>
      </c>
      <c r="F1225" s="401">
        <v>1098</v>
      </c>
      <c r="G1225" s="401">
        <f t="shared" si="99"/>
        <v>865.1</v>
      </c>
      <c r="H1225" s="402">
        <f t="shared" si="97"/>
        <v>-82404.899999999907</v>
      </c>
      <c r="I1225" s="402">
        <f t="shared" si="98"/>
        <v>949879.8</v>
      </c>
    </row>
    <row r="1226" spans="2:9" hidden="1">
      <c r="B1226" s="156">
        <v>45492</v>
      </c>
      <c r="C1226" s="255" t="s">
        <v>2028</v>
      </c>
      <c r="D1226" s="402">
        <f t="shared" si="95"/>
        <v>1235357.0999999999</v>
      </c>
      <c r="E1226" s="376">
        <v>940.15</v>
      </c>
      <c r="F1226" s="401">
        <v>1314</v>
      </c>
      <c r="G1226" s="401">
        <f t="shared" si="99"/>
        <v>865.1</v>
      </c>
      <c r="H1226" s="402">
        <f t="shared" si="97"/>
        <v>-98615.699999999721</v>
      </c>
      <c r="I1226" s="402">
        <f t="shared" si="98"/>
        <v>1136741.4000000001</v>
      </c>
    </row>
    <row r="1227" spans="2:9" hidden="1">
      <c r="B1227" s="156">
        <v>45492</v>
      </c>
      <c r="C1227" s="255" t="s">
        <v>2029</v>
      </c>
      <c r="D1227" s="402">
        <f t="shared" si="95"/>
        <v>1221254.8499999999</v>
      </c>
      <c r="E1227" s="376">
        <v>940.15</v>
      </c>
      <c r="F1227" s="401">
        <v>1299</v>
      </c>
      <c r="G1227" s="401">
        <f t="shared" si="99"/>
        <v>865.1</v>
      </c>
      <c r="H1227" s="402">
        <f t="shared" si="97"/>
        <v>-97489.949999999721</v>
      </c>
      <c r="I1227" s="402">
        <f t="shared" si="98"/>
        <v>1123764.9000000001</v>
      </c>
    </row>
    <row r="1228" spans="2:9" hidden="1">
      <c r="B1228" s="156">
        <v>45492</v>
      </c>
      <c r="C1228" s="255" t="s">
        <v>2030</v>
      </c>
      <c r="D1228" s="402">
        <f t="shared" si="95"/>
        <v>861647.47499999998</v>
      </c>
      <c r="E1228" s="376">
        <v>940.15</v>
      </c>
      <c r="F1228" s="401">
        <v>916.5</v>
      </c>
      <c r="G1228" s="401">
        <f t="shared" si="99"/>
        <v>865.1</v>
      </c>
      <c r="H1228" s="402">
        <f t="shared" si="97"/>
        <v>-68783.324999999953</v>
      </c>
      <c r="I1228" s="402">
        <f t="shared" si="98"/>
        <v>792864.15</v>
      </c>
    </row>
    <row r="1229" spans="2:9" hidden="1">
      <c r="B1229" s="156">
        <v>45492</v>
      </c>
      <c r="C1229" s="255" t="s">
        <v>2031</v>
      </c>
      <c r="D1229" s="402">
        <f t="shared" si="95"/>
        <v>812289.6</v>
      </c>
      <c r="E1229" s="376">
        <v>940.15</v>
      </c>
      <c r="F1229" s="401">
        <v>864</v>
      </c>
      <c r="G1229" s="401">
        <f t="shared" si="99"/>
        <v>865.1</v>
      </c>
      <c r="H1229" s="402">
        <f t="shared" si="97"/>
        <v>-64843.199999999953</v>
      </c>
      <c r="I1229" s="402">
        <f t="shared" si="98"/>
        <v>747446.4</v>
      </c>
    </row>
    <row r="1230" spans="2:9" hidden="1">
      <c r="B1230" s="156">
        <v>45493</v>
      </c>
      <c r="C1230" s="255" t="s">
        <v>2032</v>
      </c>
      <c r="D1230" s="402">
        <f t="shared" si="95"/>
        <v>2723144.4750000001</v>
      </c>
      <c r="E1230" s="376">
        <v>940.15</v>
      </c>
      <c r="F1230" s="401">
        <v>2896.5</v>
      </c>
      <c r="G1230" s="401">
        <f t="shared" si="99"/>
        <v>865.1</v>
      </c>
      <c r="H1230" s="402">
        <f t="shared" si="97"/>
        <v>-217382.32500000019</v>
      </c>
      <c r="I1230" s="402">
        <f t="shared" si="98"/>
        <v>2505762.15</v>
      </c>
    </row>
    <row r="1231" spans="2:9" hidden="1">
      <c r="B1231" s="156">
        <v>45493</v>
      </c>
      <c r="C1231" s="255" t="s">
        <v>2033</v>
      </c>
      <c r="D1231" s="402">
        <f t="shared" si="95"/>
        <v>3240226.9750000001</v>
      </c>
      <c r="E1231" s="376">
        <v>940.15</v>
      </c>
      <c r="F1231" s="401">
        <v>3446.5</v>
      </c>
      <c r="G1231" s="401">
        <f t="shared" si="99"/>
        <v>865.1</v>
      </c>
      <c r="H1231" s="402">
        <f t="shared" si="97"/>
        <v>-258659.82500000019</v>
      </c>
      <c r="I1231" s="402">
        <f t="shared" si="98"/>
        <v>2981567.15</v>
      </c>
    </row>
    <row r="1232" spans="2:9" hidden="1">
      <c r="B1232" s="156">
        <v>45493</v>
      </c>
      <c r="C1232" s="255" t="s">
        <v>2034</v>
      </c>
      <c r="D1232" s="402">
        <f t="shared" si="95"/>
        <v>1875599.25</v>
      </c>
      <c r="E1232" s="376">
        <v>940.15</v>
      </c>
      <c r="F1232" s="401">
        <v>1995</v>
      </c>
      <c r="G1232" s="401">
        <f t="shared" si="99"/>
        <v>865.1</v>
      </c>
      <c r="H1232" s="402">
        <f t="shared" si="97"/>
        <v>-149724.75</v>
      </c>
      <c r="I1232" s="402">
        <f t="shared" si="98"/>
        <v>1725874.5</v>
      </c>
    </row>
    <row r="1233" spans="2:9" hidden="1">
      <c r="B1233" s="156">
        <v>45493</v>
      </c>
      <c r="C1233" s="255" t="s">
        <v>2035</v>
      </c>
      <c r="D1233" s="402">
        <f t="shared" si="95"/>
        <v>1335013</v>
      </c>
      <c r="E1233" s="376">
        <v>940.15</v>
      </c>
      <c r="F1233" s="401">
        <v>1420</v>
      </c>
      <c r="G1233" s="401">
        <f t="shared" si="99"/>
        <v>865.1</v>
      </c>
      <c r="H1233" s="402">
        <f t="shared" si="97"/>
        <v>-106571</v>
      </c>
      <c r="I1233" s="402">
        <f t="shared" si="98"/>
        <v>1228442</v>
      </c>
    </row>
    <row r="1234" spans="2:9" hidden="1">
      <c r="B1234" s="156">
        <v>45496</v>
      </c>
      <c r="C1234" s="255" t="s">
        <v>2036</v>
      </c>
      <c r="D1234" s="402">
        <f t="shared" si="95"/>
        <v>1291077.3599999999</v>
      </c>
      <c r="E1234" s="376">
        <v>943.77</v>
      </c>
      <c r="F1234" s="401">
        <v>1368</v>
      </c>
      <c r="G1234" s="401">
        <f t="shared" si="99"/>
        <v>865.1</v>
      </c>
      <c r="H1234" s="402">
        <f t="shared" si="97"/>
        <v>-107620.55999999982</v>
      </c>
      <c r="I1234" s="402">
        <f t="shared" si="98"/>
        <v>1183456.8</v>
      </c>
    </row>
    <row r="1235" spans="2:9" hidden="1">
      <c r="B1235" s="156">
        <v>45496</v>
      </c>
      <c r="C1235" s="255" t="s">
        <v>2037</v>
      </c>
      <c r="D1235" s="402">
        <f t="shared" si="95"/>
        <v>2895014.4750000001</v>
      </c>
      <c r="E1235" s="376">
        <v>943.77</v>
      </c>
      <c r="F1235" s="401">
        <v>3067.5</v>
      </c>
      <c r="G1235" s="401">
        <f t="shared" si="99"/>
        <v>865.1</v>
      </c>
      <c r="H1235" s="402">
        <f t="shared" si="97"/>
        <v>-241320.22500000009</v>
      </c>
      <c r="I1235" s="402">
        <f t="shared" si="98"/>
        <v>2653694.25</v>
      </c>
    </row>
    <row r="1236" spans="2:9" hidden="1">
      <c r="B1236" s="156">
        <v>45496</v>
      </c>
      <c r="C1236" s="255" t="s">
        <v>2038</v>
      </c>
      <c r="D1236" s="402">
        <f t="shared" si="95"/>
        <v>2496271.65</v>
      </c>
      <c r="E1236" s="376">
        <v>943.77</v>
      </c>
      <c r="F1236" s="401">
        <v>2645</v>
      </c>
      <c r="G1236" s="401">
        <f t="shared" si="99"/>
        <v>865.1</v>
      </c>
      <c r="H1236" s="402">
        <f t="shared" si="97"/>
        <v>-208082.14999999991</v>
      </c>
      <c r="I1236" s="402">
        <f t="shared" si="98"/>
        <v>2288189.5</v>
      </c>
    </row>
    <row r="1237" spans="2:9" hidden="1">
      <c r="B1237" s="156">
        <v>45496</v>
      </c>
      <c r="C1237" s="255" t="s">
        <v>2039</v>
      </c>
      <c r="D1237" s="402">
        <f t="shared" si="95"/>
        <v>2948337.48</v>
      </c>
      <c r="E1237" s="376">
        <v>943.77</v>
      </c>
      <c r="F1237" s="401">
        <v>3124</v>
      </c>
      <c r="G1237" s="401">
        <f t="shared" si="99"/>
        <v>865.1</v>
      </c>
      <c r="H1237" s="402">
        <f t="shared" si="97"/>
        <v>-245765.08000000007</v>
      </c>
      <c r="I1237" s="402">
        <f t="shared" si="98"/>
        <v>2702572.4</v>
      </c>
    </row>
    <row r="1238" spans="2:9" hidden="1">
      <c r="B1238" s="156">
        <v>45496</v>
      </c>
      <c r="C1238" s="255" t="s">
        <v>2040</v>
      </c>
      <c r="D1238" s="402">
        <f t="shared" si="95"/>
        <v>3944014.83</v>
      </c>
      <c r="E1238" s="376">
        <v>943.77</v>
      </c>
      <c r="F1238" s="401">
        <v>4179</v>
      </c>
      <c r="G1238" s="401">
        <f t="shared" si="99"/>
        <v>865.1</v>
      </c>
      <c r="H1238" s="402">
        <f t="shared" si="97"/>
        <v>-328761.93000000017</v>
      </c>
      <c r="I1238" s="402">
        <f t="shared" si="98"/>
        <v>3615252.9</v>
      </c>
    </row>
    <row r="1239" spans="2:9" hidden="1">
      <c r="B1239" s="156">
        <v>45496</v>
      </c>
      <c r="C1239" s="255" t="s">
        <v>2041</v>
      </c>
      <c r="D1239" s="402">
        <f t="shared" si="95"/>
        <v>5102020.62</v>
      </c>
      <c r="E1239" s="376">
        <v>943.77</v>
      </c>
      <c r="F1239" s="401">
        <v>5406</v>
      </c>
      <c r="G1239" s="401">
        <f t="shared" si="99"/>
        <v>865.1</v>
      </c>
      <c r="H1239" s="402">
        <f t="shared" si="97"/>
        <v>-425290.01999999955</v>
      </c>
      <c r="I1239" s="402">
        <f t="shared" si="98"/>
        <v>4676730.6000000006</v>
      </c>
    </row>
    <row r="1240" spans="2:9" hidden="1">
      <c r="B1240" s="156">
        <v>45496</v>
      </c>
      <c r="C1240" s="255" t="s">
        <v>2042</v>
      </c>
      <c r="D1240" s="402">
        <f t="shared" si="95"/>
        <v>1344872.25</v>
      </c>
      <c r="E1240" s="376">
        <v>943.77</v>
      </c>
      <c r="F1240" s="401">
        <v>1425</v>
      </c>
      <c r="G1240" s="401">
        <f t="shared" si="99"/>
        <v>865.1</v>
      </c>
      <c r="H1240" s="402">
        <f t="shared" si="97"/>
        <v>-112104.75</v>
      </c>
      <c r="I1240" s="402">
        <f t="shared" si="98"/>
        <v>1232767.5</v>
      </c>
    </row>
    <row r="1241" spans="2:9" hidden="1">
      <c r="B1241" s="156">
        <v>45496</v>
      </c>
      <c r="C1241" s="255" t="s">
        <v>2043</v>
      </c>
      <c r="D1241" s="402">
        <f t="shared" si="95"/>
        <v>291624.93</v>
      </c>
      <c r="E1241" s="376">
        <v>943.77</v>
      </c>
      <c r="F1241" s="401">
        <v>309</v>
      </c>
      <c r="G1241" s="401">
        <f t="shared" si="99"/>
        <v>865.1</v>
      </c>
      <c r="H1241" s="402">
        <f t="shared" si="97"/>
        <v>-24309.02999999997</v>
      </c>
      <c r="I1241" s="402">
        <f t="shared" si="98"/>
        <v>267315.90000000002</v>
      </c>
    </row>
    <row r="1242" spans="2:9" hidden="1">
      <c r="B1242" s="156">
        <v>45496</v>
      </c>
      <c r="C1242" s="255" t="s">
        <v>2044</v>
      </c>
      <c r="D1242" s="402">
        <f t="shared" ref="D1242:D1307" si="100">E1242*F1242</f>
        <v>982464.57</v>
      </c>
      <c r="E1242" s="376">
        <v>943.77</v>
      </c>
      <c r="F1242" s="401">
        <v>1041</v>
      </c>
      <c r="G1242" s="401">
        <f t="shared" si="99"/>
        <v>865.1</v>
      </c>
      <c r="H1242" s="402">
        <f t="shared" si="97"/>
        <v>-81895.469999999972</v>
      </c>
      <c r="I1242" s="402">
        <f t="shared" si="98"/>
        <v>900569.1</v>
      </c>
    </row>
    <row r="1243" spans="2:9" hidden="1">
      <c r="B1243" s="156">
        <v>45496</v>
      </c>
      <c r="C1243" s="255" t="s">
        <v>2045</v>
      </c>
      <c r="D1243" s="402">
        <f t="shared" si="100"/>
        <v>2948337.48</v>
      </c>
      <c r="E1243" s="376">
        <v>943.77</v>
      </c>
      <c r="F1243" s="401">
        <v>3124</v>
      </c>
      <c r="G1243" s="401">
        <f t="shared" si="99"/>
        <v>865.1</v>
      </c>
      <c r="H1243" s="402">
        <f t="shared" si="97"/>
        <v>-245765.08000000007</v>
      </c>
      <c r="I1243" s="402">
        <f t="shared" si="98"/>
        <v>2702572.4</v>
      </c>
    </row>
    <row r="1244" spans="2:9" hidden="1">
      <c r="B1244" s="156">
        <v>45496</v>
      </c>
      <c r="C1244" s="255" t="s">
        <v>2046</v>
      </c>
      <c r="D1244" s="402">
        <f t="shared" si="100"/>
        <v>1145264.895</v>
      </c>
      <c r="E1244" s="376">
        <v>943.77</v>
      </c>
      <c r="F1244" s="401">
        <v>1213.5</v>
      </c>
      <c r="G1244" s="401">
        <f t="shared" si="99"/>
        <v>865.1</v>
      </c>
      <c r="H1244" s="402">
        <f t="shared" si="97"/>
        <v>-95466.044999999925</v>
      </c>
      <c r="I1244" s="402">
        <f t="shared" si="98"/>
        <v>1049798.8500000001</v>
      </c>
    </row>
    <row r="1245" spans="2:9" hidden="1">
      <c r="B1245" s="156">
        <v>45496</v>
      </c>
      <c r="C1245" s="255" t="s">
        <v>2047</v>
      </c>
      <c r="D1245" s="402">
        <f t="shared" si="100"/>
        <v>3171067.1999999997</v>
      </c>
      <c r="E1245" s="376">
        <v>943.77</v>
      </c>
      <c r="F1245" s="401">
        <v>3360</v>
      </c>
      <c r="G1245" s="401">
        <f t="shared" si="99"/>
        <v>865.1</v>
      </c>
      <c r="H1245" s="402">
        <f t="shared" si="97"/>
        <v>-264331.19999999972</v>
      </c>
      <c r="I1245" s="402">
        <f t="shared" si="98"/>
        <v>2906736</v>
      </c>
    </row>
    <row r="1246" spans="2:9" hidden="1">
      <c r="B1246" s="156">
        <v>45496</v>
      </c>
      <c r="C1246" s="255" t="s">
        <v>2048</v>
      </c>
      <c r="D1246" s="402">
        <f t="shared" si="100"/>
        <v>2840747.6999999997</v>
      </c>
      <c r="E1246" s="376">
        <v>943.77</v>
      </c>
      <c r="F1246" s="401">
        <v>3010</v>
      </c>
      <c r="G1246" s="401">
        <f t="shared" si="99"/>
        <v>865.1</v>
      </c>
      <c r="H1246" s="402">
        <f t="shared" si="97"/>
        <v>-236796.69999999972</v>
      </c>
      <c r="I1246" s="402">
        <f t="shared" si="98"/>
        <v>2603951</v>
      </c>
    </row>
    <row r="1247" spans="2:9" hidden="1">
      <c r="B1247" s="156">
        <v>45497</v>
      </c>
      <c r="C1247" s="255" t="s">
        <v>2049</v>
      </c>
      <c r="D1247" s="402">
        <f t="shared" si="100"/>
        <v>1072126.425</v>
      </c>
      <c r="E1247" s="376">
        <v>946.69</v>
      </c>
      <c r="F1247" s="401">
        <v>1132.5</v>
      </c>
      <c r="G1247" s="401">
        <f t="shared" si="99"/>
        <v>865.1</v>
      </c>
      <c r="H1247" s="402">
        <f t="shared" si="97"/>
        <v>-92400.675000000047</v>
      </c>
      <c r="I1247" s="402">
        <f t="shared" si="98"/>
        <v>979725.75</v>
      </c>
    </row>
    <row r="1248" spans="2:9" hidden="1">
      <c r="B1248" s="156">
        <v>45497</v>
      </c>
      <c r="C1248" s="255" t="s">
        <v>2050</v>
      </c>
      <c r="D1248" s="402">
        <f t="shared" si="100"/>
        <v>19386317.82</v>
      </c>
      <c r="E1248" s="376">
        <v>946.69</v>
      </c>
      <c r="F1248" s="401">
        <v>20478</v>
      </c>
      <c r="G1248" s="401">
        <f t="shared" si="99"/>
        <v>865.1</v>
      </c>
      <c r="H1248" s="402">
        <f t="shared" si="97"/>
        <v>-1670800.0199999996</v>
      </c>
      <c r="I1248" s="402">
        <f t="shared" si="98"/>
        <v>17715517.800000001</v>
      </c>
    </row>
    <row r="1249" spans="2:9" hidden="1">
      <c r="B1249" s="156">
        <v>45497</v>
      </c>
      <c r="C1249" s="255" t="s">
        <v>2051</v>
      </c>
      <c r="D1249" s="402">
        <f t="shared" si="100"/>
        <v>8646593.1150000002</v>
      </c>
      <c r="E1249" s="376">
        <v>946.69</v>
      </c>
      <c r="F1249" s="401">
        <v>9133.5</v>
      </c>
      <c r="G1249" s="401">
        <f t="shared" si="99"/>
        <v>865.1</v>
      </c>
      <c r="H1249" s="402">
        <f t="shared" si="97"/>
        <v>-745202.26499999966</v>
      </c>
      <c r="I1249" s="402">
        <f t="shared" si="98"/>
        <v>7901390.8500000006</v>
      </c>
    </row>
    <row r="1250" spans="2:9" hidden="1">
      <c r="B1250" s="156">
        <v>45497</v>
      </c>
      <c r="C1250" s="255" t="s">
        <v>2052</v>
      </c>
      <c r="D1250" s="402">
        <f t="shared" si="100"/>
        <v>30874400.970000003</v>
      </c>
      <c r="E1250" s="376">
        <v>946.69</v>
      </c>
      <c r="F1250" s="401">
        <v>32613</v>
      </c>
      <c r="G1250" s="401">
        <f t="shared" si="99"/>
        <v>865.1</v>
      </c>
      <c r="H1250" s="402">
        <f t="shared" si="97"/>
        <v>-2660894.6700000018</v>
      </c>
      <c r="I1250" s="402">
        <f t="shared" si="98"/>
        <v>28213506.300000001</v>
      </c>
    </row>
    <row r="1251" spans="2:9" hidden="1">
      <c r="B1251" s="156">
        <v>45498</v>
      </c>
      <c r="C1251" s="255" t="s">
        <v>2053</v>
      </c>
      <c r="D1251" s="402">
        <f t="shared" si="100"/>
        <v>231504.75999999998</v>
      </c>
      <c r="E1251" s="376">
        <v>948.79</v>
      </c>
      <c r="F1251" s="401">
        <v>244</v>
      </c>
      <c r="G1251" s="401">
        <f>+G1093</f>
        <v>865.1</v>
      </c>
      <c r="H1251" s="402">
        <f t="shared" si="97"/>
        <v>-20420.359999999986</v>
      </c>
      <c r="I1251" s="402">
        <f t="shared" si="98"/>
        <v>211084.4</v>
      </c>
    </row>
    <row r="1252" spans="2:9" hidden="1">
      <c r="B1252" s="156">
        <v>45498</v>
      </c>
      <c r="C1252" s="255" t="s">
        <v>2054</v>
      </c>
      <c r="D1252" s="402">
        <f t="shared" si="100"/>
        <v>5728964.8021999998</v>
      </c>
      <c r="E1252" s="376">
        <v>948.79</v>
      </c>
      <c r="F1252" s="401">
        <v>6038.18</v>
      </c>
      <c r="G1252" s="401">
        <f>+G1094</f>
        <v>865.1</v>
      </c>
      <c r="H1252" s="402">
        <f t="shared" si="97"/>
        <v>-505335.28419999965</v>
      </c>
      <c r="I1252" s="402">
        <f t="shared" si="98"/>
        <v>5223629.5180000002</v>
      </c>
    </row>
    <row r="1253" spans="2:9" hidden="1">
      <c r="B1253" s="156">
        <v>45498</v>
      </c>
      <c r="C1253" s="255" t="s">
        <v>2055</v>
      </c>
      <c r="D1253" s="402">
        <f t="shared" si="100"/>
        <v>5728964.8021999998</v>
      </c>
      <c r="E1253" s="376">
        <v>948.79</v>
      </c>
      <c r="F1253" s="401">
        <v>6038.18</v>
      </c>
      <c r="G1253" s="401">
        <f>+G1095</f>
        <v>865.1</v>
      </c>
      <c r="H1253" s="402">
        <f t="shared" si="97"/>
        <v>-505335.28419999965</v>
      </c>
      <c r="I1253" s="402">
        <f t="shared" si="98"/>
        <v>5223629.5180000002</v>
      </c>
    </row>
    <row r="1254" spans="2:9" hidden="1">
      <c r="B1254" s="156">
        <v>45495</v>
      </c>
      <c r="C1254" s="255" t="s">
        <v>2318</v>
      </c>
      <c r="D1254" s="402">
        <f>E1254*F1254</f>
        <v>21196574.001900002</v>
      </c>
      <c r="E1254" s="376">
        <v>943.77</v>
      </c>
      <c r="F1254" s="401">
        <v>22459.47</v>
      </c>
      <c r="G1254" s="401">
        <f>+G1281</f>
        <v>865.1</v>
      </c>
      <c r="H1254" s="402">
        <f>+I1254-D1254</f>
        <v>-1766886.504900001</v>
      </c>
      <c r="I1254" s="402">
        <f>+F1254*G1254</f>
        <v>19429687.497000001</v>
      </c>
    </row>
    <row r="1255" spans="2:9" hidden="1">
      <c r="B1255" s="156">
        <v>45504</v>
      </c>
      <c r="C1255" s="255" t="s">
        <v>673</v>
      </c>
      <c r="D1255" s="402">
        <f t="shared" si="100"/>
        <v>-109482604.3186</v>
      </c>
      <c r="E1255" s="376">
        <v>943.78</v>
      </c>
      <c r="F1255" s="401">
        <v>-116004.37</v>
      </c>
      <c r="G1255" s="401">
        <f t="shared" ref="G1255:G1301" si="101">+G1096</f>
        <v>865.1</v>
      </c>
      <c r="H1255" s="402">
        <f t="shared" si="97"/>
        <v>9127223.8315999955</v>
      </c>
      <c r="I1255" s="402">
        <f t="shared" si="98"/>
        <v>-100355380.487</v>
      </c>
    </row>
    <row r="1256" spans="2:9" hidden="1">
      <c r="B1256" s="156">
        <v>45526</v>
      </c>
      <c r="C1256" s="255" t="s">
        <v>2065</v>
      </c>
      <c r="D1256" s="402">
        <f t="shared" si="100"/>
        <v>21473755.784000002</v>
      </c>
      <c r="E1256" s="376">
        <v>918.97</v>
      </c>
      <c r="F1256" s="401">
        <v>23367.200000000001</v>
      </c>
      <c r="G1256" s="401">
        <f t="shared" si="101"/>
        <v>865.1</v>
      </c>
      <c r="H1256" s="402">
        <f t="shared" ref="H1256:H1301" si="102">+I1256-D1256</f>
        <v>-1258791.0639999993</v>
      </c>
      <c r="I1256" s="402">
        <f t="shared" ref="I1256:I1301" si="103">+F1256*G1256</f>
        <v>20214964.720000003</v>
      </c>
    </row>
    <row r="1257" spans="2:9" hidden="1">
      <c r="B1257" s="156">
        <v>45526</v>
      </c>
      <c r="C1257" s="255" t="s">
        <v>2066</v>
      </c>
      <c r="D1257" s="402">
        <f t="shared" si="100"/>
        <v>12228366.202000001</v>
      </c>
      <c r="E1257" s="376">
        <v>918.97</v>
      </c>
      <c r="F1257" s="401">
        <v>13306.6</v>
      </c>
      <c r="G1257" s="401">
        <f t="shared" si="101"/>
        <v>865.1</v>
      </c>
      <c r="H1257" s="402">
        <f t="shared" si="102"/>
        <v>-716826.5420000013</v>
      </c>
      <c r="I1257" s="402">
        <f t="shared" si="103"/>
        <v>11511539.66</v>
      </c>
    </row>
    <row r="1258" spans="2:9" hidden="1">
      <c r="B1258" s="156">
        <v>45526</v>
      </c>
      <c r="C1258" s="255" t="s">
        <v>2067</v>
      </c>
      <c r="D1258" s="402">
        <f t="shared" si="100"/>
        <v>12815955.620000001</v>
      </c>
      <c r="E1258" s="376">
        <v>918.97</v>
      </c>
      <c r="F1258" s="401">
        <v>13946</v>
      </c>
      <c r="G1258" s="401">
        <f t="shared" si="101"/>
        <v>865.1</v>
      </c>
      <c r="H1258" s="402">
        <f t="shared" si="102"/>
        <v>-751271.02000000142</v>
      </c>
      <c r="I1258" s="402">
        <f t="shared" si="103"/>
        <v>12064684.6</v>
      </c>
    </row>
    <row r="1259" spans="2:9" hidden="1">
      <c r="B1259" s="156">
        <v>45526</v>
      </c>
      <c r="C1259" s="255" t="s">
        <v>2068</v>
      </c>
      <c r="D1259" s="402">
        <f t="shared" si="100"/>
        <v>68009477.613999993</v>
      </c>
      <c r="E1259" s="376">
        <v>918.97</v>
      </c>
      <c r="F1259" s="401">
        <v>74006.2</v>
      </c>
      <c r="G1259" s="401">
        <f t="shared" si="101"/>
        <v>865.1</v>
      </c>
      <c r="H1259" s="402">
        <f t="shared" si="102"/>
        <v>-3986713.9939999953</v>
      </c>
      <c r="I1259" s="402">
        <f t="shared" si="103"/>
        <v>64022763.619999997</v>
      </c>
    </row>
    <row r="1260" spans="2:9" hidden="1">
      <c r="B1260" s="156">
        <v>45526</v>
      </c>
      <c r="C1260" s="255" t="s">
        <v>2069</v>
      </c>
      <c r="D1260" s="402">
        <f t="shared" si="100"/>
        <v>7498795.2000000002</v>
      </c>
      <c r="E1260" s="376">
        <v>918.97</v>
      </c>
      <c r="F1260" s="401">
        <v>8160</v>
      </c>
      <c r="G1260" s="401">
        <f t="shared" si="101"/>
        <v>865.1</v>
      </c>
      <c r="H1260" s="402">
        <f t="shared" si="102"/>
        <v>-439579.20000000019</v>
      </c>
      <c r="I1260" s="402">
        <f t="shared" si="103"/>
        <v>7059216</v>
      </c>
    </row>
    <row r="1261" spans="2:9" hidden="1">
      <c r="B1261" s="156">
        <v>45526</v>
      </c>
      <c r="C1261" s="255" t="s">
        <v>2070</v>
      </c>
      <c r="D1261" s="402">
        <f t="shared" si="100"/>
        <v>7039310.2000000002</v>
      </c>
      <c r="E1261" s="376">
        <v>918.97</v>
      </c>
      <c r="F1261" s="401">
        <v>7660</v>
      </c>
      <c r="G1261" s="401">
        <f t="shared" si="101"/>
        <v>865.1</v>
      </c>
      <c r="H1261" s="402">
        <f t="shared" si="102"/>
        <v>-412644.20000000019</v>
      </c>
      <c r="I1261" s="402">
        <f t="shared" si="103"/>
        <v>6626666</v>
      </c>
    </row>
    <row r="1262" spans="2:9" hidden="1">
      <c r="B1262" s="156">
        <v>45527</v>
      </c>
      <c r="C1262" s="255" t="s">
        <v>2071</v>
      </c>
      <c r="D1262" s="402">
        <f t="shared" si="100"/>
        <v>2059285.6900000002</v>
      </c>
      <c r="E1262" s="376">
        <v>919.94</v>
      </c>
      <c r="F1262" s="401">
        <v>2238.5</v>
      </c>
      <c r="G1262" s="401">
        <f t="shared" si="101"/>
        <v>865.1</v>
      </c>
      <c r="H1262" s="402">
        <f t="shared" si="102"/>
        <v>-122759.34000000008</v>
      </c>
      <c r="I1262" s="402">
        <f t="shared" si="103"/>
        <v>1936526.35</v>
      </c>
    </row>
    <row r="1263" spans="2:9" hidden="1">
      <c r="B1263" s="156">
        <v>45527</v>
      </c>
      <c r="C1263" s="255" t="s">
        <v>2072</v>
      </c>
      <c r="D1263" s="402">
        <f t="shared" si="100"/>
        <v>2102982.8400000003</v>
      </c>
      <c r="E1263" s="376">
        <v>919.94</v>
      </c>
      <c r="F1263" s="401">
        <v>2286</v>
      </c>
      <c r="G1263" s="401">
        <f t="shared" si="101"/>
        <v>865.1</v>
      </c>
      <c r="H1263" s="402">
        <f t="shared" si="102"/>
        <v>-125364.24000000022</v>
      </c>
      <c r="I1263" s="402">
        <f t="shared" si="103"/>
        <v>1977618.6</v>
      </c>
    </row>
    <row r="1264" spans="2:9" hidden="1">
      <c r="B1264" s="156">
        <v>45527</v>
      </c>
      <c r="C1264" s="255" t="s">
        <v>2073</v>
      </c>
      <c r="D1264" s="402">
        <f t="shared" si="100"/>
        <v>1952572.6500000001</v>
      </c>
      <c r="E1264" s="376">
        <v>919.94</v>
      </c>
      <c r="F1264" s="401">
        <v>2122.5</v>
      </c>
      <c r="G1264" s="401">
        <f t="shared" si="101"/>
        <v>865.1</v>
      </c>
      <c r="H1264" s="402">
        <f t="shared" si="102"/>
        <v>-116397.90000000014</v>
      </c>
      <c r="I1264" s="402">
        <f t="shared" si="103"/>
        <v>1836174.75</v>
      </c>
    </row>
    <row r="1265" spans="2:9" hidden="1">
      <c r="B1265" s="156">
        <v>45527</v>
      </c>
      <c r="C1265" s="255" t="s">
        <v>2074</v>
      </c>
      <c r="D1265" s="402">
        <f t="shared" si="100"/>
        <v>2269951.9500000002</v>
      </c>
      <c r="E1265" s="376">
        <v>919.94</v>
      </c>
      <c r="F1265" s="401">
        <v>2467.5</v>
      </c>
      <c r="G1265" s="401">
        <f t="shared" si="101"/>
        <v>865.1</v>
      </c>
      <c r="H1265" s="402">
        <f t="shared" si="102"/>
        <v>-135317.70000000019</v>
      </c>
      <c r="I1265" s="402">
        <f t="shared" si="103"/>
        <v>2134634.25</v>
      </c>
    </row>
    <row r="1266" spans="2:9" hidden="1">
      <c r="B1266" s="156">
        <v>45527</v>
      </c>
      <c r="C1266" s="255" t="s">
        <v>2075</v>
      </c>
      <c r="D1266" s="402">
        <f t="shared" si="100"/>
        <v>1335311.3088</v>
      </c>
      <c r="E1266" s="376">
        <v>919.94</v>
      </c>
      <c r="F1266" s="401">
        <v>1451.52</v>
      </c>
      <c r="G1266" s="401">
        <f t="shared" si="101"/>
        <v>865.1</v>
      </c>
      <c r="H1266" s="402">
        <f t="shared" si="102"/>
        <v>-79601.35679999995</v>
      </c>
      <c r="I1266" s="402">
        <f t="shared" si="103"/>
        <v>1255709.952</v>
      </c>
    </row>
    <row r="1267" spans="2:9" hidden="1">
      <c r="B1267" s="156">
        <v>45527</v>
      </c>
      <c r="C1267" s="255" t="s">
        <v>2076</v>
      </c>
      <c r="D1267" s="402">
        <f t="shared" si="100"/>
        <v>1833440.4200000002</v>
      </c>
      <c r="E1267" s="376">
        <v>919.94</v>
      </c>
      <c r="F1267" s="401">
        <v>1993</v>
      </c>
      <c r="G1267" s="401">
        <f t="shared" si="101"/>
        <v>865.1</v>
      </c>
      <c r="H1267" s="402">
        <f t="shared" si="102"/>
        <v>-109296.12000000011</v>
      </c>
      <c r="I1267" s="402">
        <f t="shared" si="103"/>
        <v>1724144.3</v>
      </c>
    </row>
    <row r="1268" spans="2:9" hidden="1">
      <c r="B1268" s="156">
        <v>45527</v>
      </c>
      <c r="C1268" s="255" t="s">
        <v>2077</v>
      </c>
      <c r="D1268" s="402">
        <f t="shared" si="100"/>
        <v>2269951.9500000002</v>
      </c>
      <c r="E1268" s="376">
        <v>919.94</v>
      </c>
      <c r="F1268" s="401">
        <v>2467.5</v>
      </c>
      <c r="G1268" s="401">
        <f t="shared" si="101"/>
        <v>865.1</v>
      </c>
      <c r="H1268" s="402">
        <f t="shared" si="102"/>
        <v>-135317.70000000019</v>
      </c>
      <c r="I1268" s="402">
        <f t="shared" si="103"/>
        <v>2134634.25</v>
      </c>
    </row>
    <row r="1269" spans="2:9" hidden="1">
      <c r="B1269" s="156">
        <v>45527</v>
      </c>
      <c r="C1269" s="255" t="s">
        <v>2078</v>
      </c>
      <c r="D1269" s="402">
        <f t="shared" si="100"/>
        <v>1683030.2300000002</v>
      </c>
      <c r="E1269" s="376">
        <v>919.94</v>
      </c>
      <c r="F1269" s="401">
        <v>1829.5</v>
      </c>
      <c r="G1269" s="401">
        <f t="shared" si="101"/>
        <v>865.1</v>
      </c>
      <c r="H1269" s="402">
        <f t="shared" si="102"/>
        <v>-100329.78000000026</v>
      </c>
      <c r="I1269" s="402">
        <f t="shared" si="103"/>
        <v>1582700.45</v>
      </c>
    </row>
    <row r="1270" spans="2:9" hidden="1">
      <c r="B1270" s="156">
        <v>45527</v>
      </c>
      <c r="C1270" s="255" t="s">
        <v>2079</v>
      </c>
      <c r="D1270" s="402">
        <f t="shared" si="100"/>
        <v>2208775.94</v>
      </c>
      <c r="E1270" s="376">
        <v>919.94</v>
      </c>
      <c r="F1270" s="401">
        <v>2401</v>
      </c>
      <c r="G1270" s="401">
        <f t="shared" si="101"/>
        <v>865.1</v>
      </c>
      <c r="H1270" s="402">
        <f t="shared" si="102"/>
        <v>-131670.83999999985</v>
      </c>
      <c r="I1270" s="402">
        <f t="shared" si="103"/>
        <v>2077105.1</v>
      </c>
    </row>
    <row r="1271" spans="2:9" hidden="1">
      <c r="B1271" s="156">
        <v>45527</v>
      </c>
      <c r="C1271" s="255" t="s">
        <v>2080</v>
      </c>
      <c r="D1271" s="402">
        <f t="shared" si="100"/>
        <v>789308.52</v>
      </c>
      <c r="E1271" s="376">
        <v>919.94</v>
      </c>
      <c r="F1271" s="401">
        <v>858</v>
      </c>
      <c r="G1271" s="401">
        <f t="shared" si="101"/>
        <v>865.1</v>
      </c>
      <c r="H1271" s="402">
        <f t="shared" si="102"/>
        <v>-47052.719999999972</v>
      </c>
      <c r="I1271" s="402">
        <f t="shared" si="103"/>
        <v>742255.8</v>
      </c>
    </row>
    <row r="1272" spans="2:9" hidden="1">
      <c r="B1272" s="156">
        <v>45527</v>
      </c>
      <c r="C1272" s="255" t="s">
        <v>2081</v>
      </c>
      <c r="D1272" s="402">
        <f t="shared" si="100"/>
        <v>2041806.83</v>
      </c>
      <c r="E1272" s="376">
        <v>919.94</v>
      </c>
      <c r="F1272" s="401">
        <v>2219.5</v>
      </c>
      <c r="G1272" s="401">
        <f t="shared" si="101"/>
        <v>865.1</v>
      </c>
      <c r="H1272" s="402">
        <f t="shared" si="102"/>
        <v>-121717.38000000012</v>
      </c>
      <c r="I1272" s="402">
        <f t="shared" si="103"/>
        <v>1920089.45</v>
      </c>
    </row>
    <row r="1273" spans="2:9" hidden="1">
      <c r="B1273" s="156">
        <v>45527</v>
      </c>
      <c r="C1273" s="255" t="s">
        <v>2082</v>
      </c>
      <c r="D1273" s="402">
        <f t="shared" si="100"/>
        <v>846344.8</v>
      </c>
      <c r="E1273" s="376">
        <v>919.94</v>
      </c>
      <c r="F1273" s="401">
        <v>920</v>
      </c>
      <c r="G1273" s="401">
        <f t="shared" si="101"/>
        <v>865.1</v>
      </c>
      <c r="H1273" s="402">
        <f t="shared" si="102"/>
        <v>-50452.800000000047</v>
      </c>
      <c r="I1273" s="402">
        <f t="shared" si="103"/>
        <v>795892</v>
      </c>
    </row>
    <row r="1274" spans="2:9" hidden="1">
      <c r="B1274" s="156">
        <v>45527</v>
      </c>
      <c r="C1274" s="255" t="s">
        <v>2083</v>
      </c>
      <c r="D1274" s="402">
        <f t="shared" si="100"/>
        <v>5262056.8000000007</v>
      </c>
      <c r="E1274" s="376">
        <v>919.94</v>
      </c>
      <c r="F1274" s="401">
        <v>5720</v>
      </c>
      <c r="G1274" s="401">
        <f t="shared" si="101"/>
        <v>865.1</v>
      </c>
      <c r="H1274" s="402">
        <f t="shared" si="102"/>
        <v>-313684.80000000075</v>
      </c>
      <c r="I1274" s="402">
        <f t="shared" si="103"/>
        <v>4948372</v>
      </c>
    </row>
    <row r="1275" spans="2:9" hidden="1">
      <c r="B1275" s="156">
        <v>45527</v>
      </c>
      <c r="C1275" s="255" t="s">
        <v>2084</v>
      </c>
      <c r="D1275" s="402">
        <f t="shared" si="100"/>
        <v>5872896.96</v>
      </c>
      <c r="E1275" s="376">
        <v>919.94</v>
      </c>
      <c r="F1275" s="401">
        <v>6384</v>
      </c>
      <c r="G1275" s="401">
        <f t="shared" si="101"/>
        <v>865.1</v>
      </c>
      <c r="H1275" s="402">
        <f t="shared" si="102"/>
        <v>-350098.55999999959</v>
      </c>
      <c r="I1275" s="402">
        <f t="shared" si="103"/>
        <v>5522798.4000000004</v>
      </c>
    </row>
    <row r="1276" spans="2:9" hidden="1">
      <c r="B1276" s="156">
        <v>45527</v>
      </c>
      <c r="C1276" s="255" t="s">
        <v>2085</v>
      </c>
      <c r="D1276" s="402">
        <f t="shared" si="100"/>
        <v>5618073.5800000001</v>
      </c>
      <c r="E1276" s="376">
        <v>919.94</v>
      </c>
      <c r="F1276" s="401">
        <v>6107</v>
      </c>
      <c r="G1276" s="401">
        <f t="shared" si="101"/>
        <v>865.1</v>
      </c>
      <c r="H1276" s="402">
        <f t="shared" si="102"/>
        <v>-334907.87999999989</v>
      </c>
      <c r="I1276" s="402">
        <f t="shared" si="103"/>
        <v>5283165.7</v>
      </c>
    </row>
    <row r="1277" spans="2:9" hidden="1">
      <c r="B1277" s="156">
        <v>45527</v>
      </c>
      <c r="C1277" s="255" t="s">
        <v>2086</v>
      </c>
      <c r="D1277" s="402">
        <f t="shared" si="100"/>
        <v>6359545.2200000007</v>
      </c>
      <c r="E1277" s="376">
        <v>919.94</v>
      </c>
      <c r="F1277" s="401">
        <v>6913</v>
      </c>
      <c r="G1277" s="401">
        <f t="shared" si="101"/>
        <v>865.1</v>
      </c>
      <c r="H1277" s="402">
        <f t="shared" si="102"/>
        <v>-379108.92000000086</v>
      </c>
      <c r="I1277" s="402">
        <f t="shared" si="103"/>
        <v>5980436.2999999998</v>
      </c>
    </row>
    <row r="1278" spans="2:9" hidden="1">
      <c r="B1278" s="156">
        <v>45527</v>
      </c>
      <c r="C1278" s="255" t="s">
        <v>2087</v>
      </c>
      <c r="D1278" s="402">
        <f t="shared" si="100"/>
        <v>303580.2</v>
      </c>
      <c r="E1278" s="376">
        <v>919.94</v>
      </c>
      <c r="F1278" s="401">
        <v>330</v>
      </c>
      <c r="G1278" s="401">
        <f t="shared" si="101"/>
        <v>865.1</v>
      </c>
      <c r="H1278" s="402">
        <f t="shared" si="102"/>
        <v>-18097.200000000012</v>
      </c>
      <c r="I1278" s="402">
        <f t="shared" si="103"/>
        <v>285483</v>
      </c>
    </row>
    <row r="1279" spans="2:9" hidden="1">
      <c r="B1279" s="156">
        <v>45527</v>
      </c>
      <c r="C1279" s="255" t="s">
        <v>2088</v>
      </c>
      <c r="D1279" s="402">
        <f t="shared" si="100"/>
        <v>5265736.5600000005</v>
      </c>
      <c r="E1279" s="376">
        <v>919.94</v>
      </c>
      <c r="F1279" s="401">
        <v>5724</v>
      </c>
      <c r="G1279" s="401">
        <f t="shared" si="101"/>
        <v>865.1</v>
      </c>
      <c r="H1279" s="402">
        <f t="shared" si="102"/>
        <v>-313904.16000000015</v>
      </c>
      <c r="I1279" s="402">
        <f t="shared" si="103"/>
        <v>4951832.4000000004</v>
      </c>
    </row>
    <row r="1280" spans="2:9" hidden="1">
      <c r="B1280" s="156">
        <v>45527</v>
      </c>
      <c r="C1280" s="255" t="s">
        <v>2089</v>
      </c>
      <c r="D1280" s="402">
        <f t="shared" si="100"/>
        <v>6133239.9800000004</v>
      </c>
      <c r="E1280" s="376">
        <v>919.94</v>
      </c>
      <c r="F1280" s="401">
        <v>6667</v>
      </c>
      <c r="G1280" s="401">
        <f t="shared" si="101"/>
        <v>865.1</v>
      </c>
      <c r="H1280" s="402">
        <f t="shared" si="102"/>
        <v>-365618.28000000026</v>
      </c>
      <c r="I1280" s="402">
        <f t="shared" si="103"/>
        <v>5767621.7000000002</v>
      </c>
    </row>
    <row r="1281" spans="2:9" hidden="1">
      <c r="B1281" s="156">
        <v>45527</v>
      </c>
      <c r="C1281" s="255" t="s">
        <v>2090</v>
      </c>
      <c r="D1281" s="402">
        <f t="shared" si="100"/>
        <v>4848083.8000000007</v>
      </c>
      <c r="E1281" s="376">
        <v>919.94</v>
      </c>
      <c r="F1281" s="401">
        <v>5270</v>
      </c>
      <c r="G1281" s="401">
        <f t="shared" si="101"/>
        <v>865.1</v>
      </c>
      <c r="H1281" s="402">
        <f t="shared" si="102"/>
        <v>-289006.80000000075</v>
      </c>
      <c r="I1281" s="402">
        <f t="shared" si="103"/>
        <v>4559077</v>
      </c>
    </row>
    <row r="1282" spans="2:9" hidden="1">
      <c r="B1282" s="156">
        <v>45527</v>
      </c>
      <c r="C1282" s="255" t="s">
        <v>2091</v>
      </c>
      <c r="D1282" s="402">
        <f t="shared" si="100"/>
        <v>5646591.7200000007</v>
      </c>
      <c r="E1282" s="376">
        <v>919.94</v>
      </c>
      <c r="F1282" s="401">
        <v>6138</v>
      </c>
      <c r="G1282" s="401">
        <f t="shared" si="101"/>
        <v>865.1</v>
      </c>
      <c r="H1282" s="402">
        <f t="shared" si="102"/>
        <v>-336607.92000000086</v>
      </c>
      <c r="I1282" s="402">
        <f t="shared" si="103"/>
        <v>5309983.8</v>
      </c>
    </row>
    <row r="1283" spans="2:9" hidden="1">
      <c r="B1283" s="156">
        <v>45527</v>
      </c>
      <c r="C1283" s="255" t="s">
        <v>2092</v>
      </c>
      <c r="D1283" s="402">
        <f t="shared" si="100"/>
        <v>1181202.96</v>
      </c>
      <c r="E1283" s="376">
        <v>919.94</v>
      </c>
      <c r="F1283" s="401">
        <v>1284</v>
      </c>
      <c r="G1283" s="401">
        <f t="shared" si="101"/>
        <v>865.1</v>
      </c>
      <c r="H1283" s="402">
        <f t="shared" si="102"/>
        <v>-70414.559999999823</v>
      </c>
      <c r="I1283" s="402">
        <f t="shared" si="103"/>
        <v>1110788.4000000001</v>
      </c>
    </row>
    <row r="1284" spans="2:9" hidden="1">
      <c r="B1284" s="156">
        <v>45527</v>
      </c>
      <c r="C1284" s="255" t="s">
        <v>2093</v>
      </c>
      <c r="D1284" s="402">
        <f t="shared" si="100"/>
        <v>5039431.32</v>
      </c>
      <c r="E1284" s="376">
        <v>919.94</v>
      </c>
      <c r="F1284" s="401">
        <v>5478</v>
      </c>
      <c r="G1284" s="401">
        <f t="shared" si="101"/>
        <v>865.1</v>
      </c>
      <c r="H1284" s="402">
        <f t="shared" si="102"/>
        <v>-300413.52000000048</v>
      </c>
      <c r="I1284" s="402">
        <f t="shared" si="103"/>
        <v>4739017.8</v>
      </c>
    </row>
    <row r="1285" spans="2:9" hidden="1">
      <c r="B1285" s="156">
        <v>45527</v>
      </c>
      <c r="C1285" s="255" t="s">
        <v>2094</v>
      </c>
      <c r="D1285" s="402">
        <f t="shared" si="100"/>
        <v>445103.7696</v>
      </c>
      <c r="E1285" s="376">
        <v>919.94</v>
      </c>
      <c r="F1285" s="401">
        <v>483.84</v>
      </c>
      <c r="G1285" s="401">
        <f t="shared" si="101"/>
        <v>865.1</v>
      </c>
      <c r="H1285" s="402">
        <f t="shared" si="102"/>
        <v>-26533.785600000003</v>
      </c>
      <c r="I1285" s="402">
        <f t="shared" si="103"/>
        <v>418569.984</v>
      </c>
    </row>
    <row r="1286" spans="2:9" hidden="1">
      <c r="B1286" s="156">
        <v>45527</v>
      </c>
      <c r="C1286" s="255" t="s">
        <v>2095</v>
      </c>
      <c r="D1286" s="402">
        <f t="shared" si="100"/>
        <v>1425447.03</v>
      </c>
      <c r="E1286" s="376">
        <v>919.94</v>
      </c>
      <c r="F1286" s="401">
        <v>1549.5</v>
      </c>
      <c r="G1286" s="401">
        <f t="shared" si="101"/>
        <v>865.1</v>
      </c>
      <c r="H1286" s="402">
        <f t="shared" si="102"/>
        <v>-84974.580000000075</v>
      </c>
      <c r="I1286" s="402">
        <f t="shared" si="103"/>
        <v>1340472.45</v>
      </c>
    </row>
    <row r="1287" spans="2:9" hidden="1">
      <c r="B1287" s="156">
        <v>45527</v>
      </c>
      <c r="C1287" s="255" t="s">
        <v>2096</v>
      </c>
      <c r="D1287" s="402">
        <f t="shared" si="100"/>
        <v>523758.63960000005</v>
      </c>
      <c r="E1287" s="376">
        <v>919.94</v>
      </c>
      <c r="F1287" s="401">
        <v>569.34</v>
      </c>
      <c r="G1287" s="401">
        <f t="shared" si="101"/>
        <v>865.1</v>
      </c>
      <c r="H1287" s="402">
        <f t="shared" si="102"/>
        <v>-31222.60560000001</v>
      </c>
      <c r="I1287" s="402">
        <f t="shared" si="103"/>
        <v>492536.03400000004</v>
      </c>
    </row>
    <row r="1288" spans="2:9" hidden="1">
      <c r="B1288" s="156">
        <v>45527</v>
      </c>
      <c r="C1288" s="255" t="s">
        <v>2097</v>
      </c>
      <c r="D1288" s="402">
        <f t="shared" si="100"/>
        <v>789308.52</v>
      </c>
      <c r="E1288" s="376">
        <v>919.94</v>
      </c>
      <c r="F1288" s="401">
        <v>858</v>
      </c>
      <c r="G1288" s="401">
        <f t="shared" si="101"/>
        <v>865.1</v>
      </c>
      <c r="H1288" s="402">
        <f t="shared" si="102"/>
        <v>-47052.719999999972</v>
      </c>
      <c r="I1288" s="402">
        <f t="shared" si="103"/>
        <v>742255.8</v>
      </c>
    </row>
    <row r="1289" spans="2:9" hidden="1">
      <c r="B1289" s="156">
        <v>45527</v>
      </c>
      <c r="C1289" s="255" t="s">
        <v>2098</v>
      </c>
      <c r="D1289" s="402">
        <f t="shared" si="100"/>
        <v>3787852.95</v>
      </c>
      <c r="E1289" s="376">
        <v>919.94</v>
      </c>
      <c r="F1289" s="401">
        <v>4117.5</v>
      </c>
      <c r="G1289" s="401">
        <f t="shared" si="101"/>
        <v>865.1</v>
      </c>
      <c r="H1289" s="402">
        <f t="shared" si="102"/>
        <v>-225803.70000000019</v>
      </c>
      <c r="I1289" s="402">
        <f t="shared" si="103"/>
        <v>3562049.25</v>
      </c>
    </row>
    <row r="1290" spans="2:9" hidden="1">
      <c r="B1290" s="156">
        <v>45527</v>
      </c>
      <c r="C1290" s="255" t="s">
        <v>2099</v>
      </c>
      <c r="D1290" s="402">
        <f t="shared" si="100"/>
        <v>5587715.5600000005</v>
      </c>
      <c r="E1290" s="376">
        <v>919.94</v>
      </c>
      <c r="F1290" s="401">
        <v>6074</v>
      </c>
      <c r="G1290" s="401">
        <f t="shared" si="101"/>
        <v>865.1</v>
      </c>
      <c r="H1290" s="402">
        <f t="shared" si="102"/>
        <v>-333098.16000000015</v>
      </c>
      <c r="I1290" s="402">
        <f t="shared" si="103"/>
        <v>5254617.4000000004</v>
      </c>
    </row>
    <row r="1291" spans="2:9" hidden="1">
      <c r="B1291" s="156">
        <v>45527</v>
      </c>
      <c r="C1291" s="255" t="s">
        <v>2100</v>
      </c>
      <c r="D1291" s="402">
        <f t="shared" si="100"/>
        <v>4093273.0300000003</v>
      </c>
      <c r="E1291" s="376">
        <v>919.94</v>
      </c>
      <c r="F1291" s="401">
        <v>4449.5</v>
      </c>
      <c r="G1291" s="401">
        <f t="shared" si="101"/>
        <v>865.1</v>
      </c>
      <c r="H1291" s="402">
        <f t="shared" si="102"/>
        <v>-244010.58000000007</v>
      </c>
      <c r="I1291" s="402">
        <f t="shared" si="103"/>
        <v>3849262.45</v>
      </c>
    </row>
    <row r="1292" spans="2:9" hidden="1">
      <c r="B1292" s="156">
        <v>45527</v>
      </c>
      <c r="C1292" s="255" t="s">
        <v>2101</v>
      </c>
      <c r="D1292" s="402">
        <f t="shared" si="100"/>
        <v>5728006.4100000001</v>
      </c>
      <c r="E1292" s="376">
        <v>919.94</v>
      </c>
      <c r="F1292" s="401">
        <v>6226.5</v>
      </c>
      <c r="G1292" s="401">
        <f t="shared" si="101"/>
        <v>865.1</v>
      </c>
      <c r="H1292" s="402">
        <f t="shared" si="102"/>
        <v>-341461.25999999978</v>
      </c>
      <c r="I1292" s="402">
        <f t="shared" si="103"/>
        <v>5386545.1500000004</v>
      </c>
    </row>
    <row r="1293" spans="2:9" hidden="1">
      <c r="B1293" s="156">
        <v>45527</v>
      </c>
      <c r="C1293" s="255" t="s">
        <v>2102</v>
      </c>
      <c r="D1293" s="402">
        <f t="shared" si="100"/>
        <v>17591092.68</v>
      </c>
      <c r="E1293" s="376">
        <v>919.94</v>
      </c>
      <c r="F1293" s="401">
        <v>19122</v>
      </c>
      <c r="G1293" s="401">
        <f t="shared" si="101"/>
        <v>865.1</v>
      </c>
      <c r="H1293" s="402">
        <f t="shared" si="102"/>
        <v>-1048650.4799999986</v>
      </c>
      <c r="I1293" s="402">
        <f t="shared" si="103"/>
        <v>16542442.200000001</v>
      </c>
    </row>
    <row r="1294" spans="2:9" hidden="1">
      <c r="B1294" s="156">
        <v>45527</v>
      </c>
      <c r="C1294" s="255" t="s">
        <v>2103</v>
      </c>
      <c r="D1294" s="402">
        <f t="shared" si="100"/>
        <v>182148.12000000002</v>
      </c>
      <c r="E1294" s="376">
        <v>919.94</v>
      </c>
      <c r="F1294" s="401">
        <v>198</v>
      </c>
      <c r="G1294" s="401">
        <f t="shared" si="101"/>
        <v>865.1</v>
      </c>
      <c r="H1294" s="402">
        <f t="shared" si="102"/>
        <v>-10858.320000000007</v>
      </c>
      <c r="I1294" s="402">
        <f t="shared" si="103"/>
        <v>171289.80000000002</v>
      </c>
    </row>
    <row r="1295" spans="2:9" hidden="1">
      <c r="B1295" s="156">
        <v>45527</v>
      </c>
      <c r="C1295" s="255" t="s">
        <v>2104</v>
      </c>
      <c r="D1295" s="402">
        <f t="shared" si="100"/>
        <v>4974115.58</v>
      </c>
      <c r="E1295" s="376">
        <v>919.94</v>
      </c>
      <c r="F1295" s="401">
        <v>5407</v>
      </c>
      <c r="G1295" s="401">
        <f t="shared" si="101"/>
        <v>865.1</v>
      </c>
      <c r="H1295" s="402">
        <f t="shared" si="102"/>
        <v>-296519.87999999989</v>
      </c>
      <c r="I1295" s="402">
        <f t="shared" si="103"/>
        <v>4677595.7</v>
      </c>
    </row>
    <row r="1296" spans="2:9" hidden="1">
      <c r="B1296" s="156">
        <v>45527</v>
      </c>
      <c r="C1296" s="255" t="s">
        <v>2105</v>
      </c>
      <c r="D1296" s="402">
        <f t="shared" si="100"/>
        <v>5954311.6500000004</v>
      </c>
      <c r="E1296" s="376">
        <v>919.94</v>
      </c>
      <c r="F1296" s="401">
        <v>6472.5</v>
      </c>
      <c r="G1296" s="401">
        <f t="shared" si="101"/>
        <v>865.1</v>
      </c>
      <c r="H1296" s="402">
        <f t="shared" si="102"/>
        <v>-354951.90000000037</v>
      </c>
      <c r="I1296" s="402">
        <f t="shared" si="103"/>
        <v>5599359.75</v>
      </c>
    </row>
    <row r="1297" spans="2:9" hidden="1">
      <c r="B1297" s="156">
        <v>45527</v>
      </c>
      <c r="C1297" s="255" t="s">
        <v>2106</v>
      </c>
      <c r="D1297" s="402">
        <f t="shared" si="100"/>
        <v>3391358.81</v>
      </c>
      <c r="E1297" s="376">
        <v>919.94</v>
      </c>
      <c r="F1297" s="401">
        <v>3686.5</v>
      </c>
      <c r="G1297" s="401">
        <f t="shared" si="101"/>
        <v>865.1</v>
      </c>
      <c r="H1297" s="402">
        <f t="shared" si="102"/>
        <v>-202167.66000000015</v>
      </c>
      <c r="I1297" s="402">
        <f t="shared" si="103"/>
        <v>3189191.15</v>
      </c>
    </row>
    <row r="1298" spans="2:9" hidden="1">
      <c r="B1298" s="156">
        <v>45527</v>
      </c>
      <c r="C1298" s="255" t="s">
        <v>2107</v>
      </c>
      <c r="D1298" s="402">
        <f t="shared" si="100"/>
        <v>5622673.2800000003</v>
      </c>
      <c r="E1298" s="376">
        <v>919.94</v>
      </c>
      <c r="F1298" s="401">
        <v>6112</v>
      </c>
      <c r="G1298" s="401">
        <f t="shared" si="101"/>
        <v>865.1</v>
      </c>
      <c r="H1298" s="402">
        <f t="shared" si="102"/>
        <v>-335182.08000000007</v>
      </c>
      <c r="I1298" s="402">
        <f t="shared" si="103"/>
        <v>5287491.2</v>
      </c>
    </row>
    <row r="1299" spans="2:9" hidden="1">
      <c r="B1299" s="156">
        <v>45527</v>
      </c>
      <c r="C1299" s="255" t="s">
        <v>2108</v>
      </c>
      <c r="D1299" s="402">
        <f t="shared" si="100"/>
        <v>656837.16</v>
      </c>
      <c r="E1299" s="376">
        <v>919.94</v>
      </c>
      <c r="F1299" s="401">
        <v>714</v>
      </c>
      <c r="G1299" s="401">
        <f t="shared" si="101"/>
        <v>865.1</v>
      </c>
      <c r="H1299" s="402">
        <f t="shared" si="102"/>
        <v>-39155.760000000009</v>
      </c>
      <c r="I1299" s="402">
        <f t="shared" si="103"/>
        <v>617681.4</v>
      </c>
    </row>
    <row r="1300" spans="2:9" hidden="1">
      <c r="B1300" s="156">
        <v>45527</v>
      </c>
      <c r="C1300" s="255" t="s">
        <v>2109</v>
      </c>
      <c r="D1300" s="402">
        <f t="shared" si="100"/>
        <v>1531700.1</v>
      </c>
      <c r="E1300" s="376">
        <v>919.94</v>
      </c>
      <c r="F1300" s="401">
        <v>1665</v>
      </c>
      <c r="G1300" s="401">
        <f t="shared" si="101"/>
        <v>865.1</v>
      </c>
      <c r="H1300" s="402">
        <f t="shared" si="102"/>
        <v>-91308.600000000093</v>
      </c>
      <c r="I1300" s="402">
        <f t="shared" si="103"/>
        <v>1440391.5</v>
      </c>
    </row>
    <row r="1301" spans="2:9" hidden="1">
      <c r="B1301" s="156">
        <v>45527</v>
      </c>
      <c r="C1301" s="255" t="s">
        <v>2110</v>
      </c>
      <c r="D1301" s="402">
        <f t="shared" si="100"/>
        <v>5302534.16</v>
      </c>
      <c r="E1301" s="376">
        <v>919.94</v>
      </c>
      <c r="F1301" s="401">
        <v>5764</v>
      </c>
      <c r="G1301" s="401">
        <f t="shared" si="101"/>
        <v>865.1</v>
      </c>
      <c r="H1301" s="402">
        <f t="shared" si="102"/>
        <v>-316097.75999999978</v>
      </c>
      <c r="I1301" s="402">
        <f t="shared" si="103"/>
        <v>4986436.4000000004</v>
      </c>
    </row>
    <row r="1302" spans="2:9" hidden="1">
      <c r="B1302" s="156">
        <v>45530</v>
      </c>
      <c r="C1302" s="255" t="s">
        <v>2317</v>
      </c>
      <c r="D1302" s="402">
        <f>E1302*F1302</f>
        <v>3759346.5356999999</v>
      </c>
      <c r="E1302" s="376">
        <v>911.01</v>
      </c>
      <c r="F1302" s="401">
        <v>4126.57</v>
      </c>
      <c r="G1302" s="401">
        <f>+G1280</f>
        <v>865.1</v>
      </c>
      <c r="H1302" s="402">
        <f>+I1302-D1302</f>
        <v>-189450.82869999995</v>
      </c>
      <c r="I1302" s="402">
        <f>+F1302*G1302</f>
        <v>3569895.7069999999</v>
      </c>
    </row>
    <row r="1303" spans="2:9" hidden="1">
      <c r="B1303" s="156">
        <v>45535</v>
      </c>
      <c r="C1303" s="255" t="s">
        <v>673</v>
      </c>
      <c r="D1303" s="402">
        <f t="shared" si="100"/>
        <v>-1449414.4819</v>
      </c>
      <c r="E1303" s="376">
        <v>913.99</v>
      </c>
      <c r="F1303" s="401">
        <v>-1585.81</v>
      </c>
      <c r="G1303" s="401">
        <f>+G1143</f>
        <v>865.1</v>
      </c>
      <c r="H1303" s="402">
        <f t="shared" ref="H1303:H1368" si="104">+I1303-D1303</f>
        <v>77530.250900000101</v>
      </c>
      <c r="I1303" s="402">
        <f t="shared" ref="I1303:I1366" si="105">+F1303*G1303</f>
        <v>-1371884.2309999999</v>
      </c>
    </row>
    <row r="1304" spans="2:9" hidden="1">
      <c r="B1304" s="156">
        <v>45546</v>
      </c>
      <c r="C1304" s="255" t="s">
        <v>2153</v>
      </c>
      <c r="D1304" s="402">
        <f t="shared" si="100"/>
        <v>1195551</v>
      </c>
      <c r="E1304" s="376">
        <v>948.85</v>
      </c>
      <c r="F1304" s="401">
        <v>1260</v>
      </c>
      <c r="G1304" s="401">
        <f t="shared" ref="G1304:G1346" si="106">+G1146</f>
        <v>865.1</v>
      </c>
      <c r="H1304" s="402">
        <f t="shared" si="104"/>
        <v>-105525</v>
      </c>
      <c r="I1304" s="402">
        <f t="shared" si="105"/>
        <v>1090026</v>
      </c>
    </row>
    <row r="1305" spans="2:9" hidden="1">
      <c r="B1305" s="156">
        <v>45560</v>
      </c>
      <c r="C1305" s="255" t="s">
        <v>2154</v>
      </c>
      <c r="D1305" s="402">
        <f t="shared" si="100"/>
        <v>1148502.6000000001</v>
      </c>
      <c r="E1305" s="376">
        <v>911.51</v>
      </c>
      <c r="F1305" s="401">
        <v>1260</v>
      </c>
      <c r="G1305" s="401">
        <f t="shared" si="106"/>
        <v>865.1</v>
      </c>
      <c r="H1305" s="402">
        <f t="shared" si="104"/>
        <v>-58476.600000000093</v>
      </c>
      <c r="I1305" s="402">
        <f t="shared" si="105"/>
        <v>1090026</v>
      </c>
    </row>
    <row r="1306" spans="2:9" hidden="1">
      <c r="B1306" s="156">
        <v>45553</v>
      </c>
      <c r="C1306" s="255" t="s">
        <v>2155</v>
      </c>
      <c r="D1306" s="402">
        <f t="shared" si="100"/>
        <v>681447.06</v>
      </c>
      <c r="E1306" s="376">
        <v>923.37</v>
      </c>
      <c r="F1306" s="401">
        <v>738</v>
      </c>
      <c r="G1306" s="401">
        <f t="shared" si="106"/>
        <v>865.1</v>
      </c>
      <c r="H1306" s="402">
        <f t="shared" si="104"/>
        <v>-43003.260000000009</v>
      </c>
      <c r="I1306" s="402">
        <f t="shared" si="105"/>
        <v>638443.80000000005</v>
      </c>
    </row>
    <row r="1307" spans="2:9" hidden="1">
      <c r="B1307" s="156">
        <v>45553</v>
      </c>
      <c r="C1307" s="255" t="s">
        <v>2156</v>
      </c>
      <c r="D1307" s="402">
        <f t="shared" si="100"/>
        <v>771013.95</v>
      </c>
      <c r="E1307" s="376">
        <v>923.37</v>
      </c>
      <c r="F1307" s="401">
        <v>835</v>
      </c>
      <c r="G1307" s="401">
        <f t="shared" si="106"/>
        <v>865.1</v>
      </c>
      <c r="H1307" s="402">
        <f t="shared" si="104"/>
        <v>-48655.449999999953</v>
      </c>
      <c r="I1307" s="402">
        <f t="shared" si="105"/>
        <v>722358.5</v>
      </c>
    </row>
    <row r="1308" spans="2:9" hidden="1">
      <c r="B1308" s="156">
        <v>45553</v>
      </c>
      <c r="C1308" s="255" t="s">
        <v>2157</v>
      </c>
      <c r="D1308" s="402">
        <f t="shared" ref="D1308:D1366" si="107">E1308*F1308</f>
        <v>2216088</v>
      </c>
      <c r="E1308" s="376">
        <v>923.37</v>
      </c>
      <c r="F1308" s="401">
        <v>2400</v>
      </c>
      <c r="G1308" s="401">
        <f t="shared" si="106"/>
        <v>865.1</v>
      </c>
      <c r="H1308" s="402">
        <f t="shared" si="104"/>
        <v>-139848</v>
      </c>
      <c r="I1308" s="402">
        <f t="shared" si="105"/>
        <v>2076240</v>
      </c>
    </row>
    <row r="1309" spans="2:9" hidden="1">
      <c r="B1309" s="156">
        <v>45553</v>
      </c>
      <c r="C1309" s="255" t="s">
        <v>2158</v>
      </c>
      <c r="D1309" s="402">
        <f t="shared" si="107"/>
        <v>1254767.493</v>
      </c>
      <c r="E1309" s="376">
        <v>923.37</v>
      </c>
      <c r="F1309" s="401">
        <v>1358.9</v>
      </c>
      <c r="G1309" s="401">
        <f t="shared" si="106"/>
        <v>865.1</v>
      </c>
      <c r="H1309" s="402">
        <f t="shared" si="104"/>
        <v>-79183.102999999886</v>
      </c>
      <c r="I1309" s="402">
        <f t="shared" si="105"/>
        <v>1175584.3900000001</v>
      </c>
    </row>
    <row r="1310" spans="2:9" hidden="1">
      <c r="B1310" s="156">
        <v>45553</v>
      </c>
      <c r="C1310" s="255" t="s">
        <v>2159</v>
      </c>
      <c r="D1310" s="402">
        <f t="shared" si="107"/>
        <v>2216088</v>
      </c>
      <c r="E1310" s="376">
        <v>923.37</v>
      </c>
      <c r="F1310" s="401">
        <v>2400</v>
      </c>
      <c r="G1310" s="401">
        <f t="shared" si="106"/>
        <v>865.1</v>
      </c>
      <c r="H1310" s="402">
        <f t="shared" si="104"/>
        <v>-139848</v>
      </c>
      <c r="I1310" s="402">
        <f t="shared" si="105"/>
        <v>2076240</v>
      </c>
    </row>
    <row r="1311" spans="2:9" hidden="1">
      <c r="B1311" s="156">
        <v>45553</v>
      </c>
      <c r="C1311" s="255" t="s">
        <v>2160</v>
      </c>
      <c r="D1311" s="402">
        <f t="shared" si="107"/>
        <v>466929.74160000001</v>
      </c>
      <c r="E1311" s="376">
        <v>923.37</v>
      </c>
      <c r="F1311" s="401">
        <v>505.68</v>
      </c>
      <c r="G1311" s="401">
        <f t="shared" si="106"/>
        <v>865.1</v>
      </c>
      <c r="H1311" s="402">
        <f t="shared" si="104"/>
        <v>-29465.973599999968</v>
      </c>
      <c r="I1311" s="402">
        <f t="shared" si="105"/>
        <v>437463.76800000004</v>
      </c>
    </row>
    <row r="1312" spans="2:9" hidden="1">
      <c r="B1312" s="156">
        <v>45553</v>
      </c>
      <c r="C1312" s="255" t="s">
        <v>2161</v>
      </c>
      <c r="D1312" s="402">
        <f t="shared" si="107"/>
        <v>602498.92500000005</v>
      </c>
      <c r="E1312" s="376">
        <v>923.37</v>
      </c>
      <c r="F1312" s="401">
        <v>652.5</v>
      </c>
      <c r="G1312" s="401">
        <f t="shared" si="106"/>
        <v>865.1</v>
      </c>
      <c r="H1312" s="402">
        <f t="shared" si="104"/>
        <v>-38021.175000000047</v>
      </c>
      <c r="I1312" s="402">
        <f t="shared" si="105"/>
        <v>564477.75</v>
      </c>
    </row>
    <row r="1313" spans="2:9" hidden="1">
      <c r="B1313" s="156">
        <v>45553</v>
      </c>
      <c r="C1313" s="255" t="s">
        <v>2162</v>
      </c>
      <c r="D1313" s="402">
        <f t="shared" si="107"/>
        <v>267038.60399999999</v>
      </c>
      <c r="E1313" s="376">
        <v>923.37</v>
      </c>
      <c r="F1313" s="401">
        <v>289.2</v>
      </c>
      <c r="G1313" s="401">
        <f t="shared" si="106"/>
        <v>865.1</v>
      </c>
      <c r="H1313" s="402">
        <f t="shared" si="104"/>
        <v>-16851.684000000008</v>
      </c>
      <c r="I1313" s="402">
        <f t="shared" si="105"/>
        <v>250186.91999999998</v>
      </c>
    </row>
    <row r="1314" spans="2:9" hidden="1">
      <c r="B1314" s="156">
        <v>45553</v>
      </c>
      <c r="C1314" s="255" t="s">
        <v>2163</v>
      </c>
      <c r="D1314" s="402">
        <f t="shared" si="107"/>
        <v>1608048.855</v>
      </c>
      <c r="E1314" s="376">
        <v>923.37</v>
      </c>
      <c r="F1314" s="401">
        <v>1741.5</v>
      </c>
      <c r="G1314" s="401">
        <f t="shared" si="106"/>
        <v>865.1</v>
      </c>
      <c r="H1314" s="402">
        <f t="shared" si="104"/>
        <v>-101477.20499999984</v>
      </c>
      <c r="I1314" s="402">
        <f t="shared" si="105"/>
        <v>1506571.6500000001</v>
      </c>
    </row>
    <row r="1315" spans="2:9" hidden="1">
      <c r="B1315" s="156">
        <v>45553</v>
      </c>
      <c r="C1315" s="255" t="s">
        <v>2164</v>
      </c>
      <c r="D1315" s="402">
        <f t="shared" si="107"/>
        <v>2322090.8760000002</v>
      </c>
      <c r="E1315" s="376">
        <v>923.37</v>
      </c>
      <c r="F1315" s="401">
        <v>2514.8000000000002</v>
      </c>
      <c r="G1315" s="401">
        <f t="shared" si="106"/>
        <v>865.1</v>
      </c>
      <c r="H1315" s="402">
        <f t="shared" si="104"/>
        <v>-146537.39599999972</v>
      </c>
      <c r="I1315" s="402">
        <f t="shared" si="105"/>
        <v>2175553.4800000004</v>
      </c>
    </row>
    <row r="1316" spans="2:9" hidden="1">
      <c r="B1316" s="156">
        <v>45553</v>
      </c>
      <c r="C1316" s="255" t="s">
        <v>2165</v>
      </c>
      <c r="D1316" s="402">
        <f t="shared" si="107"/>
        <v>815612.72100000002</v>
      </c>
      <c r="E1316" s="376">
        <v>923.37</v>
      </c>
      <c r="F1316" s="401">
        <v>883.3</v>
      </c>
      <c r="G1316" s="401">
        <f t="shared" si="106"/>
        <v>865.1</v>
      </c>
      <c r="H1316" s="402">
        <f t="shared" si="104"/>
        <v>-51469.891000000061</v>
      </c>
      <c r="I1316" s="402">
        <f t="shared" si="105"/>
        <v>764142.83</v>
      </c>
    </row>
    <row r="1317" spans="2:9" hidden="1">
      <c r="B1317" s="156">
        <v>45553</v>
      </c>
      <c r="C1317" s="255" t="s">
        <v>2166</v>
      </c>
      <c r="D1317" s="402">
        <f t="shared" si="107"/>
        <v>2458472.625</v>
      </c>
      <c r="E1317" s="376">
        <v>923.37</v>
      </c>
      <c r="F1317" s="401">
        <v>2662.5</v>
      </c>
      <c r="G1317" s="401">
        <f t="shared" si="106"/>
        <v>865.1</v>
      </c>
      <c r="H1317" s="402">
        <f t="shared" si="104"/>
        <v>-155143.875</v>
      </c>
      <c r="I1317" s="402">
        <f t="shared" si="105"/>
        <v>2303328.75</v>
      </c>
    </row>
    <row r="1318" spans="2:9" hidden="1">
      <c r="B1318" s="156">
        <v>45553</v>
      </c>
      <c r="C1318" s="255" t="s">
        <v>2167</v>
      </c>
      <c r="D1318" s="402">
        <f t="shared" si="107"/>
        <v>1734088.86</v>
      </c>
      <c r="E1318" s="376">
        <v>923.37</v>
      </c>
      <c r="F1318" s="401">
        <v>1878</v>
      </c>
      <c r="G1318" s="401">
        <f t="shared" si="106"/>
        <v>865.1</v>
      </c>
      <c r="H1318" s="402">
        <f t="shared" si="104"/>
        <v>-109431.06000000006</v>
      </c>
      <c r="I1318" s="402">
        <f t="shared" si="105"/>
        <v>1624657.8</v>
      </c>
    </row>
    <row r="1319" spans="2:9" hidden="1">
      <c r="B1319" s="156">
        <v>45553</v>
      </c>
      <c r="C1319" s="255" t="s">
        <v>2168</v>
      </c>
      <c r="D1319" s="402">
        <f t="shared" si="107"/>
        <v>1392257.2860000001</v>
      </c>
      <c r="E1319" s="376">
        <v>923.37</v>
      </c>
      <c r="F1319" s="401">
        <v>1507.8</v>
      </c>
      <c r="G1319" s="401">
        <f t="shared" si="106"/>
        <v>865.1</v>
      </c>
      <c r="H1319" s="402">
        <f t="shared" si="104"/>
        <v>-87859.506000000052</v>
      </c>
      <c r="I1319" s="402">
        <f t="shared" si="105"/>
        <v>1304397.78</v>
      </c>
    </row>
    <row r="1320" spans="2:9" hidden="1">
      <c r="B1320" s="156">
        <v>45553</v>
      </c>
      <c r="C1320" s="255" t="s">
        <v>2169</v>
      </c>
      <c r="D1320" s="402">
        <f t="shared" si="107"/>
        <v>274240.89</v>
      </c>
      <c r="E1320" s="376">
        <v>923.37</v>
      </c>
      <c r="F1320" s="401">
        <v>297</v>
      </c>
      <c r="G1320" s="401">
        <f t="shared" si="106"/>
        <v>865.1</v>
      </c>
      <c r="H1320" s="402">
        <f t="shared" si="104"/>
        <v>-17306.190000000002</v>
      </c>
      <c r="I1320" s="402">
        <f t="shared" si="105"/>
        <v>256934.7</v>
      </c>
    </row>
    <row r="1321" spans="2:9" hidden="1">
      <c r="B1321" s="156">
        <v>45553</v>
      </c>
      <c r="C1321" s="255" t="s">
        <v>2170</v>
      </c>
      <c r="D1321" s="402">
        <f t="shared" si="107"/>
        <v>2273613.9510000004</v>
      </c>
      <c r="E1321" s="376">
        <v>923.37</v>
      </c>
      <c r="F1321" s="401">
        <v>2462.3000000000002</v>
      </c>
      <c r="G1321" s="401">
        <f t="shared" si="106"/>
        <v>865.1</v>
      </c>
      <c r="H1321" s="402">
        <f t="shared" si="104"/>
        <v>-143478.22100000037</v>
      </c>
      <c r="I1321" s="402">
        <f t="shared" si="105"/>
        <v>2130135.73</v>
      </c>
    </row>
    <row r="1322" spans="2:9" hidden="1">
      <c r="B1322" s="156">
        <v>45553</v>
      </c>
      <c r="C1322" s="255" t="s">
        <v>2171</v>
      </c>
      <c r="D1322" s="402">
        <f t="shared" si="107"/>
        <v>9820501.6349999998</v>
      </c>
      <c r="E1322" s="376">
        <v>923.37</v>
      </c>
      <c r="F1322" s="401">
        <v>10635.5</v>
      </c>
      <c r="G1322" s="401">
        <f t="shared" si="106"/>
        <v>865.1</v>
      </c>
      <c r="H1322" s="402">
        <f t="shared" si="104"/>
        <v>-619730.58499999903</v>
      </c>
      <c r="I1322" s="402">
        <f t="shared" si="105"/>
        <v>9200771.0500000007</v>
      </c>
    </row>
    <row r="1323" spans="2:9" hidden="1">
      <c r="B1323" s="156">
        <v>45554</v>
      </c>
      <c r="C1323" s="255" t="s">
        <v>2172</v>
      </c>
      <c r="D1323" s="402">
        <f t="shared" si="107"/>
        <v>320778.73799999995</v>
      </c>
      <c r="E1323" s="376">
        <v>923.37</v>
      </c>
      <c r="F1323" s="401">
        <v>347.4</v>
      </c>
      <c r="G1323" s="401">
        <f t="shared" si="106"/>
        <v>865.1</v>
      </c>
      <c r="H1323" s="402">
        <f t="shared" si="104"/>
        <v>-20242.997999999963</v>
      </c>
      <c r="I1323" s="402">
        <f t="shared" si="105"/>
        <v>300535.74</v>
      </c>
    </row>
    <row r="1324" spans="2:9" hidden="1">
      <c r="B1324" s="156">
        <v>45554</v>
      </c>
      <c r="C1324" s="255" t="s">
        <v>2173</v>
      </c>
      <c r="D1324" s="402">
        <f t="shared" si="107"/>
        <v>227149.02</v>
      </c>
      <c r="E1324" s="376">
        <v>923.37</v>
      </c>
      <c r="F1324" s="401">
        <v>246</v>
      </c>
      <c r="G1324" s="401">
        <f t="shared" si="106"/>
        <v>865.1</v>
      </c>
      <c r="H1324" s="402">
        <f t="shared" si="104"/>
        <v>-14334.419999999984</v>
      </c>
      <c r="I1324" s="402">
        <f t="shared" si="105"/>
        <v>212814.6</v>
      </c>
    </row>
    <row r="1325" spans="2:9" hidden="1">
      <c r="B1325" s="156">
        <v>45554</v>
      </c>
      <c r="C1325" s="255" t="s">
        <v>2174</v>
      </c>
      <c r="D1325" s="402">
        <f t="shared" si="107"/>
        <v>227149.02</v>
      </c>
      <c r="E1325" s="376">
        <v>923.37</v>
      </c>
      <c r="F1325" s="401">
        <v>246</v>
      </c>
      <c r="G1325" s="401">
        <f t="shared" si="106"/>
        <v>865.1</v>
      </c>
      <c r="H1325" s="402">
        <f t="shared" si="104"/>
        <v>-14334.419999999984</v>
      </c>
      <c r="I1325" s="402">
        <f t="shared" si="105"/>
        <v>212814.6</v>
      </c>
    </row>
    <row r="1326" spans="2:9" hidden="1">
      <c r="B1326" s="156">
        <v>45554</v>
      </c>
      <c r="C1326" s="255" t="s">
        <v>2175</v>
      </c>
      <c r="D1326" s="402">
        <f t="shared" si="107"/>
        <v>283936.27500000002</v>
      </c>
      <c r="E1326" s="376">
        <v>923.37</v>
      </c>
      <c r="F1326" s="401">
        <v>307.5</v>
      </c>
      <c r="G1326" s="401">
        <f t="shared" si="106"/>
        <v>865.1</v>
      </c>
      <c r="H1326" s="402">
        <f t="shared" si="104"/>
        <v>-17918.025000000023</v>
      </c>
      <c r="I1326" s="402">
        <f t="shared" si="105"/>
        <v>266018.25</v>
      </c>
    </row>
    <row r="1327" spans="2:9" hidden="1">
      <c r="B1327" s="156">
        <v>45554</v>
      </c>
      <c r="C1327" s="255" t="s">
        <v>2176</v>
      </c>
      <c r="D1327" s="402">
        <f t="shared" si="107"/>
        <v>170361.76500000001</v>
      </c>
      <c r="E1327" s="376">
        <v>923.37</v>
      </c>
      <c r="F1327" s="401">
        <v>184.5</v>
      </c>
      <c r="G1327" s="401">
        <f t="shared" si="106"/>
        <v>865.1</v>
      </c>
      <c r="H1327" s="402">
        <f t="shared" si="104"/>
        <v>-10750.815000000002</v>
      </c>
      <c r="I1327" s="402">
        <f t="shared" si="105"/>
        <v>159610.95000000001</v>
      </c>
    </row>
    <row r="1328" spans="2:9" hidden="1">
      <c r="B1328" s="156">
        <v>45554</v>
      </c>
      <c r="C1328" s="255" t="s">
        <v>2177</v>
      </c>
      <c r="D1328" s="402">
        <f t="shared" si="107"/>
        <v>283936.27500000002</v>
      </c>
      <c r="E1328" s="376">
        <v>923.37</v>
      </c>
      <c r="F1328" s="401">
        <v>307.5</v>
      </c>
      <c r="G1328" s="401">
        <f t="shared" si="106"/>
        <v>865.1</v>
      </c>
      <c r="H1328" s="402">
        <f t="shared" si="104"/>
        <v>-17918.025000000023</v>
      </c>
      <c r="I1328" s="402">
        <f t="shared" si="105"/>
        <v>266018.25</v>
      </c>
    </row>
    <row r="1329" spans="2:9" hidden="1">
      <c r="B1329" s="156">
        <v>45554</v>
      </c>
      <c r="C1329" s="255" t="s">
        <v>2178</v>
      </c>
      <c r="D1329" s="402">
        <f t="shared" si="107"/>
        <v>170361.76500000001</v>
      </c>
      <c r="E1329" s="376">
        <v>923.37</v>
      </c>
      <c r="F1329" s="401">
        <v>184.5</v>
      </c>
      <c r="G1329" s="401">
        <f t="shared" si="106"/>
        <v>865.1</v>
      </c>
      <c r="H1329" s="402">
        <f t="shared" si="104"/>
        <v>-10750.815000000002</v>
      </c>
      <c r="I1329" s="402">
        <f t="shared" si="105"/>
        <v>159610.95000000001</v>
      </c>
    </row>
    <row r="1330" spans="2:9" hidden="1">
      <c r="B1330" s="156">
        <v>45554</v>
      </c>
      <c r="C1330" s="255" t="s">
        <v>2179</v>
      </c>
      <c r="D1330" s="402">
        <f t="shared" si="107"/>
        <v>227149.02</v>
      </c>
      <c r="E1330" s="376">
        <v>923.37</v>
      </c>
      <c r="F1330" s="401">
        <v>246</v>
      </c>
      <c r="G1330" s="401">
        <f t="shared" si="106"/>
        <v>865.1</v>
      </c>
      <c r="H1330" s="402">
        <f t="shared" si="104"/>
        <v>-14334.419999999984</v>
      </c>
      <c r="I1330" s="402">
        <f t="shared" si="105"/>
        <v>212814.6</v>
      </c>
    </row>
    <row r="1331" spans="2:9" hidden="1">
      <c r="B1331" s="156">
        <v>45554</v>
      </c>
      <c r="C1331" s="255" t="s">
        <v>2180</v>
      </c>
      <c r="D1331" s="402">
        <f t="shared" si="107"/>
        <v>170361.76500000001</v>
      </c>
      <c r="E1331" s="376">
        <v>923.37</v>
      </c>
      <c r="F1331" s="401">
        <v>184.5</v>
      </c>
      <c r="G1331" s="401">
        <f t="shared" si="106"/>
        <v>865.1</v>
      </c>
      <c r="H1331" s="402">
        <f t="shared" si="104"/>
        <v>-10750.815000000002</v>
      </c>
      <c r="I1331" s="402">
        <f t="shared" si="105"/>
        <v>159610.95000000001</v>
      </c>
    </row>
    <row r="1332" spans="2:9" hidden="1">
      <c r="B1332" s="156">
        <v>45554</v>
      </c>
      <c r="C1332" s="255" t="s">
        <v>2181</v>
      </c>
      <c r="D1332" s="402">
        <f t="shared" si="107"/>
        <v>1951450.1580000001</v>
      </c>
      <c r="E1332" s="376">
        <v>923.37</v>
      </c>
      <c r="F1332" s="401">
        <v>2113.4</v>
      </c>
      <c r="G1332" s="401">
        <f t="shared" si="106"/>
        <v>865.1</v>
      </c>
      <c r="H1332" s="402">
        <f t="shared" si="104"/>
        <v>-123147.81799999997</v>
      </c>
      <c r="I1332" s="402">
        <f t="shared" si="105"/>
        <v>1828302.34</v>
      </c>
    </row>
    <row r="1333" spans="2:9" hidden="1">
      <c r="B1333" s="156">
        <v>45554</v>
      </c>
      <c r="C1333" s="255" t="s">
        <v>2182</v>
      </c>
      <c r="D1333" s="402">
        <f t="shared" si="107"/>
        <v>1227712.7519999999</v>
      </c>
      <c r="E1333" s="376">
        <v>923.37</v>
      </c>
      <c r="F1333" s="401">
        <v>1329.6</v>
      </c>
      <c r="G1333" s="401">
        <f t="shared" si="106"/>
        <v>865.1</v>
      </c>
      <c r="H1333" s="402">
        <f t="shared" si="104"/>
        <v>-77475.791999999899</v>
      </c>
      <c r="I1333" s="402">
        <f t="shared" si="105"/>
        <v>1150236.96</v>
      </c>
    </row>
    <row r="1334" spans="2:9" hidden="1">
      <c r="B1334" s="156">
        <v>45554</v>
      </c>
      <c r="C1334" s="255" t="s">
        <v>2183</v>
      </c>
      <c r="D1334" s="402">
        <f t="shared" si="107"/>
        <v>1416172.5690000001</v>
      </c>
      <c r="E1334" s="376">
        <v>923.37</v>
      </c>
      <c r="F1334" s="401">
        <v>1533.7</v>
      </c>
      <c r="G1334" s="401">
        <f t="shared" si="106"/>
        <v>865.1</v>
      </c>
      <c r="H1334" s="402">
        <f t="shared" si="104"/>
        <v>-89368.699000000022</v>
      </c>
      <c r="I1334" s="402">
        <f t="shared" si="105"/>
        <v>1326803.8700000001</v>
      </c>
    </row>
    <row r="1335" spans="2:9" hidden="1">
      <c r="B1335" s="156">
        <v>45554</v>
      </c>
      <c r="C1335" s="255" t="s">
        <v>2184</v>
      </c>
      <c r="D1335" s="402">
        <f t="shared" si="107"/>
        <v>1294934.088</v>
      </c>
      <c r="E1335" s="376">
        <v>923.37</v>
      </c>
      <c r="F1335" s="401">
        <v>1402.4</v>
      </c>
      <c r="G1335" s="401">
        <f t="shared" si="106"/>
        <v>865.1</v>
      </c>
      <c r="H1335" s="402">
        <f t="shared" si="104"/>
        <v>-81717.847999999765</v>
      </c>
      <c r="I1335" s="402">
        <f t="shared" si="105"/>
        <v>1213216.2400000002</v>
      </c>
    </row>
    <row r="1336" spans="2:9" hidden="1">
      <c r="B1336" s="156">
        <v>45554</v>
      </c>
      <c r="C1336" s="255" t="s">
        <v>2185</v>
      </c>
      <c r="D1336" s="402">
        <f t="shared" si="107"/>
        <v>1367695.6440000001</v>
      </c>
      <c r="E1336" s="376">
        <v>923.37</v>
      </c>
      <c r="F1336" s="401">
        <v>1481.2</v>
      </c>
      <c r="G1336" s="401">
        <f t="shared" si="106"/>
        <v>865.1</v>
      </c>
      <c r="H1336" s="402">
        <f t="shared" si="104"/>
        <v>-86309.523999999976</v>
      </c>
      <c r="I1336" s="402">
        <f t="shared" si="105"/>
        <v>1281386.1200000001</v>
      </c>
    </row>
    <row r="1337" spans="2:9" hidden="1">
      <c r="B1337" s="156">
        <v>45554</v>
      </c>
      <c r="C1337" s="255" t="s">
        <v>2186</v>
      </c>
      <c r="D1337" s="402">
        <f t="shared" si="107"/>
        <v>1343503.35</v>
      </c>
      <c r="E1337" s="376">
        <v>923.37</v>
      </c>
      <c r="F1337" s="401">
        <v>1455</v>
      </c>
      <c r="G1337" s="401">
        <f t="shared" si="106"/>
        <v>865.1</v>
      </c>
      <c r="H1337" s="402">
        <f t="shared" si="104"/>
        <v>-84782.850000000093</v>
      </c>
      <c r="I1337" s="402">
        <f t="shared" si="105"/>
        <v>1258720.5</v>
      </c>
    </row>
    <row r="1338" spans="2:9" hidden="1">
      <c r="B1338" s="156">
        <v>45554</v>
      </c>
      <c r="C1338" s="255" t="s">
        <v>2187</v>
      </c>
      <c r="D1338" s="402">
        <f t="shared" si="107"/>
        <v>3151775.7557999999</v>
      </c>
      <c r="E1338" s="376">
        <v>923.37</v>
      </c>
      <c r="F1338" s="401">
        <v>3413.34</v>
      </c>
      <c r="G1338" s="401">
        <f t="shared" si="106"/>
        <v>865.1</v>
      </c>
      <c r="H1338" s="402">
        <f t="shared" si="104"/>
        <v>-198895.32179999957</v>
      </c>
      <c r="I1338" s="402">
        <f t="shared" si="105"/>
        <v>2952880.4340000004</v>
      </c>
    </row>
    <row r="1339" spans="2:9" hidden="1">
      <c r="B1339" s="156">
        <v>45554</v>
      </c>
      <c r="C1339" s="255" t="s">
        <v>2188</v>
      </c>
      <c r="D1339" s="402">
        <f t="shared" si="107"/>
        <v>1227712.7519999999</v>
      </c>
      <c r="E1339" s="376">
        <v>923.37</v>
      </c>
      <c r="F1339" s="401">
        <v>1329.6</v>
      </c>
      <c r="G1339" s="401">
        <f t="shared" si="106"/>
        <v>865.1</v>
      </c>
      <c r="H1339" s="402">
        <f t="shared" si="104"/>
        <v>-77475.791999999899</v>
      </c>
      <c r="I1339" s="402">
        <f t="shared" si="105"/>
        <v>1150236.96</v>
      </c>
    </row>
    <row r="1340" spans="2:9" hidden="1">
      <c r="B1340" s="156">
        <v>45554</v>
      </c>
      <c r="C1340" s="255" t="s">
        <v>2189</v>
      </c>
      <c r="D1340" s="402">
        <f t="shared" si="107"/>
        <v>1173787.9440000001</v>
      </c>
      <c r="E1340" s="376">
        <v>923.37</v>
      </c>
      <c r="F1340" s="401">
        <v>1271.2</v>
      </c>
      <c r="G1340" s="401">
        <f t="shared" si="106"/>
        <v>865.1</v>
      </c>
      <c r="H1340" s="402">
        <f t="shared" si="104"/>
        <v>-74072.824000000022</v>
      </c>
      <c r="I1340" s="402">
        <f t="shared" si="105"/>
        <v>1099715.1200000001</v>
      </c>
    </row>
    <row r="1341" spans="2:9" hidden="1">
      <c r="B1341" s="156">
        <v>45554</v>
      </c>
      <c r="C1341" s="255" t="s">
        <v>2190</v>
      </c>
      <c r="D1341" s="402">
        <f t="shared" si="107"/>
        <v>820506.58200000005</v>
      </c>
      <c r="E1341" s="376">
        <v>923.37</v>
      </c>
      <c r="F1341" s="401">
        <v>888.6</v>
      </c>
      <c r="G1341" s="401">
        <f t="shared" si="106"/>
        <v>865.1</v>
      </c>
      <c r="H1341" s="402">
        <f t="shared" si="104"/>
        <v>-51778.722000000067</v>
      </c>
      <c r="I1341" s="402">
        <f t="shared" si="105"/>
        <v>768727.86</v>
      </c>
    </row>
    <row r="1342" spans="2:9" hidden="1">
      <c r="B1342" s="156">
        <v>45554</v>
      </c>
      <c r="C1342" s="255" t="s">
        <v>2191</v>
      </c>
      <c r="D1342" s="402">
        <f t="shared" si="107"/>
        <v>1173787.9440000001</v>
      </c>
      <c r="E1342" s="376">
        <v>923.37</v>
      </c>
      <c r="F1342" s="401">
        <v>1271.2</v>
      </c>
      <c r="G1342" s="401">
        <f t="shared" si="106"/>
        <v>865.1</v>
      </c>
      <c r="H1342" s="402">
        <f t="shared" si="104"/>
        <v>-74072.824000000022</v>
      </c>
      <c r="I1342" s="402">
        <f t="shared" si="105"/>
        <v>1099715.1200000001</v>
      </c>
    </row>
    <row r="1343" spans="2:9" hidden="1">
      <c r="B1343" s="156">
        <v>45554</v>
      </c>
      <c r="C1343" s="255" t="s">
        <v>2192</v>
      </c>
      <c r="D1343" s="402">
        <f t="shared" si="107"/>
        <v>1690875.1440000001</v>
      </c>
      <c r="E1343" s="376">
        <v>923.37</v>
      </c>
      <c r="F1343" s="401">
        <v>1831.2</v>
      </c>
      <c r="G1343" s="401">
        <f t="shared" si="106"/>
        <v>865.1</v>
      </c>
      <c r="H1343" s="402">
        <f t="shared" si="104"/>
        <v>-106704.02399999998</v>
      </c>
      <c r="I1343" s="402">
        <f t="shared" si="105"/>
        <v>1584171.12</v>
      </c>
    </row>
    <row r="1344" spans="2:9" hidden="1">
      <c r="B1344" s="156">
        <v>45554</v>
      </c>
      <c r="C1344" s="255" t="s">
        <v>2193</v>
      </c>
      <c r="D1344" s="402">
        <f t="shared" si="107"/>
        <v>3054323.2860000003</v>
      </c>
      <c r="E1344" s="376">
        <v>923.37</v>
      </c>
      <c r="F1344" s="401">
        <v>3307.8</v>
      </c>
      <c r="G1344" s="401">
        <f t="shared" si="106"/>
        <v>865.1</v>
      </c>
      <c r="H1344" s="402">
        <f t="shared" si="104"/>
        <v>-192745.50600000005</v>
      </c>
      <c r="I1344" s="402">
        <f t="shared" si="105"/>
        <v>2861577.7800000003</v>
      </c>
    </row>
    <row r="1345" spans="2:9" hidden="1">
      <c r="B1345" s="156">
        <v>45554</v>
      </c>
      <c r="C1345" s="255" t="s">
        <v>2194</v>
      </c>
      <c r="D1345" s="402">
        <f t="shared" si="107"/>
        <v>1446551.442</v>
      </c>
      <c r="E1345" s="376">
        <v>923.37</v>
      </c>
      <c r="F1345" s="401">
        <v>1566.6</v>
      </c>
      <c r="G1345" s="401">
        <f t="shared" si="106"/>
        <v>865.1</v>
      </c>
      <c r="H1345" s="402">
        <f t="shared" si="104"/>
        <v>-91285.782000000123</v>
      </c>
      <c r="I1345" s="402">
        <f t="shared" si="105"/>
        <v>1355265.66</v>
      </c>
    </row>
    <row r="1346" spans="2:9" hidden="1">
      <c r="B1346" s="156">
        <v>45554</v>
      </c>
      <c r="C1346" s="255" t="s">
        <v>2195</v>
      </c>
      <c r="D1346" s="402">
        <f t="shared" si="107"/>
        <v>1015245.3150000001</v>
      </c>
      <c r="E1346" s="376">
        <v>923.37</v>
      </c>
      <c r="F1346" s="401">
        <v>1099.5</v>
      </c>
      <c r="G1346" s="401">
        <f t="shared" si="106"/>
        <v>865.1</v>
      </c>
      <c r="H1346" s="402">
        <f t="shared" si="104"/>
        <v>-64067.864999999991</v>
      </c>
      <c r="I1346" s="402">
        <f t="shared" si="105"/>
        <v>951177.45000000007</v>
      </c>
    </row>
    <row r="1347" spans="2:9" hidden="1">
      <c r="B1347" s="156">
        <v>45554</v>
      </c>
      <c r="C1347" s="255" t="s">
        <v>2196</v>
      </c>
      <c r="D1347" s="402">
        <f t="shared" si="107"/>
        <v>7806262.3170000007</v>
      </c>
      <c r="E1347" s="376">
        <v>923.37</v>
      </c>
      <c r="F1347" s="401">
        <v>8454.1</v>
      </c>
      <c r="G1347" s="401">
        <f t="shared" ref="G1347:G1366" si="108">+G1191</f>
        <v>865.1</v>
      </c>
      <c r="H1347" s="402">
        <f t="shared" si="104"/>
        <v>-492620.40700000059</v>
      </c>
      <c r="I1347" s="402">
        <f t="shared" si="105"/>
        <v>7313641.9100000001</v>
      </c>
    </row>
    <row r="1348" spans="2:9" hidden="1">
      <c r="B1348" s="156">
        <v>45554</v>
      </c>
      <c r="C1348" s="255" t="s">
        <v>2197</v>
      </c>
      <c r="D1348" s="402">
        <f t="shared" si="107"/>
        <v>1343780.361</v>
      </c>
      <c r="E1348" s="376">
        <v>923.37</v>
      </c>
      <c r="F1348" s="401">
        <v>1455.3</v>
      </c>
      <c r="G1348" s="401">
        <f t="shared" si="108"/>
        <v>865.1</v>
      </c>
      <c r="H1348" s="402">
        <f t="shared" si="104"/>
        <v>-84800.331000000006</v>
      </c>
      <c r="I1348" s="402">
        <f t="shared" si="105"/>
        <v>1258980.03</v>
      </c>
    </row>
    <row r="1349" spans="2:9" hidden="1">
      <c r="B1349" s="156">
        <v>45554</v>
      </c>
      <c r="C1349" s="255" t="s">
        <v>2198</v>
      </c>
      <c r="D1349" s="402">
        <f t="shared" si="107"/>
        <v>2843794.926</v>
      </c>
      <c r="E1349" s="376">
        <v>923.37</v>
      </c>
      <c r="F1349" s="401">
        <v>3079.8</v>
      </c>
      <c r="G1349" s="401">
        <f t="shared" si="108"/>
        <v>865.1</v>
      </c>
      <c r="H1349" s="402">
        <f t="shared" si="104"/>
        <v>-179459.94599999953</v>
      </c>
      <c r="I1349" s="402">
        <f t="shared" si="105"/>
        <v>2664334.9800000004</v>
      </c>
    </row>
    <row r="1350" spans="2:9" hidden="1">
      <c r="B1350" s="156">
        <v>45554</v>
      </c>
      <c r="C1350" s="255" t="s">
        <v>2199</v>
      </c>
      <c r="D1350" s="402">
        <f t="shared" si="107"/>
        <v>175440.3</v>
      </c>
      <c r="E1350" s="376">
        <v>923.37</v>
      </c>
      <c r="F1350" s="401">
        <v>190</v>
      </c>
      <c r="G1350" s="401">
        <f t="shared" si="108"/>
        <v>865.1</v>
      </c>
      <c r="H1350" s="402">
        <f t="shared" si="104"/>
        <v>-11071.299999999988</v>
      </c>
      <c r="I1350" s="402">
        <f t="shared" si="105"/>
        <v>164369</v>
      </c>
    </row>
    <row r="1351" spans="2:9" hidden="1">
      <c r="B1351" s="156">
        <v>45554</v>
      </c>
      <c r="C1351" s="255" t="s">
        <v>2200</v>
      </c>
      <c r="D1351" s="402">
        <f t="shared" si="107"/>
        <v>175440.3</v>
      </c>
      <c r="E1351" s="376">
        <v>923.37</v>
      </c>
      <c r="F1351" s="401">
        <v>190</v>
      </c>
      <c r="G1351" s="401">
        <f t="shared" si="108"/>
        <v>865.1</v>
      </c>
      <c r="H1351" s="402">
        <f t="shared" si="104"/>
        <v>-11071.299999999988</v>
      </c>
      <c r="I1351" s="402">
        <f t="shared" si="105"/>
        <v>164369</v>
      </c>
    </row>
    <row r="1352" spans="2:9" hidden="1">
      <c r="B1352" s="156">
        <v>45554</v>
      </c>
      <c r="C1352" s="255" t="s">
        <v>2201</v>
      </c>
      <c r="D1352" s="402">
        <f t="shared" si="107"/>
        <v>175440.3</v>
      </c>
      <c r="E1352" s="376">
        <v>923.37</v>
      </c>
      <c r="F1352" s="401">
        <v>190</v>
      </c>
      <c r="G1352" s="401">
        <f t="shared" si="108"/>
        <v>865.1</v>
      </c>
      <c r="H1352" s="402">
        <f t="shared" si="104"/>
        <v>-11071.299999999988</v>
      </c>
      <c r="I1352" s="402">
        <f t="shared" si="105"/>
        <v>164369</v>
      </c>
    </row>
    <row r="1353" spans="2:9" hidden="1">
      <c r="B1353" s="156">
        <v>45554</v>
      </c>
      <c r="C1353" s="255" t="s">
        <v>2202</v>
      </c>
      <c r="D1353" s="402">
        <f t="shared" si="107"/>
        <v>268700.67</v>
      </c>
      <c r="E1353" s="376">
        <v>923.37</v>
      </c>
      <c r="F1353" s="401">
        <v>291</v>
      </c>
      <c r="G1353" s="401">
        <f t="shared" si="108"/>
        <v>865.1</v>
      </c>
      <c r="H1353" s="402">
        <f t="shared" si="104"/>
        <v>-16956.569999999978</v>
      </c>
      <c r="I1353" s="402">
        <f t="shared" si="105"/>
        <v>251744.1</v>
      </c>
    </row>
    <row r="1354" spans="2:9" hidden="1">
      <c r="B1354" s="156">
        <v>45554</v>
      </c>
      <c r="C1354" s="255" t="s">
        <v>2203</v>
      </c>
      <c r="D1354" s="402">
        <f t="shared" si="107"/>
        <v>12500675.397</v>
      </c>
      <c r="E1354" s="376">
        <v>923.37</v>
      </c>
      <c r="F1354" s="401">
        <v>13538.1</v>
      </c>
      <c r="G1354" s="401">
        <f t="shared" si="108"/>
        <v>865.1</v>
      </c>
      <c r="H1354" s="402">
        <f t="shared" si="104"/>
        <v>-788865.08699999936</v>
      </c>
      <c r="I1354" s="402">
        <f t="shared" si="105"/>
        <v>11711810.310000001</v>
      </c>
    </row>
    <row r="1355" spans="2:9" hidden="1">
      <c r="B1355" s="156">
        <v>45554</v>
      </c>
      <c r="C1355" s="255" t="s">
        <v>2204</v>
      </c>
      <c r="D1355" s="402">
        <f t="shared" si="107"/>
        <v>3365591.3130000001</v>
      </c>
      <c r="E1355" s="376">
        <v>923.37</v>
      </c>
      <c r="F1355" s="401">
        <v>3644.9</v>
      </c>
      <c r="G1355" s="401">
        <f t="shared" si="108"/>
        <v>865.1</v>
      </c>
      <c r="H1355" s="402">
        <f t="shared" si="104"/>
        <v>-212388.32299999986</v>
      </c>
      <c r="I1355" s="402">
        <f t="shared" si="105"/>
        <v>3153202.99</v>
      </c>
    </row>
    <row r="1356" spans="2:9" hidden="1">
      <c r="B1356" s="156">
        <v>45554</v>
      </c>
      <c r="C1356" s="255" t="s">
        <v>2205</v>
      </c>
      <c r="D1356" s="402">
        <f t="shared" si="107"/>
        <v>1325497.635</v>
      </c>
      <c r="E1356" s="376">
        <v>923.37</v>
      </c>
      <c r="F1356" s="401">
        <v>1435.5</v>
      </c>
      <c r="G1356" s="401">
        <f t="shared" si="108"/>
        <v>865.1</v>
      </c>
      <c r="H1356" s="402">
        <f t="shared" si="104"/>
        <v>-83646.584999999963</v>
      </c>
      <c r="I1356" s="402">
        <f t="shared" si="105"/>
        <v>1241851.05</v>
      </c>
    </row>
    <row r="1357" spans="2:9" hidden="1">
      <c r="B1357" s="156">
        <v>45554</v>
      </c>
      <c r="C1357" s="255" t="s">
        <v>2206</v>
      </c>
      <c r="D1357" s="402">
        <f t="shared" si="107"/>
        <v>131580.22500000001</v>
      </c>
      <c r="E1357" s="376">
        <v>923.37</v>
      </c>
      <c r="F1357" s="401">
        <v>142.5</v>
      </c>
      <c r="G1357" s="401">
        <f t="shared" si="108"/>
        <v>865.1</v>
      </c>
      <c r="H1357" s="402">
        <f t="shared" si="104"/>
        <v>-8303.4750000000058</v>
      </c>
      <c r="I1357" s="402">
        <f t="shared" si="105"/>
        <v>123276.75</v>
      </c>
    </row>
    <row r="1358" spans="2:9" hidden="1">
      <c r="B1358" s="156">
        <v>45554</v>
      </c>
      <c r="C1358" s="255" t="s">
        <v>2207</v>
      </c>
      <c r="D1358" s="402">
        <f t="shared" si="107"/>
        <v>175440.3</v>
      </c>
      <c r="E1358" s="376">
        <v>923.37</v>
      </c>
      <c r="F1358" s="401">
        <v>190</v>
      </c>
      <c r="G1358" s="401">
        <f t="shared" si="108"/>
        <v>865.1</v>
      </c>
      <c r="H1358" s="402">
        <f t="shared" si="104"/>
        <v>-11071.299999999988</v>
      </c>
      <c r="I1358" s="402">
        <f t="shared" si="105"/>
        <v>164369</v>
      </c>
    </row>
    <row r="1359" spans="2:9" hidden="1">
      <c r="B1359" s="156">
        <v>45554</v>
      </c>
      <c r="C1359" s="255" t="s">
        <v>2208</v>
      </c>
      <c r="D1359" s="402">
        <f t="shared" si="107"/>
        <v>175440.3</v>
      </c>
      <c r="E1359" s="376">
        <v>923.37</v>
      </c>
      <c r="F1359" s="401">
        <v>190</v>
      </c>
      <c r="G1359" s="401">
        <f t="shared" si="108"/>
        <v>865.1</v>
      </c>
      <c r="H1359" s="402">
        <f t="shared" si="104"/>
        <v>-11071.299999999988</v>
      </c>
      <c r="I1359" s="402">
        <f t="shared" si="105"/>
        <v>164369</v>
      </c>
    </row>
    <row r="1360" spans="2:9" hidden="1">
      <c r="B1360" s="156">
        <v>45554</v>
      </c>
      <c r="C1360" s="255" t="s">
        <v>2209</v>
      </c>
      <c r="D1360" s="402">
        <f t="shared" si="107"/>
        <v>1474252.5419999999</v>
      </c>
      <c r="E1360" s="376">
        <v>923.37</v>
      </c>
      <c r="F1360" s="401">
        <v>1596.6</v>
      </c>
      <c r="G1360" s="401">
        <f t="shared" si="108"/>
        <v>865.1</v>
      </c>
      <c r="H1360" s="402">
        <f t="shared" si="104"/>
        <v>-93033.881999999983</v>
      </c>
      <c r="I1360" s="402">
        <f t="shared" si="105"/>
        <v>1381218.66</v>
      </c>
    </row>
    <row r="1361" spans="2:9" hidden="1">
      <c r="B1361" s="156">
        <v>45554</v>
      </c>
      <c r="C1361" s="255" t="s">
        <v>2210</v>
      </c>
      <c r="D1361" s="402">
        <f t="shared" si="107"/>
        <v>1155689.892</v>
      </c>
      <c r="E1361" s="376">
        <v>923.37</v>
      </c>
      <c r="F1361" s="401">
        <v>1251.5999999999999</v>
      </c>
      <c r="G1361" s="401">
        <f t="shared" si="108"/>
        <v>865.1</v>
      </c>
      <c r="H1361" s="402">
        <f t="shared" si="104"/>
        <v>-72930.732000000076</v>
      </c>
      <c r="I1361" s="402">
        <f t="shared" si="105"/>
        <v>1082759.1599999999</v>
      </c>
    </row>
    <row r="1362" spans="2:9" hidden="1">
      <c r="B1362" s="156">
        <v>45554</v>
      </c>
      <c r="C1362" s="255" t="s">
        <v>2211</v>
      </c>
      <c r="D1362" s="402">
        <f t="shared" si="107"/>
        <v>2629942.4339999999</v>
      </c>
      <c r="E1362" s="376">
        <v>923.37</v>
      </c>
      <c r="F1362" s="401">
        <v>2848.2</v>
      </c>
      <c r="G1362" s="401">
        <f t="shared" si="108"/>
        <v>865.1</v>
      </c>
      <c r="H1362" s="402">
        <f t="shared" si="104"/>
        <v>-165964.61400000006</v>
      </c>
      <c r="I1362" s="402">
        <f t="shared" si="105"/>
        <v>2463977.8199999998</v>
      </c>
    </row>
    <row r="1363" spans="2:9" hidden="1">
      <c r="B1363" s="156">
        <v>45554</v>
      </c>
      <c r="C1363" s="255" t="s">
        <v>2212</v>
      </c>
      <c r="D1363" s="402">
        <f t="shared" si="107"/>
        <v>175440.3</v>
      </c>
      <c r="E1363" s="376">
        <v>923.37</v>
      </c>
      <c r="F1363" s="401">
        <v>190</v>
      </c>
      <c r="G1363" s="401">
        <f t="shared" si="108"/>
        <v>865.1</v>
      </c>
      <c r="H1363" s="402">
        <f t="shared" si="104"/>
        <v>-11071.299999999988</v>
      </c>
      <c r="I1363" s="402">
        <f t="shared" si="105"/>
        <v>164369</v>
      </c>
    </row>
    <row r="1364" spans="2:9" hidden="1">
      <c r="B1364" s="156">
        <v>45554</v>
      </c>
      <c r="C1364" s="255" t="s">
        <v>2213</v>
      </c>
      <c r="D1364" s="402">
        <f t="shared" si="107"/>
        <v>3828569.031</v>
      </c>
      <c r="E1364" s="376">
        <v>923.37</v>
      </c>
      <c r="F1364" s="401">
        <v>4146.3</v>
      </c>
      <c r="G1364" s="401">
        <f t="shared" si="108"/>
        <v>865.1</v>
      </c>
      <c r="H1364" s="402">
        <f t="shared" si="104"/>
        <v>-241604.90099999961</v>
      </c>
      <c r="I1364" s="402">
        <f t="shared" si="105"/>
        <v>3586964.1300000004</v>
      </c>
    </row>
    <row r="1365" spans="2:9" hidden="1">
      <c r="B1365" s="156">
        <v>45554</v>
      </c>
      <c r="C1365" s="255" t="s">
        <v>2214</v>
      </c>
      <c r="D1365" s="402">
        <f t="shared" si="107"/>
        <v>185597.37</v>
      </c>
      <c r="E1365" s="376">
        <v>923.37</v>
      </c>
      <c r="F1365" s="401">
        <v>201</v>
      </c>
      <c r="G1365" s="401">
        <f t="shared" si="108"/>
        <v>865.1</v>
      </c>
      <c r="H1365" s="402">
        <f t="shared" si="104"/>
        <v>-11712.26999999999</v>
      </c>
      <c r="I1365" s="402">
        <f t="shared" si="105"/>
        <v>173885.1</v>
      </c>
    </row>
    <row r="1366" spans="2:9" hidden="1">
      <c r="B1366" s="156">
        <v>45555</v>
      </c>
      <c r="C1366" s="255" t="s">
        <v>2215</v>
      </c>
      <c r="D1366" s="402">
        <f t="shared" si="107"/>
        <v>30587277.608999997</v>
      </c>
      <c r="E1366" s="376">
        <v>923.37</v>
      </c>
      <c r="F1366" s="401">
        <v>33125.699999999997</v>
      </c>
      <c r="G1366" s="401">
        <f t="shared" si="108"/>
        <v>865.1</v>
      </c>
      <c r="H1366" s="402">
        <f t="shared" si="104"/>
        <v>-1930234.5390000008</v>
      </c>
      <c r="I1366" s="402">
        <f t="shared" si="105"/>
        <v>28657043.069999997</v>
      </c>
    </row>
    <row r="1367" spans="2:9" hidden="1">
      <c r="B1367" s="156">
        <v>45555</v>
      </c>
      <c r="C1367" s="255" t="s">
        <v>2316</v>
      </c>
      <c r="D1367" s="402">
        <f>E1367*F1367</f>
        <v>2223009.0119999996</v>
      </c>
      <c r="E1367" s="376">
        <v>927.15</v>
      </c>
      <c r="F1367" s="401">
        <v>2397.6799999999998</v>
      </c>
      <c r="G1367" s="401">
        <f>+G1279</f>
        <v>865.1</v>
      </c>
      <c r="H1367" s="402">
        <f>+I1367-D1367</f>
        <v>-148776.04399999976</v>
      </c>
      <c r="I1367" s="402">
        <f>+F1367*G1367</f>
        <v>2074232.9679999999</v>
      </c>
    </row>
    <row r="1368" spans="2:9" hidden="1">
      <c r="B1368" s="156">
        <v>45565</v>
      </c>
      <c r="C1368" s="255" t="s">
        <v>673</v>
      </c>
      <c r="D1368" s="402">
        <f t="shared" ref="D1368:D1445" si="109">E1368*F1368</f>
        <v>26242148.743999999</v>
      </c>
      <c r="E1368" s="376">
        <v>897.68</v>
      </c>
      <c r="F1368" s="401">
        <v>29233.3</v>
      </c>
      <c r="G1368" s="401">
        <f t="shared" ref="G1368:G1390" si="110">+G1210</f>
        <v>865.1</v>
      </c>
      <c r="H1368" s="402">
        <f t="shared" si="104"/>
        <v>-952420.9140000008</v>
      </c>
      <c r="I1368" s="402">
        <f>+F1368*G1368</f>
        <v>25289727.829999998</v>
      </c>
    </row>
    <row r="1369" spans="2:9" hidden="1">
      <c r="B1369" s="156">
        <v>45572</v>
      </c>
      <c r="C1369" s="255" t="s">
        <v>2236</v>
      </c>
      <c r="D1369" s="402">
        <f t="shared" si="109"/>
        <v>1163912.3999999999</v>
      </c>
      <c r="E1369" s="376">
        <v>923.74</v>
      </c>
      <c r="F1369" s="401">
        <v>1260</v>
      </c>
      <c r="G1369" s="401">
        <f t="shared" si="110"/>
        <v>865.1</v>
      </c>
      <c r="H1369" s="402">
        <f t="shared" ref="H1369:H1391" si="111">+I1369-D1369</f>
        <v>-73886.399999999907</v>
      </c>
      <c r="I1369" s="402">
        <f t="shared" ref="I1369:I1390" si="112">+F1369*G1369</f>
        <v>1090026</v>
      </c>
    </row>
    <row r="1370" spans="2:9" hidden="1">
      <c r="B1370" s="156">
        <v>45589</v>
      </c>
      <c r="C1370" s="255" t="s">
        <v>2237</v>
      </c>
      <c r="D1370" s="402">
        <f t="shared" si="109"/>
        <v>463385.34</v>
      </c>
      <c r="E1370" s="376">
        <v>948.2</v>
      </c>
      <c r="F1370" s="401">
        <v>488.7</v>
      </c>
      <c r="G1370" s="401">
        <f t="shared" si="110"/>
        <v>865.1</v>
      </c>
      <c r="H1370" s="402">
        <f t="shared" si="111"/>
        <v>-40610.97000000003</v>
      </c>
      <c r="I1370" s="402">
        <f t="shared" si="112"/>
        <v>422774.37</v>
      </c>
    </row>
    <row r="1371" spans="2:9" hidden="1">
      <c r="B1371" s="156">
        <v>45589</v>
      </c>
      <c r="C1371" s="255" t="s">
        <v>2238</v>
      </c>
      <c r="D1371" s="402">
        <f t="shared" si="109"/>
        <v>6097969.0200000005</v>
      </c>
      <c r="E1371" s="376">
        <v>948.2</v>
      </c>
      <c r="F1371" s="401">
        <v>6431.1</v>
      </c>
      <c r="G1371" s="401">
        <f t="shared" si="110"/>
        <v>865.1</v>
      </c>
      <c r="H1371" s="402">
        <f t="shared" si="111"/>
        <v>-534424.41000000015</v>
      </c>
      <c r="I1371" s="402">
        <f t="shared" si="112"/>
        <v>5563544.6100000003</v>
      </c>
    </row>
    <row r="1372" spans="2:9" hidden="1">
      <c r="B1372" s="156">
        <v>45589</v>
      </c>
      <c r="C1372" s="255" t="s">
        <v>2239</v>
      </c>
      <c r="D1372" s="402">
        <f t="shared" si="109"/>
        <v>1135564.32</v>
      </c>
      <c r="E1372" s="376">
        <v>948.2</v>
      </c>
      <c r="F1372" s="401">
        <v>1197.5999999999999</v>
      </c>
      <c r="G1372" s="401">
        <f t="shared" si="110"/>
        <v>865.1</v>
      </c>
      <c r="H1372" s="402">
        <f t="shared" si="111"/>
        <v>-99520.560000000172</v>
      </c>
      <c r="I1372" s="402">
        <f t="shared" si="112"/>
        <v>1036043.7599999999</v>
      </c>
    </row>
    <row r="1373" spans="2:9" hidden="1">
      <c r="B1373" s="156">
        <v>45589</v>
      </c>
      <c r="C1373" s="255" t="s">
        <v>2240</v>
      </c>
      <c r="D1373" s="402">
        <f t="shared" si="109"/>
        <v>2580052.2000000002</v>
      </c>
      <c r="E1373" s="376">
        <v>948.2</v>
      </c>
      <c r="F1373" s="401">
        <v>2721</v>
      </c>
      <c r="G1373" s="401">
        <f t="shared" si="110"/>
        <v>865.1</v>
      </c>
      <c r="H1373" s="402">
        <f t="shared" si="111"/>
        <v>-226115.10000000009</v>
      </c>
      <c r="I1373" s="402">
        <f t="shared" si="112"/>
        <v>2353937.1</v>
      </c>
    </row>
    <row r="1374" spans="2:9" hidden="1">
      <c r="B1374" s="156">
        <v>45589</v>
      </c>
      <c r="C1374" s="255" t="s">
        <v>2241</v>
      </c>
      <c r="D1374" s="402">
        <f t="shared" si="109"/>
        <v>1318585.8839999998</v>
      </c>
      <c r="E1374" s="376">
        <v>948.2</v>
      </c>
      <c r="F1374" s="401">
        <v>1390.62</v>
      </c>
      <c r="G1374" s="401">
        <f t="shared" si="110"/>
        <v>865.1</v>
      </c>
      <c r="H1374" s="402">
        <f t="shared" si="111"/>
        <v>-115560.52199999988</v>
      </c>
      <c r="I1374" s="402">
        <f t="shared" si="112"/>
        <v>1203025.362</v>
      </c>
    </row>
    <row r="1375" spans="2:9" hidden="1">
      <c r="B1375" s="156">
        <v>45589</v>
      </c>
      <c r="C1375" s="255" t="s">
        <v>2242</v>
      </c>
      <c r="D1375" s="402">
        <f t="shared" si="109"/>
        <v>1033443.1800000002</v>
      </c>
      <c r="E1375" s="376">
        <v>948.2</v>
      </c>
      <c r="F1375" s="401">
        <v>1089.9000000000001</v>
      </c>
      <c r="G1375" s="401">
        <f t="shared" si="110"/>
        <v>865.1</v>
      </c>
      <c r="H1375" s="402">
        <f t="shared" si="111"/>
        <v>-90570.690000000061</v>
      </c>
      <c r="I1375" s="402">
        <f t="shared" si="112"/>
        <v>942872.49000000011</v>
      </c>
    </row>
    <row r="1376" spans="2:9" hidden="1">
      <c r="B1376" s="156">
        <v>45589</v>
      </c>
      <c r="C1376" s="255" t="s">
        <v>2243</v>
      </c>
      <c r="D1376" s="402">
        <f t="shared" si="109"/>
        <v>1103704.8</v>
      </c>
      <c r="E1376" s="376">
        <v>948.2</v>
      </c>
      <c r="F1376" s="401">
        <v>1164</v>
      </c>
      <c r="G1376" s="401">
        <f t="shared" si="110"/>
        <v>865.1</v>
      </c>
      <c r="H1376" s="402">
        <f t="shared" si="111"/>
        <v>-96728.400000000023</v>
      </c>
      <c r="I1376" s="402">
        <f t="shared" si="112"/>
        <v>1006976.4</v>
      </c>
    </row>
    <row r="1377" spans="2:9" hidden="1">
      <c r="B1377" s="156">
        <v>45589</v>
      </c>
      <c r="C1377" s="255" t="s">
        <v>2244</v>
      </c>
      <c r="D1377" s="402">
        <f t="shared" si="109"/>
        <v>521415.18</v>
      </c>
      <c r="E1377" s="376">
        <v>948.2</v>
      </c>
      <c r="F1377" s="401">
        <v>549.9</v>
      </c>
      <c r="G1377" s="401">
        <f t="shared" si="110"/>
        <v>865.1</v>
      </c>
      <c r="H1377" s="402">
        <f t="shared" si="111"/>
        <v>-45696.69</v>
      </c>
      <c r="I1377" s="402">
        <f t="shared" si="112"/>
        <v>475718.49</v>
      </c>
    </row>
    <row r="1378" spans="2:9" hidden="1">
      <c r="B1378" s="156">
        <v>45589</v>
      </c>
      <c r="C1378" s="255" t="s">
        <v>2245</v>
      </c>
      <c r="D1378" s="402">
        <f t="shared" si="109"/>
        <v>338222.94</v>
      </c>
      <c r="E1378" s="376">
        <v>948.2</v>
      </c>
      <c r="F1378" s="401">
        <v>356.7</v>
      </c>
      <c r="G1378" s="401">
        <f t="shared" si="110"/>
        <v>865.1</v>
      </c>
      <c r="H1378" s="402">
        <f t="shared" si="111"/>
        <v>-29641.770000000019</v>
      </c>
      <c r="I1378" s="402">
        <f t="shared" si="112"/>
        <v>308581.17</v>
      </c>
    </row>
    <row r="1379" spans="2:9" hidden="1">
      <c r="B1379" s="156">
        <v>45590</v>
      </c>
      <c r="C1379" s="255" t="s">
        <v>2246</v>
      </c>
      <c r="D1379" s="402">
        <f t="shared" si="109"/>
        <v>2747107.2689999999</v>
      </c>
      <c r="E1379" s="376">
        <v>945.29</v>
      </c>
      <c r="F1379" s="401">
        <v>2906.1</v>
      </c>
      <c r="G1379" s="401">
        <f t="shared" si="110"/>
        <v>865.1</v>
      </c>
      <c r="H1379" s="402">
        <f t="shared" si="111"/>
        <v>-233040.15899999999</v>
      </c>
      <c r="I1379" s="402">
        <f t="shared" si="112"/>
        <v>2514067.11</v>
      </c>
    </row>
    <row r="1380" spans="2:9" hidden="1">
      <c r="B1380" s="156">
        <v>45590</v>
      </c>
      <c r="C1380" s="255" t="s">
        <v>2247</v>
      </c>
      <c r="D1380" s="402">
        <f t="shared" si="109"/>
        <v>9074500.4130000006</v>
      </c>
      <c r="E1380" s="376">
        <v>945.29</v>
      </c>
      <c r="F1380" s="401">
        <v>9599.7000000000007</v>
      </c>
      <c r="G1380" s="401">
        <f t="shared" si="110"/>
        <v>865.1</v>
      </c>
      <c r="H1380" s="402">
        <f t="shared" si="111"/>
        <v>-769799.94299999997</v>
      </c>
      <c r="I1380" s="402">
        <f t="shared" si="112"/>
        <v>8304700.4700000007</v>
      </c>
    </row>
    <row r="1381" spans="2:9" hidden="1">
      <c r="B1381" s="156">
        <v>45590</v>
      </c>
      <c r="C1381" s="255" t="s">
        <v>2248</v>
      </c>
      <c r="D1381" s="402">
        <f t="shared" si="109"/>
        <v>1717119.2849999999</v>
      </c>
      <c r="E1381" s="376">
        <v>945.29</v>
      </c>
      <c r="F1381" s="401">
        <v>1816.5</v>
      </c>
      <c r="G1381" s="401">
        <f t="shared" si="110"/>
        <v>865.1</v>
      </c>
      <c r="H1381" s="402">
        <f t="shared" si="111"/>
        <v>-145665.13499999978</v>
      </c>
      <c r="I1381" s="402">
        <f t="shared" si="112"/>
        <v>1571454.1500000001</v>
      </c>
    </row>
    <row r="1382" spans="2:9" hidden="1">
      <c r="B1382" s="156">
        <v>45590</v>
      </c>
      <c r="C1382" s="255" t="s">
        <v>2249</v>
      </c>
      <c r="D1382" s="402">
        <f t="shared" si="109"/>
        <v>859268.61</v>
      </c>
      <c r="E1382" s="376">
        <v>945.29</v>
      </c>
      <c r="F1382" s="401">
        <v>909</v>
      </c>
      <c r="G1382" s="401">
        <f t="shared" si="110"/>
        <v>865.1</v>
      </c>
      <c r="H1382" s="402">
        <f t="shared" si="111"/>
        <v>-72892.709999999963</v>
      </c>
      <c r="I1382" s="402">
        <f t="shared" si="112"/>
        <v>786375.9</v>
      </c>
    </row>
    <row r="1383" spans="2:9" hidden="1">
      <c r="B1383" s="156">
        <v>45590</v>
      </c>
      <c r="C1383" s="255" t="s">
        <v>2250</v>
      </c>
      <c r="D1383" s="402">
        <f t="shared" si="109"/>
        <v>769938.70499999996</v>
      </c>
      <c r="E1383" s="376">
        <v>945.29</v>
      </c>
      <c r="F1383" s="401">
        <v>814.5</v>
      </c>
      <c r="G1383" s="401">
        <f t="shared" si="110"/>
        <v>865.1</v>
      </c>
      <c r="H1383" s="402">
        <f t="shared" si="111"/>
        <v>-65314.754999999888</v>
      </c>
      <c r="I1383" s="402">
        <f t="shared" si="112"/>
        <v>704623.95000000007</v>
      </c>
    </row>
    <row r="1384" spans="2:9" hidden="1">
      <c r="B1384" s="156">
        <v>45590</v>
      </c>
      <c r="C1384" s="255" t="s">
        <v>2251</v>
      </c>
      <c r="D1384" s="402">
        <f t="shared" si="109"/>
        <v>1562847.9569999999</v>
      </c>
      <c r="E1384" s="376">
        <v>945.29</v>
      </c>
      <c r="F1384" s="401">
        <v>1653.3</v>
      </c>
      <c r="G1384" s="401">
        <f t="shared" si="110"/>
        <v>865.1</v>
      </c>
      <c r="H1384" s="402">
        <f t="shared" si="111"/>
        <v>-132578.12699999986</v>
      </c>
      <c r="I1384" s="402">
        <f t="shared" si="112"/>
        <v>1430269.83</v>
      </c>
    </row>
    <row r="1385" spans="2:9" hidden="1">
      <c r="B1385" s="156">
        <v>45590</v>
      </c>
      <c r="C1385" s="255" t="s">
        <v>2252</v>
      </c>
      <c r="D1385" s="402">
        <f t="shared" si="109"/>
        <v>2935125.4499999997</v>
      </c>
      <c r="E1385" s="376">
        <v>945.29</v>
      </c>
      <c r="F1385" s="401">
        <v>3105</v>
      </c>
      <c r="G1385" s="401">
        <f t="shared" si="110"/>
        <v>865.1</v>
      </c>
      <c r="H1385" s="402">
        <f t="shared" si="111"/>
        <v>-248989.94999999972</v>
      </c>
      <c r="I1385" s="402">
        <f t="shared" si="112"/>
        <v>2686135.5</v>
      </c>
    </row>
    <row r="1386" spans="2:9" hidden="1">
      <c r="B1386" s="156">
        <v>45590</v>
      </c>
      <c r="C1386" s="255" t="s">
        <v>2253</v>
      </c>
      <c r="D1386" s="402">
        <f t="shared" si="109"/>
        <v>8539371.7440000009</v>
      </c>
      <c r="E1386" s="376">
        <v>945.29</v>
      </c>
      <c r="F1386" s="401">
        <v>9033.6</v>
      </c>
      <c r="G1386" s="401">
        <f t="shared" si="110"/>
        <v>865.1</v>
      </c>
      <c r="H1386" s="402">
        <f t="shared" si="111"/>
        <v>-724404.38400000054</v>
      </c>
      <c r="I1386" s="402">
        <f t="shared" si="112"/>
        <v>7814967.3600000003</v>
      </c>
    </row>
    <row r="1387" spans="2:9" hidden="1">
      <c r="B1387" s="156">
        <v>45590</v>
      </c>
      <c r="C1387" s="255" t="s">
        <v>2254</v>
      </c>
      <c r="D1387" s="402">
        <f t="shared" si="109"/>
        <v>1564549.4789999998</v>
      </c>
      <c r="E1387" s="376">
        <v>945.29</v>
      </c>
      <c r="F1387" s="401">
        <v>1655.1</v>
      </c>
      <c r="G1387" s="401">
        <f t="shared" si="110"/>
        <v>865.1</v>
      </c>
      <c r="H1387" s="402">
        <f t="shared" si="111"/>
        <v>-132722.46899999981</v>
      </c>
      <c r="I1387" s="402">
        <f t="shared" si="112"/>
        <v>1431827.01</v>
      </c>
    </row>
    <row r="1388" spans="2:9" hidden="1">
      <c r="B1388" s="156">
        <v>45593</v>
      </c>
      <c r="C1388" s="255" t="s">
        <v>2255</v>
      </c>
      <c r="D1388" s="402">
        <f t="shared" si="109"/>
        <v>11429104.26</v>
      </c>
      <c r="E1388" s="376">
        <v>949.34</v>
      </c>
      <c r="F1388" s="401">
        <v>12039</v>
      </c>
      <c r="G1388" s="401">
        <f t="shared" si="110"/>
        <v>865.1</v>
      </c>
      <c r="H1388" s="402">
        <f t="shared" si="111"/>
        <v>-1014165.3599999994</v>
      </c>
      <c r="I1388" s="402">
        <f t="shared" si="112"/>
        <v>10414938.9</v>
      </c>
    </row>
    <row r="1389" spans="2:9" hidden="1">
      <c r="B1389" s="156">
        <v>45593</v>
      </c>
      <c r="C1389" s="255" t="s">
        <v>2256</v>
      </c>
      <c r="D1389" s="402">
        <f t="shared" si="109"/>
        <v>2648373.798</v>
      </c>
      <c r="E1389" s="376">
        <v>949.34</v>
      </c>
      <c r="F1389" s="401">
        <v>2789.7</v>
      </c>
      <c r="G1389" s="401">
        <f t="shared" si="110"/>
        <v>865.1</v>
      </c>
      <c r="H1389" s="402">
        <f t="shared" si="111"/>
        <v>-235004.32800000021</v>
      </c>
      <c r="I1389" s="402">
        <f t="shared" si="112"/>
        <v>2413369.4699999997</v>
      </c>
    </row>
    <row r="1390" spans="2:9" hidden="1">
      <c r="B1390" s="156">
        <v>45596</v>
      </c>
      <c r="C1390" s="255" t="s">
        <v>2257</v>
      </c>
      <c r="D1390" s="402">
        <f t="shared" si="109"/>
        <v>14294729.369999999</v>
      </c>
      <c r="E1390" s="376">
        <v>950.89</v>
      </c>
      <c r="F1390" s="401">
        <v>15033</v>
      </c>
      <c r="G1390" s="401">
        <f t="shared" si="110"/>
        <v>865.1</v>
      </c>
      <c r="H1390" s="402">
        <f t="shared" si="111"/>
        <v>-1289681.0699999984</v>
      </c>
      <c r="I1390" s="402">
        <f t="shared" si="112"/>
        <v>13005048.300000001</v>
      </c>
    </row>
    <row r="1391" spans="2:9" hidden="1">
      <c r="B1391" s="156">
        <v>45596</v>
      </c>
      <c r="C1391" s="255" t="s">
        <v>673</v>
      </c>
      <c r="D1391" s="402">
        <f t="shared" si="109"/>
        <v>-556862396.48819995</v>
      </c>
      <c r="E1391" s="376">
        <v>961.29</v>
      </c>
      <c r="F1391" s="401">
        <v>-579286.57999999996</v>
      </c>
      <c r="G1391" s="401">
        <f t="shared" ref="G1391:G1412" si="113">+G1232</f>
        <v>865.1</v>
      </c>
      <c r="H1391" s="402">
        <f t="shared" si="111"/>
        <v>55721576.130199969</v>
      </c>
      <c r="I1391" s="402">
        <f>+F1391*G1391</f>
        <v>-501140820.35799998</v>
      </c>
    </row>
    <row r="1392" spans="2:9" hidden="1">
      <c r="B1392" s="156">
        <v>45597</v>
      </c>
      <c r="C1392" s="255" t="s">
        <v>2271</v>
      </c>
      <c r="D1392" s="402">
        <f t="shared" si="109"/>
        <v>15343918.721999999</v>
      </c>
      <c r="E1392" s="376">
        <v>961.29</v>
      </c>
      <c r="F1392" s="401">
        <v>15961.8</v>
      </c>
      <c r="G1392" s="401">
        <f t="shared" si="113"/>
        <v>865.1</v>
      </c>
      <c r="H1392" s="402">
        <f t="shared" ref="H1392:H1435" si="114">+I1392-D1392</f>
        <v>-1535365.5419999994</v>
      </c>
      <c r="I1392" s="402">
        <f t="shared" ref="I1392:I1435" si="115">+F1392*G1392</f>
        <v>13808553.18</v>
      </c>
    </row>
    <row r="1393" spans="2:9" hidden="1">
      <c r="B1393" s="156">
        <v>45601</v>
      </c>
      <c r="C1393" s="255" t="s">
        <v>2272</v>
      </c>
      <c r="D1393" s="402">
        <f t="shared" si="109"/>
        <v>959313.9659999999</v>
      </c>
      <c r="E1393" s="376">
        <v>956.54</v>
      </c>
      <c r="F1393" s="401">
        <v>1002.9</v>
      </c>
      <c r="G1393" s="401">
        <f t="shared" si="113"/>
        <v>865.1</v>
      </c>
      <c r="H1393" s="402">
        <f t="shared" si="114"/>
        <v>-91705.175999999861</v>
      </c>
      <c r="I1393" s="402">
        <f t="shared" si="115"/>
        <v>867608.79</v>
      </c>
    </row>
    <row r="1394" spans="2:9" hidden="1">
      <c r="B1394" s="156">
        <v>45601</v>
      </c>
      <c r="C1394" s="255" t="s">
        <v>2273</v>
      </c>
      <c r="D1394" s="402">
        <f t="shared" si="109"/>
        <v>43331835.923999995</v>
      </c>
      <c r="E1394" s="376">
        <v>956.54</v>
      </c>
      <c r="F1394" s="401">
        <v>45300.6</v>
      </c>
      <c r="G1394" s="401">
        <f t="shared" si="113"/>
        <v>865.1</v>
      </c>
      <c r="H1394" s="402">
        <f t="shared" si="114"/>
        <v>-4142286.8639999926</v>
      </c>
      <c r="I1394" s="402">
        <f t="shared" si="115"/>
        <v>39189549.060000002</v>
      </c>
    </row>
    <row r="1395" spans="2:9" hidden="1">
      <c r="B1395" s="156">
        <v>45605</v>
      </c>
      <c r="C1395" s="255" t="s">
        <v>2274</v>
      </c>
      <c r="D1395" s="402">
        <f t="shared" si="109"/>
        <v>299561.84999999998</v>
      </c>
      <c r="E1395" s="376">
        <v>950.99</v>
      </c>
      <c r="F1395" s="401">
        <v>315</v>
      </c>
      <c r="G1395" s="401">
        <f t="shared" si="113"/>
        <v>865.1</v>
      </c>
      <c r="H1395" s="402">
        <f t="shared" si="114"/>
        <v>-27055.349999999977</v>
      </c>
      <c r="I1395" s="402">
        <f t="shared" si="115"/>
        <v>272506.5</v>
      </c>
    </row>
    <row r="1396" spans="2:9" hidden="1">
      <c r="B1396" s="156">
        <v>45610</v>
      </c>
      <c r="C1396" s="255" t="s">
        <v>2275</v>
      </c>
      <c r="D1396" s="402">
        <f t="shared" si="109"/>
        <v>4549173.3839999996</v>
      </c>
      <c r="E1396" s="376">
        <v>981.61</v>
      </c>
      <c r="F1396" s="401">
        <v>4634.3999999999996</v>
      </c>
      <c r="G1396" s="401">
        <f t="shared" si="113"/>
        <v>865.1</v>
      </c>
      <c r="H1396" s="402">
        <f t="shared" si="114"/>
        <v>-539953.94399999967</v>
      </c>
      <c r="I1396" s="402">
        <f t="shared" si="115"/>
        <v>4009219.44</v>
      </c>
    </row>
    <row r="1397" spans="2:9" hidden="1">
      <c r="B1397" s="156">
        <v>45616</v>
      </c>
      <c r="C1397" s="255" t="s">
        <v>2276</v>
      </c>
      <c r="D1397" s="402">
        <f t="shared" si="109"/>
        <v>66134096.26600001</v>
      </c>
      <c r="E1397" s="376">
        <v>973.21</v>
      </c>
      <c r="F1397" s="401">
        <v>67954.600000000006</v>
      </c>
      <c r="G1397" s="401">
        <f t="shared" si="113"/>
        <v>865.1</v>
      </c>
      <c r="H1397" s="402">
        <f t="shared" si="114"/>
        <v>-7346571.8060000017</v>
      </c>
      <c r="I1397" s="402">
        <f t="shared" si="115"/>
        <v>58787524.460000008</v>
      </c>
    </row>
    <row r="1398" spans="2:9" hidden="1">
      <c r="B1398" s="156">
        <v>45622</v>
      </c>
      <c r="C1398" s="255" t="s">
        <v>2277</v>
      </c>
      <c r="D1398" s="402">
        <f t="shared" si="109"/>
        <v>409707.66599999997</v>
      </c>
      <c r="E1398" s="376">
        <v>976.89</v>
      </c>
      <c r="F1398" s="401">
        <v>419.4</v>
      </c>
      <c r="G1398" s="401">
        <f t="shared" si="113"/>
        <v>865.1</v>
      </c>
      <c r="H1398" s="402">
        <f t="shared" si="114"/>
        <v>-46884.725999999966</v>
      </c>
      <c r="I1398" s="402">
        <f t="shared" si="115"/>
        <v>362822.94</v>
      </c>
    </row>
    <row r="1399" spans="2:9" hidden="1">
      <c r="B1399" s="156">
        <v>45622</v>
      </c>
      <c r="C1399" s="255" t="s">
        <v>2278</v>
      </c>
      <c r="D1399" s="402">
        <f t="shared" si="109"/>
        <v>956570.68800000008</v>
      </c>
      <c r="E1399" s="376">
        <v>976.89</v>
      </c>
      <c r="F1399" s="401">
        <v>979.2</v>
      </c>
      <c r="G1399" s="401">
        <f t="shared" si="113"/>
        <v>865.1</v>
      </c>
      <c r="H1399" s="402">
        <f t="shared" si="114"/>
        <v>-109464.76800000004</v>
      </c>
      <c r="I1399" s="402">
        <f t="shared" si="115"/>
        <v>847105.92</v>
      </c>
    </row>
    <row r="1400" spans="2:9" hidden="1">
      <c r="B1400" s="156">
        <v>45622</v>
      </c>
      <c r="C1400" s="255" t="s">
        <v>2279</v>
      </c>
      <c r="D1400" s="402">
        <f t="shared" si="109"/>
        <v>1195713.3599999999</v>
      </c>
      <c r="E1400" s="376">
        <v>976.89</v>
      </c>
      <c r="F1400" s="401">
        <v>1224</v>
      </c>
      <c r="G1400" s="401">
        <f t="shared" si="113"/>
        <v>865.1</v>
      </c>
      <c r="H1400" s="402">
        <f t="shared" si="114"/>
        <v>-136830.95999999973</v>
      </c>
      <c r="I1400" s="402">
        <f t="shared" si="115"/>
        <v>1058882.4000000001</v>
      </c>
    </row>
    <row r="1401" spans="2:9" hidden="1">
      <c r="B1401" s="156">
        <v>45622</v>
      </c>
      <c r="C1401" s="255" t="s">
        <v>2280</v>
      </c>
      <c r="D1401" s="402">
        <f t="shared" si="109"/>
        <v>956570.68800000008</v>
      </c>
      <c r="E1401" s="376">
        <v>976.89</v>
      </c>
      <c r="F1401" s="401">
        <v>979.2</v>
      </c>
      <c r="G1401" s="401">
        <f t="shared" si="113"/>
        <v>865.1</v>
      </c>
      <c r="H1401" s="402">
        <f t="shared" si="114"/>
        <v>-109464.76800000004</v>
      </c>
      <c r="I1401" s="402">
        <f t="shared" si="115"/>
        <v>847105.92</v>
      </c>
    </row>
    <row r="1402" spans="2:9" hidden="1">
      <c r="B1402" s="156">
        <v>45622</v>
      </c>
      <c r="C1402" s="255" t="s">
        <v>2281</v>
      </c>
      <c r="D1402" s="402">
        <f t="shared" si="109"/>
        <v>1195713.3599999999</v>
      </c>
      <c r="E1402" s="376">
        <v>976.89</v>
      </c>
      <c r="F1402" s="401">
        <v>1224</v>
      </c>
      <c r="G1402" s="401">
        <f t="shared" si="113"/>
        <v>865.1</v>
      </c>
      <c r="H1402" s="402">
        <f t="shared" si="114"/>
        <v>-136830.95999999973</v>
      </c>
      <c r="I1402" s="402">
        <f t="shared" si="115"/>
        <v>1058882.4000000001</v>
      </c>
    </row>
    <row r="1403" spans="2:9" hidden="1">
      <c r="B1403" s="156">
        <v>45622</v>
      </c>
      <c r="C1403" s="255" t="s">
        <v>2282</v>
      </c>
      <c r="D1403" s="402">
        <f t="shared" si="109"/>
        <v>956570.68800000008</v>
      </c>
      <c r="E1403" s="376">
        <v>976.89</v>
      </c>
      <c r="F1403" s="401">
        <v>979.2</v>
      </c>
      <c r="G1403" s="401">
        <f t="shared" si="113"/>
        <v>865.1</v>
      </c>
      <c r="H1403" s="402">
        <f t="shared" si="114"/>
        <v>-109464.76800000004</v>
      </c>
      <c r="I1403" s="402">
        <f t="shared" si="115"/>
        <v>847105.92</v>
      </c>
    </row>
    <row r="1404" spans="2:9" hidden="1">
      <c r="B1404" s="156">
        <v>45622</v>
      </c>
      <c r="C1404" s="255" t="s">
        <v>2283</v>
      </c>
      <c r="D1404" s="402">
        <f t="shared" si="109"/>
        <v>956570.68800000008</v>
      </c>
      <c r="E1404" s="376">
        <v>976.89</v>
      </c>
      <c r="F1404" s="401">
        <v>979.2</v>
      </c>
      <c r="G1404" s="401">
        <f t="shared" si="113"/>
        <v>865.1</v>
      </c>
      <c r="H1404" s="402">
        <f t="shared" si="114"/>
        <v>-109464.76800000004</v>
      </c>
      <c r="I1404" s="402">
        <f t="shared" si="115"/>
        <v>847105.92</v>
      </c>
    </row>
    <row r="1405" spans="2:9" hidden="1">
      <c r="B1405" s="156">
        <v>45622</v>
      </c>
      <c r="C1405" s="255" t="s">
        <v>2284</v>
      </c>
      <c r="D1405" s="402">
        <f t="shared" si="109"/>
        <v>3157308.48</v>
      </c>
      <c r="E1405" s="376">
        <v>976.89</v>
      </c>
      <c r="F1405" s="401">
        <v>3232</v>
      </c>
      <c r="G1405" s="401">
        <f t="shared" si="113"/>
        <v>865.1</v>
      </c>
      <c r="H1405" s="402">
        <f t="shared" si="114"/>
        <v>-361305.2799999998</v>
      </c>
      <c r="I1405" s="402">
        <f t="shared" si="115"/>
        <v>2796003.2</v>
      </c>
    </row>
    <row r="1406" spans="2:9" hidden="1">
      <c r="B1406" s="156">
        <v>45622</v>
      </c>
      <c r="C1406" s="255" t="s">
        <v>2285</v>
      </c>
      <c r="D1406" s="402">
        <f t="shared" si="109"/>
        <v>851848.08</v>
      </c>
      <c r="E1406" s="376">
        <v>976.89</v>
      </c>
      <c r="F1406" s="401">
        <v>872</v>
      </c>
      <c r="G1406" s="401">
        <f t="shared" si="113"/>
        <v>865.1</v>
      </c>
      <c r="H1406" s="402">
        <f t="shared" si="114"/>
        <v>-97480.879999999888</v>
      </c>
      <c r="I1406" s="402">
        <f t="shared" si="115"/>
        <v>754367.20000000007</v>
      </c>
    </row>
    <row r="1407" spans="2:9" hidden="1">
      <c r="B1407" s="156">
        <v>45622</v>
      </c>
      <c r="C1407" s="255" t="s">
        <v>2286</v>
      </c>
      <c r="D1407" s="402">
        <f t="shared" si="109"/>
        <v>1064810.1000000001</v>
      </c>
      <c r="E1407" s="376">
        <v>976.89</v>
      </c>
      <c r="F1407" s="401">
        <v>1090</v>
      </c>
      <c r="G1407" s="401">
        <f t="shared" si="113"/>
        <v>865.1</v>
      </c>
      <c r="H1407" s="402">
        <f t="shared" si="114"/>
        <v>-121851.10000000009</v>
      </c>
      <c r="I1407" s="402">
        <f t="shared" si="115"/>
        <v>942959</v>
      </c>
    </row>
    <row r="1408" spans="2:9" hidden="1">
      <c r="B1408" s="156">
        <v>45622</v>
      </c>
      <c r="C1408" s="255" t="s">
        <v>2287</v>
      </c>
      <c r="D1408" s="402">
        <f t="shared" si="109"/>
        <v>690758.91899999999</v>
      </c>
      <c r="E1408" s="376">
        <v>976.89</v>
      </c>
      <c r="F1408" s="401">
        <v>707.1</v>
      </c>
      <c r="G1408" s="401">
        <f t="shared" si="113"/>
        <v>865.1</v>
      </c>
      <c r="H1408" s="402">
        <f t="shared" si="114"/>
        <v>-79046.708999999915</v>
      </c>
      <c r="I1408" s="402">
        <f t="shared" si="115"/>
        <v>611712.21000000008</v>
      </c>
    </row>
    <row r="1409" spans="2:9" hidden="1">
      <c r="B1409" s="156">
        <v>45622</v>
      </c>
      <c r="C1409" s="255" t="s">
        <v>2288</v>
      </c>
      <c r="D1409" s="402">
        <f t="shared" si="109"/>
        <v>851848.08</v>
      </c>
      <c r="E1409" s="376">
        <v>976.89</v>
      </c>
      <c r="F1409" s="401">
        <v>872</v>
      </c>
      <c r="G1409" s="401">
        <f t="shared" si="113"/>
        <v>865.1</v>
      </c>
      <c r="H1409" s="402">
        <f t="shared" si="114"/>
        <v>-97480.879999999888</v>
      </c>
      <c r="I1409" s="402">
        <f t="shared" si="115"/>
        <v>754367.20000000007</v>
      </c>
    </row>
    <row r="1410" spans="2:9" hidden="1">
      <c r="B1410" s="156">
        <v>45622</v>
      </c>
      <c r="C1410" s="255" t="s">
        <v>2289</v>
      </c>
      <c r="D1410" s="402">
        <f t="shared" si="109"/>
        <v>6149717.9279999994</v>
      </c>
      <c r="E1410" s="376">
        <v>976.89</v>
      </c>
      <c r="F1410" s="401">
        <v>6295.2</v>
      </c>
      <c r="G1410" s="401">
        <f t="shared" si="113"/>
        <v>865.1</v>
      </c>
      <c r="H1410" s="402">
        <f t="shared" si="114"/>
        <v>-703740.40799999982</v>
      </c>
      <c r="I1410" s="402">
        <f t="shared" si="115"/>
        <v>5445977.5199999996</v>
      </c>
    </row>
    <row r="1411" spans="2:9" hidden="1">
      <c r="B1411" s="156">
        <v>45622</v>
      </c>
      <c r="C1411" s="255" t="s">
        <v>2290</v>
      </c>
      <c r="D1411" s="402">
        <f t="shared" si="109"/>
        <v>6183127.5659999996</v>
      </c>
      <c r="E1411" s="376">
        <v>976.89</v>
      </c>
      <c r="F1411" s="401">
        <v>6329.4</v>
      </c>
      <c r="G1411" s="401">
        <f t="shared" si="113"/>
        <v>865.1</v>
      </c>
      <c r="H1411" s="402">
        <f t="shared" si="114"/>
        <v>-707563.62600000016</v>
      </c>
      <c r="I1411" s="402">
        <f t="shared" si="115"/>
        <v>5475563.9399999995</v>
      </c>
    </row>
    <row r="1412" spans="2:9" hidden="1">
      <c r="B1412" s="156">
        <v>45622</v>
      </c>
      <c r="C1412" s="255" t="s">
        <v>2291</v>
      </c>
      <c r="D1412" s="402">
        <f t="shared" si="109"/>
        <v>4096490.5259999996</v>
      </c>
      <c r="E1412" s="376">
        <v>976.89</v>
      </c>
      <c r="F1412" s="401">
        <v>4193.3999999999996</v>
      </c>
      <c r="G1412" s="401">
        <f t="shared" si="113"/>
        <v>865.1</v>
      </c>
      <c r="H1412" s="402">
        <f t="shared" si="114"/>
        <v>-468780.18599999975</v>
      </c>
      <c r="I1412" s="402">
        <f t="shared" si="115"/>
        <v>3627710.34</v>
      </c>
    </row>
    <row r="1413" spans="2:9" hidden="1">
      <c r="B1413" s="156">
        <v>45622</v>
      </c>
      <c r="C1413" s="255" t="s">
        <v>2292</v>
      </c>
      <c r="D1413" s="402">
        <f t="shared" si="109"/>
        <v>851848.08</v>
      </c>
      <c r="E1413" s="376">
        <v>976.89</v>
      </c>
      <c r="F1413" s="401">
        <v>872</v>
      </c>
      <c r="G1413" s="401">
        <f t="shared" ref="G1413:G1436" si="116">+G1255</f>
        <v>865.1</v>
      </c>
      <c r="H1413" s="402">
        <f t="shared" si="114"/>
        <v>-97480.879999999888</v>
      </c>
      <c r="I1413" s="402">
        <f t="shared" si="115"/>
        <v>754367.20000000007</v>
      </c>
    </row>
    <row r="1414" spans="2:9" hidden="1">
      <c r="B1414" s="156">
        <v>45622</v>
      </c>
      <c r="C1414" s="255" t="s">
        <v>2293</v>
      </c>
      <c r="D1414" s="402">
        <f t="shared" si="109"/>
        <v>851848.08</v>
      </c>
      <c r="E1414" s="376">
        <v>976.89</v>
      </c>
      <c r="F1414" s="401">
        <v>872</v>
      </c>
      <c r="G1414" s="401">
        <f t="shared" si="116"/>
        <v>865.1</v>
      </c>
      <c r="H1414" s="402">
        <f t="shared" si="114"/>
        <v>-97480.879999999888</v>
      </c>
      <c r="I1414" s="402">
        <f t="shared" si="115"/>
        <v>754367.20000000007</v>
      </c>
    </row>
    <row r="1415" spans="2:9" hidden="1">
      <c r="B1415" s="156">
        <v>45623</v>
      </c>
      <c r="C1415" s="255" t="s">
        <v>2294</v>
      </c>
      <c r="D1415" s="402">
        <f t="shared" si="109"/>
        <v>29969346.653999999</v>
      </c>
      <c r="E1415" s="376">
        <v>975.06</v>
      </c>
      <c r="F1415" s="401">
        <v>30735.9</v>
      </c>
      <c r="G1415" s="401">
        <f t="shared" si="116"/>
        <v>865.1</v>
      </c>
      <c r="H1415" s="402">
        <f t="shared" si="114"/>
        <v>-3379719.5639999956</v>
      </c>
      <c r="I1415" s="402">
        <f t="shared" si="115"/>
        <v>26589627.090000004</v>
      </c>
    </row>
    <row r="1416" spans="2:9" hidden="1">
      <c r="B1416" s="156">
        <v>45624</v>
      </c>
      <c r="C1416" s="255" t="s">
        <v>2295</v>
      </c>
      <c r="D1416" s="402">
        <f t="shared" si="109"/>
        <v>461173.848</v>
      </c>
      <c r="E1416" s="376">
        <v>975.41</v>
      </c>
      <c r="F1416" s="401">
        <v>472.8</v>
      </c>
      <c r="G1416" s="401">
        <f t="shared" si="116"/>
        <v>865.1</v>
      </c>
      <c r="H1416" s="402">
        <f t="shared" si="114"/>
        <v>-52154.56799999997</v>
      </c>
      <c r="I1416" s="402">
        <f t="shared" si="115"/>
        <v>409019.28</v>
      </c>
    </row>
    <row r="1417" spans="2:9" hidden="1">
      <c r="B1417" s="156">
        <v>45624</v>
      </c>
      <c r="C1417" s="255" t="s">
        <v>2296</v>
      </c>
      <c r="D1417" s="402">
        <f t="shared" si="109"/>
        <v>708147.66</v>
      </c>
      <c r="E1417" s="376">
        <v>975.41</v>
      </c>
      <c r="F1417" s="401">
        <v>726</v>
      </c>
      <c r="G1417" s="401">
        <f t="shared" si="116"/>
        <v>865.1</v>
      </c>
      <c r="H1417" s="402">
        <f t="shared" si="114"/>
        <v>-80085.060000000056</v>
      </c>
      <c r="I1417" s="402">
        <f t="shared" si="115"/>
        <v>628062.6</v>
      </c>
    </row>
    <row r="1418" spans="2:9" hidden="1">
      <c r="B1418" s="156">
        <v>45624</v>
      </c>
      <c r="C1418" s="255" t="s">
        <v>2297</v>
      </c>
      <c r="D1418" s="402">
        <f t="shared" si="109"/>
        <v>1193901.8399999999</v>
      </c>
      <c r="E1418" s="376">
        <v>975.41</v>
      </c>
      <c r="F1418" s="401">
        <v>1224</v>
      </c>
      <c r="G1418" s="401">
        <f t="shared" si="116"/>
        <v>865.1</v>
      </c>
      <c r="H1418" s="402">
        <f t="shared" si="114"/>
        <v>-135019.43999999971</v>
      </c>
      <c r="I1418" s="402">
        <f t="shared" si="115"/>
        <v>1058882.4000000001</v>
      </c>
    </row>
    <row r="1419" spans="2:9" hidden="1">
      <c r="B1419" s="156">
        <v>45624</v>
      </c>
      <c r="C1419" s="255" t="s">
        <v>2298</v>
      </c>
      <c r="D1419" s="402">
        <f t="shared" si="109"/>
        <v>1193901.8399999999</v>
      </c>
      <c r="E1419" s="376">
        <v>975.41</v>
      </c>
      <c r="F1419" s="401">
        <v>1224</v>
      </c>
      <c r="G1419" s="401">
        <f t="shared" si="116"/>
        <v>865.1</v>
      </c>
      <c r="H1419" s="402">
        <f t="shared" si="114"/>
        <v>-135019.43999999971</v>
      </c>
      <c r="I1419" s="402">
        <f t="shared" si="115"/>
        <v>1058882.4000000001</v>
      </c>
    </row>
    <row r="1420" spans="2:9" hidden="1">
      <c r="B1420" s="156">
        <v>45624</v>
      </c>
      <c r="C1420" s="255" t="s">
        <v>2299</v>
      </c>
      <c r="D1420" s="402">
        <f t="shared" si="109"/>
        <v>4091747.4089999995</v>
      </c>
      <c r="E1420" s="376">
        <v>975.41</v>
      </c>
      <c r="F1420" s="401">
        <v>4194.8999999999996</v>
      </c>
      <c r="G1420" s="401">
        <f t="shared" si="116"/>
        <v>865.1</v>
      </c>
      <c r="H1420" s="402">
        <f t="shared" si="114"/>
        <v>-462739.41899999976</v>
      </c>
      <c r="I1420" s="402">
        <f t="shared" si="115"/>
        <v>3629007.9899999998</v>
      </c>
    </row>
    <row r="1421" spans="2:9" hidden="1">
      <c r="B1421" s="156">
        <v>45624</v>
      </c>
      <c r="C1421" s="255" t="s">
        <v>2300</v>
      </c>
      <c r="D1421" s="402">
        <f t="shared" si="109"/>
        <v>632455.84399999992</v>
      </c>
      <c r="E1421" s="376">
        <v>975.41</v>
      </c>
      <c r="F1421" s="401">
        <v>648.4</v>
      </c>
      <c r="G1421" s="401">
        <f t="shared" si="116"/>
        <v>865.1</v>
      </c>
      <c r="H1421" s="402">
        <f t="shared" si="114"/>
        <v>-71525.003999999957</v>
      </c>
      <c r="I1421" s="402">
        <f t="shared" si="115"/>
        <v>560930.84</v>
      </c>
    </row>
    <row r="1422" spans="2:9" hidden="1">
      <c r="B1422" s="156">
        <v>45624</v>
      </c>
      <c r="C1422" s="255" t="s">
        <v>2301</v>
      </c>
      <c r="D1422" s="402">
        <f t="shared" si="109"/>
        <v>850557.52</v>
      </c>
      <c r="E1422" s="376">
        <v>975.41</v>
      </c>
      <c r="F1422" s="401">
        <v>872</v>
      </c>
      <c r="G1422" s="401">
        <f t="shared" si="116"/>
        <v>865.1</v>
      </c>
      <c r="H1422" s="402">
        <f t="shared" si="114"/>
        <v>-96190.319999999949</v>
      </c>
      <c r="I1422" s="402">
        <f t="shared" si="115"/>
        <v>754367.20000000007</v>
      </c>
    </row>
    <row r="1423" spans="2:9" hidden="1">
      <c r="B1423" s="156">
        <v>45624</v>
      </c>
      <c r="C1423" s="255" t="s">
        <v>2302</v>
      </c>
      <c r="D1423" s="402">
        <f t="shared" si="109"/>
        <v>850557.52</v>
      </c>
      <c r="E1423" s="376">
        <v>975.41</v>
      </c>
      <c r="F1423" s="401">
        <v>872</v>
      </c>
      <c r="G1423" s="401">
        <f t="shared" si="116"/>
        <v>865.1</v>
      </c>
      <c r="H1423" s="402">
        <f t="shared" si="114"/>
        <v>-96190.319999999949</v>
      </c>
      <c r="I1423" s="402">
        <f t="shared" si="115"/>
        <v>754367.20000000007</v>
      </c>
    </row>
    <row r="1424" spans="2:9" hidden="1">
      <c r="B1424" s="156">
        <v>45624</v>
      </c>
      <c r="C1424" s="255" t="s">
        <v>2303</v>
      </c>
      <c r="D1424" s="402">
        <f t="shared" si="109"/>
        <v>850557.52</v>
      </c>
      <c r="E1424" s="376">
        <v>975.41</v>
      </c>
      <c r="F1424" s="401">
        <v>872</v>
      </c>
      <c r="G1424" s="401">
        <f t="shared" si="116"/>
        <v>865.1</v>
      </c>
      <c r="H1424" s="402">
        <f t="shared" si="114"/>
        <v>-96190.319999999949</v>
      </c>
      <c r="I1424" s="402">
        <f t="shared" si="115"/>
        <v>754367.20000000007</v>
      </c>
    </row>
    <row r="1425" spans="2:9" hidden="1">
      <c r="B1425" s="156">
        <v>45624</v>
      </c>
      <c r="C1425" s="255" t="s">
        <v>2304</v>
      </c>
      <c r="D1425" s="402">
        <f t="shared" si="109"/>
        <v>1692238.8090000001</v>
      </c>
      <c r="E1425" s="376">
        <v>975.41</v>
      </c>
      <c r="F1425" s="401">
        <v>1734.9</v>
      </c>
      <c r="G1425" s="401">
        <f t="shared" si="116"/>
        <v>865.1</v>
      </c>
      <c r="H1425" s="402">
        <f t="shared" si="114"/>
        <v>-191376.8189999999</v>
      </c>
      <c r="I1425" s="402">
        <f t="shared" si="115"/>
        <v>1500861.9900000002</v>
      </c>
    </row>
    <row r="1426" spans="2:9" hidden="1">
      <c r="B1426" s="156">
        <v>45624</v>
      </c>
      <c r="C1426" s="255" t="s">
        <v>2305</v>
      </c>
      <c r="D1426" s="402">
        <f t="shared" si="109"/>
        <v>1125135.4350000001</v>
      </c>
      <c r="E1426" s="376">
        <v>975.41</v>
      </c>
      <c r="F1426" s="401">
        <v>1153.5</v>
      </c>
      <c r="G1426" s="401">
        <f t="shared" si="116"/>
        <v>865.1</v>
      </c>
      <c r="H1426" s="402">
        <f t="shared" si="114"/>
        <v>-127242.58500000008</v>
      </c>
      <c r="I1426" s="402">
        <f t="shared" si="115"/>
        <v>997892.85</v>
      </c>
    </row>
    <row r="1427" spans="2:9" hidden="1">
      <c r="B1427" s="156">
        <v>45624</v>
      </c>
      <c r="C1427" s="255" t="s">
        <v>2306</v>
      </c>
      <c r="D1427" s="402">
        <f t="shared" si="109"/>
        <v>10244341.066</v>
      </c>
      <c r="E1427" s="376">
        <v>975.41</v>
      </c>
      <c r="F1427" s="401">
        <v>10502.6</v>
      </c>
      <c r="G1427" s="401">
        <f t="shared" si="116"/>
        <v>865.1</v>
      </c>
      <c r="H1427" s="402">
        <f t="shared" si="114"/>
        <v>-1158541.8059999999</v>
      </c>
      <c r="I1427" s="402">
        <f t="shared" si="115"/>
        <v>9085799.2599999998</v>
      </c>
    </row>
    <row r="1428" spans="2:9" hidden="1">
      <c r="B1428" s="156">
        <v>45624</v>
      </c>
      <c r="C1428" s="255" t="s">
        <v>2307</v>
      </c>
      <c r="D1428" s="402">
        <f t="shared" si="109"/>
        <v>7061578.2360000005</v>
      </c>
      <c r="E1428" s="376">
        <v>975.41</v>
      </c>
      <c r="F1428" s="401">
        <v>7239.6</v>
      </c>
      <c r="G1428" s="401">
        <f t="shared" si="116"/>
        <v>865.1</v>
      </c>
      <c r="H1428" s="402">
        <f t="shared" si="114"/>
        <v>-798600.27599999961</v>
      </c>
      <c r="I1428" s="402">
        <f t="shared" si="115"/>
        <v>6262977.9600000009</v>
      </c>
    </row>
    <row r="1429" spans="2:9" hidden="1">
      <c r="B1429" s="156">
        <v>45625</v>
      </c>
      <c r="C1429" s="255" t="s">
        <v>2308</v>
      </c>
      <c r="D1429" s="402">
        <f t="shared" si="109"/>
        <v>13570870.056</v>
      </c>
      <c r="E1429" s="376">
        <v>977.32</v>
      </c>
      <c r="F1429" s="401">
        <v>13885.8</v>
      </c>
      <c r="G1429" s="401">
        <f t="shared" si="116"/>
        <v>865.1</v>
      </c>
      <c r="H1429" s="402">
        <f t="shared" si="114"/>
        <v>-1558264.4759999998</v>
      </c>
      <c r="I1429" s="402">
        <f t="shared" si="115"/>
        <v>12012605.58</v>
      </c>
    </row>
    <row r="1430" spans="2:9" hidden="1">
      <c r="B1430" s="156">
        <v>45625</v>
      </c>
      <c r="C1430" s="255" t="s">
        <v>2309</v>
      </c>
      <c r="D1430" s="402">
        <f t="shared" si="109"/>
        <v>1996664.76</v>
      </c>
      <c r="E1430" s="376">
        <v>977.32</v>
      </c>
      <c r="F1430" s="401">
        <v>2043</v>
      </c>
      <c r="G1430" s="401">
        <f t="shared" si="116"/>
        <v>865.1</v>
      </c>
      <c r="H1430" s="402">
        <f t="shared" si="114"/>
        <v>-229265.45999999996</v>
      </c>
      <c r="I1430" s="402">
        <f t="shared" si="115"/>
        <v>1767399.3</v>
      </c>
    </row>
    <row r="1431" spans="2:9" hidden="1">
      <c r="B1431" s="156">
        <v>45625</v>
      </c>
      <c r="C1431" s="255" t="s">
        <v>2310</v>
      </c>
      <c r="D1431" s="402">
        <f t="shared" si="109"/>
        <v>1671217.2000000002</v>
      </c>
      <c r="E1431" s="376">
        <v>977.32</v>
      </c>
      <c r="F1431" s="401">
        <v>1710</v>
      </c>
      <c r="G1431" s="401">
        <f t="shared" si="116"/>
        <v>865.1</v>
      </c>
      <c r="H1431" s="402">
        <f t="shared" si="114"/>
        <v>-191896.20000000019</v>
      </c>
      <c r="I1431" s="402">
        <f t="shared" si="115"/>
        <v>1479321</v>
      </c>
    </row>
    <row r="1432" spans="2:9" hidden="1">
      <c r="B1432" s="156">
        <v>45625</v>
      </c>
      <c r="C1432" s="255" t="s">
        <v>2311</v>
      </c>
      <c r="D1432" s="402">
        <f t="shared" si="109"/>
        <v>8030638.4400000004</v>
      </c>
      <c r="E1432" s="376">
        <v>977.32</v>
      </c>
      <c r="F1432" s="401">
        <v>8217</v>
      </c>
      <c r="G1432" s="401">
        <f t="shared" si="116"/>
        <v>865.1</v>
      </c>
      <c r="H1432" s="402">
        <f t="shared" si="114"/>
        <v>-922111.74000000022</v>
      </c>
      <c r="I1432" s="402">
        <f t="shared" si="115"/>
        <v>7108526.7000000002</v>
      </c>
    </row>
    <row r="1433" spans="2:9" hidden="1">
      <c r="B1433" s="156">
        <v>45625</v>
      </c>
      <c r="C1433" s="255" t="s">
        <v>2312</v>
      </c>
      <c r="D1433" s="402">
        <f t="shared" si="109"/>
        <v>6050627.2127999999</v>
      </c>
      <c r="E1433" s="376">
        <v>977.32</v>
      </c>
      <c r="F1433" s="401">
        <v>6191.04</v>
      </c>
      <c r="G1433" s="401">
        <f t="shared" si="116"/>
        <v>865.1</v>
      </c>
      <c r="H1433" s="402">
        <f t="shared" si="114"/>
        <v>-694758.50879999995</v>
      </c>
      <c r="I1433" s="402">
        <f t="shared" si="115"/>
        <v>5355868.7039999999</v>
      </c>
    </row>
    <row r="1434" spans="2:9" hidden="1">
      <c r="B1434" s="156">
        <v>45625</v>
      </c>
      <c r="C1434" s="255" t="s">
        <v>2313</v>
      </c>
      <c r="D1434" s="402">
        <f t="shared" si="109"/>
        <v>10510197.012</v>
      </c>
      <c r="E1434" s="376">
        <v>977.32</v>
      </c>
      <c r="F1434" s="401">
        <v>10754.1</v>
      </c>
      <c r="G1434" s="401">
        <f t="shared" si="116"/>
        <v>865.1</v>
      </c>
      <c r="H1434" s="402">
        <f t="shared" si="114"/>
        <v>-1206825.102</v>
      </c>
      <c r="I1434" s="402">
        <f t="shared" si="115"/>
        <v>9303371.9100000001</v>
      </c>
    </row>
    <row r="1435" spans="2:9" hidden="1">
      <c r="B1435" s="156">
        <v>45625</v>
      </c>
      <c r="C1435" s="255" t="s">
        <v>2314</v>
      </c>
      <c r="D1435" s="402">
        <f t="shared" si="109"/>
        <v>2879771.1120000002</v>
      </c>
      <c r="E1435" s="376">
        <v>977.32</v>
      </c>
      <c r="F1435" s="401">
        <v>2946.6</v>
      </c>
      <c r="G1435" s="401">
        <f t="shared" si="116"/>
        <v>865.1</v>
      </c>
      <c r="H1435" s="402">
        <f t="shared" si="114"/>
        <v>-330667.45200000005</v>
      </c>
      <c r="I1435" s="402">
        <f t="shared" si="115"/>
        <v>2549103.66</v>
      </c>
    </row>
    <row r="1436" spans="2:9" hidden="1">
      <c r="B1436" s="156">
        <v>45601</v>
      </c>
      <c r="C1436" s="255" t="s">
        <v>2315</v>
      </c>
      <c r="D1436" s="402">
        <f t="shared" si="109"/>
        <v>6487117.1050000004</v>
      </c>
      <c r="E1436" s="376">
        <v>881.3</v>
      </c>
      <c r="F1436" s="401">
        <v>7360.85</v>
      </c>
      <c r="G1436" s="401">
        <f t="shared" si="116"/>
        <v>865.1</v>
      </c>
      <c r="H1436" s="402">
        <f>+I1436-D1436</f>
        <v>-119245.76999999955</v>
      </c>
      <c r="I1436" s="402">
        <f>+F1436*G1436</f>
        <v>6367871.3350000009</v>
      </c>
    </row>
    <row r="1437" spans="2:9" hidden="1">
      <c r="B1437" s="156">
        <v>45626</v>
      </c>
      <c r="C1437" s="255" t="s">
        <v>673</v>
      </c>
      <c r="D1437" s="402">
        <f t="shared" si="109"/>
        <v>35514745.999879785</v>
      </c>
      <c r="E1437" s="376">
        <v>977.66</v>
      </c>
      <c r="F1437" s="401">
        <v>36326.274983000003</v>
      </c>
      <c r="G1437" s="401">
        <f>+G1289</f>
        <v>865.1</v>
      </c>
      <c r="H1437" s="402">
        <f>+I1437-D1437</f>
        <v>-4088885.5120864809</v>
      </c>
      <c r="I1437" s="402">
        <f>+F1437*G1437</f>
        <v>31425860.487793304</v>
      </c>
    </row>
    <row r="1438" spans="2:9" hidden="1">
      <c r="B1438" s="156">
        <v>45642</v>
      </c>
      <c r="C1438" s="255" t="s">
        <v>2337</v>
      </c>
      <c r="D1438" s="402">
        <f t="shared" si="109"/>
        <v>1238895</v>
      </c>
      <c r="E1438" s="376">
        <v>983.25</v>
      </c>
      <c r="F1438" s="401">
        <v>1260</v>
      </c>
      <c r="G1438" s="401">
        <f t="shared" ref="G1438:G1498" si="117">+G1290</f>
        <v>865.1</v>
      </c>
      <c r="H1438" s="402">
        <f t="shared" ref="H1438:H1444" si="118">+I1438-D1438</f>
        <v>-148869</v>
      </c>
      <c r="I1438" s="402">
        <f t="shared" ref="I1438:I1444" si="119">+F1438*G1438</f>
        <v>1090026</v>
      </c>
    </row>
    <row r="1439" spans="2:9" hidden="1">
      <c r="B1439" s="156">
        <v>45644</v>
      </c>
      <c r="C1439" s="255" t="s">
        <v>2338</v>
      </c>
      <c r="D1439" s="402">
        <f t="shared" si="109"/>
        <v>1248496.2</v>
      </c>
      <c r="E1439" s="376">
        <v>990.87</v>
      </c>
      <c r="F1439" s="401">
        <v>1260</v>
      </c>
      <c r="G1439" s="401">
        <f t="shared" si="117"/>
        <v>865.1</v>
      </c>
      <c r="H1439" s="402">
        <f t="shared" si="118"/>
        <v>-158470.19999999995</v>
      </c>
      <c r="I1439" s="402">
        <f t="shared" si="119"/>
        <v>1090026</v>
      </c>
    </row>
    <row r="1440" spans="2:9" hidden="1">
      <c r="B1440" s="156">
        <v>45646</v>
      </c>
      <c r="C1440" s="255" t="s">
        <v>2339</v>
      </c>
      <c r="D1440" s="402">
        <f t="shared" si="109"/>
        <v>236234.58499999999</v>
      </c>
      <c r="E1440" s="376">
        <v>996.35</v>
      </c>
      <c r="F1440" s="401">
        <v>237.1</v>
      </c>
      <c r="G1440" s="401">
        <f t="shared" si="117"/>
        <v>865.1</v>
      </c>
      <c r="H1440" s="402">
        <f t="shared" si="118"/>
        <v>-31119.375</v>
      </c>
      <c r="I1440" s="402">
        <f t="shared" si="119"/>
        <v>205115.21</v>
      </c>
    </row>
    <row r="1441" spans="2:9" hidden="1">
      <c r="B1441" s="156">
        <v>45643</v>
      </c>
      <c r="C1441" s="255" t="s">
        <v>2340</v>
      </c>
      <c r="D1441" s="402">
        <f t="shared" si="109"/>
        <v>8846014.4800000004</v>
      </c>
      <c r="E1441" s="376">
        <v>989.93</v>
      </c>
      <c r="F1441" s="401">
        <v>8936</v>
      </c>
      <c r="G1441" s="401">
        <f t="shared" si="117"/>
        <v>865.1</v>
      </c>
      <c r="H1441" s="402">
        <f t="shared" si="118"/>
        <v>-1115480.8799999999</v>
      </c>
      <c r="I1441" s="402">
        <f t="shared" si="119"/>
        <v>7730533.6000000006</v>
      </c>
    </row>
    <row r="1442" spans="2:9" hidden="1">
      <c r="B1442" s="156">
        <v>45643</v>
      </c>
      <c r="C1442" s="255" t="s">
        <v>2341</v>
      </c>
      <c r="D1442" s="402">
        <f t="shared" si="109"/>
        <v>19334520.816</v>
      </c>
      <c r="E1442" s="376">
        <v>989.93</v>
      </c>
      <c r="F1442" s="401">
        <v>19531.2</v>
      </c>
      <c r="G1442" s="401">
        <f t="shared" si="117"/>
        <v>865.1</v>
      </c>
      <c r="H1442" s="402">
        <f t="shared" si="118"/>
        <v>-2438079.6959999986</v>
      </c>
      <c r="I1442" s="402">
        <f t="shared" si="119"/>
        <v>16896441.120000001</v>
      </c>
    </row>
    <row r="1443" spans="2:9" hidden="1">
      <c r="B1443" s="156">
        <v>45643</v>
      </c>
      <c r="C1443" s="255" t="s">
        <v>2342</v>
      </c>
      <c r="D1443" s="402">
        <f t="shared" si="109"/>
        <v>8410841.2519999985</v>
      </c>
      <c r="E1443" s="376">
        <v>989.93</v>
      </c>
      <c r="F1443" s="401">
        <v>8496.4</v>
      </c>
      <c r="G1443" s="401">
        <f t="shared" si="117"/>
        <v>865.1</v>
      </c>
      <c r="H1443" s="402">
        <f t="shared" si="118"/>
        <v>-1060605.6119999988</v>
      </c>
      <c r="I1443" s="402">
        <f t="shared" si="119"/>
        <v>7350235.6399999997</v>
      </c>
    </row>
    <row r="1444" spans="2:9">
      <c r="B1444" s="156">
        <v>45643</v>
      </c>
      <c r="C1444" s="255" t="s">
        <v>2343</v>
      </c>
      <c r="D1444" s="402">
        <f t="shared" si="109"/>
        <v>15683263.003999999</v>
      </c>
      <c r="E1444" s="376">
        <v>989.93</v>
      </c>
      <c r="F1444" s="401">
        <v>15842.8</v>
      </c>
      <c r="G1444" s="401">
        <f t="shared" si="117"/>
        <v>865.1</v>
      </c>
      <c r="H1444" s="402">
        <f t="shared" si="118"/>
        <v>-1977656.7239999995</v>
      </c>
      <c r="I1444" s="402">
        <f t="shared" si="119"/>
        <v>13705606.279999999</v>
      </c>
    </row>
    <row r="1445" spans="2:9">
      <c r="B1445" s="156">
        <v>45657</v>
      </c>
      <c r="C1445" s="255" t="s">
        <v>673</v>
      </c>
      <c r="D1445" s="402">
        <f t="shared" si="109"/>
        <v>-170619491.99954009</v>
      </c>
      <c r="E1445" s="376">
        <v>966.46</v>
      </c>
      <c r="F1445" s="401">
        <v>-176540.665935</v>
      </c>
      <c r="G1445" s="401">
        <f t="shared" si="117"/>
        <v>865.1</v>
      </c>
      <c r="H1445" s="402">
        <f>+I1445-D1445</f>
        <v>17894161.899171591</v>
      </c>
      <c r="I1445" s="402">
        <f>+F1445*G1445</f>
        <v>-152725330.1003685</v>
      </c>
    </row>
    <row r="1446" spans="2:9">
      <c r="B1446" s="156">
        <v>45666</v>
      </c>
      <c r="C1446" s="255" t="s">
        <v>2367</v>
      </c>
      <c r="D1446" s="402">
        <f t="shared" ref="D1446:D1604" si="120">E1446*F1446</f>
        <v>592718.13299999991</v>
      </c>
      <c r="E1446" s="376">
        <v>1007.51</v>
      </c>
      <c r="F1446" s="401">
        <v>588.29999999999995</v>
      </c>
      <c r="G1446" s="401">
        <f t="shared" si="117"/>
        <v>865.1</v>
      </c>
      <c r="H1446" s="402">
        <f t="shared" ref="H1446:H1498" si="121">+I1446-D1446</f>
        <v>-83779.802999999956</v>
      </c>
      <c r="I1446" s="402">
        <f t="shared" ref="I1446:I1498" si="122">+F1446*G1446</f>
        <v>508938.32999999996</v>
      </c>
    </row>
    <row r="1447" spans="2:9" hidden="1">
      <c r="B1447" s="156">
        <v>45666</v>
      </c>
      <c r="C1447" s="255" t="s">
        <v>2368</v>
      </c>
      <c r="D1447" s="402">
        <f t="shared" si="120"/>
        <v>196162.19699999999</v>
      </c>
      <c r="E1447" s="376">
        <v>1007.51</v>
      </c>
      <c r="F1447" s="401">
        <v>194.7</v>
      </c>
      <c r="G1447" s="401">
        <f t="shared" si="117"/>
        <v>865.1</v>
      </c>
      <c r="H1447" s="402">
        <f t="shared" si="121"/>
        <v>-27727.226999999984</v>
      </c>
      <c r="I1447" s="402">
        <f t="shared" si="122"/>
        <v>168434.97</v>
      </c>
    </row>
    <row r="1448" spans="2:9" hidden="1">
      <c r="B1448" s="156">
        <v>45666</v>
      </c>
      <c r="C1448" s="255" t="s">
        <v>2369</v>
      </c>
      <c r="D1448" s="402">
        <f t="shared" si="120"/>
        <v>1474994.64</v>
      </c>
      <c r="E1448" s="376">
        <v>1007.51</v>
      </c>
      <c r="F1448" s="401">
        <v>1464</v>
      </c>
      <c r="G1448" s="401">
        <f t="shared" si="117"/>
        <v>865.1</v>
      </c>
      <c r="H1448" s="402">
        <f t="shared" si="121"/>
        <v>-208488.23999999976</v>
      </c>
      <c r="I1448" s="402">
        <f t="shared" si="122"/>
        <v>1266506.4000000001</v>
      </c>
    </row>
    <row r="1449" spans="2:9" hidden="1">
      <c r="B1449" s="156">
        <v>45666</v>
      </c>
      <c r="C1449" s="255" t="s">
        <v>2370</v>
      </c>
      <c r="D1449" s="402">
        <f t="shared" si="120"/>
        <v>261549.59600000002</v>
      </c>
      <c r="E1449" s="376">
        <v>1007.51</v>
      </c>
      <c r="F1449" s="401">
        <v>259.60000000000002</v>
      </c>
      <c r="G1449" s="401">
        <f t="shared" si="117"/>
        <v>865.1</v>
      </c>
      <c r="H1449" s="402">
        <f t="shared" si="121"/>
        <v>-36969.635999999999</v>
      </c>
      <c r="I1449" s="402">
        <f t="shared" si="122"/>
        <v>224579.96000000002</v>
      </c>
    </row>
    <row r="1450" spans="2:9" hidden="1">
      <c r="B1450" s="156">
        <v>45666</v>
      </c>
      <c r="C1450" s="255" t="s">
        <v>2371</v>
      </c>
      <c r="D1450" s="402">
        <f t="shared" si="120"/>
        <v>1777247.64</v>
      </c>
      <c r="E1450" s="376">
        <v>1007.51</v>
      </c>
      <c r="F1450" s="401">
        <v>1764</v>
      </c>
      <c r="G1450" s="401">
        <f t="shared" si="117"/>
        <v>865.1</v>
      </c>
      <c r="H1450" s="402">
        <f t="shared" si="121"/>
        <v>-251211.23999999976</v>
      </c>
      <c r="I1450" s="402">
        <f t="shared" si="122"/>
        <v>1526036.4000000001</v>
      </c>
    </row>
    <row r="1451" spans="2:9" hidden="1">
      <c r="B1451" s="156">
        <v>45666</v>
      </c>
      <c r="C1451" s="255" t="s">
        <v>2372</v>
      </c>
      <c r="D1451" s="402">
        <f t="shared" si="120"/>
        <v>261549.59600000002</v>
      </c>
      <c r="E1451" s="376">
        <v>1007.51</v>
      </c>
      <c r="F1451" s="401">
        <v>259.60000000000002</v>
      </c>
      <c r="G1451" s="401">
        <f t="shared" si="117"/>
        <v>865.1</v>
      </c>
      <c r="H1451" s="402">
        <f t="shared" si="121"/>
        <v>-36969.635999999999</v>
      </c>
      <c r="I1451" s="402">
        <f t="shared" si="122"/>
        <v>224579.96000000002</v>
      </c>
    </row>
    <row r="1452" spans="2:9" hidden="1">
      <c r="B1452" s="156">
        <v>45666</v>
      </c>
      <c r="C1452" s="255" t="s">
        <v>2373</v>
      </c>
      <c r="D1452" s="402">
        <f t="shared" si="120"/>
        <v>1777247.64</v>
      </c>
      <c r="E1452" s="376">
        <v>1007.51</v>
      </c>
      <c r="F1452" s="401">
        <v>1764</v>
      </c>
      <c r="G1452" s="401">
        <f t="shared" si="117"/>
        <v>865.1</v>
      </c>
      <c r="H1452" s="402">
        <f t="shared" si="121"/>
        <v>-251211.23999999976</v>
      </c>
      <c r="I1452" s="402">
        <f t="shared" si="122"/>
        <v>1526036.4000000001</v>
      </c>
    </row>
    <row r="1453" spans="2:9" hidden="1">
      <c r="B1453" s="156">
        <v>45666</v>
      </c>
      <c r="C1453" s="255" t="s">
        <v>2374</v>
      </c>
      <c r="D1453" s="402">
        <f t="shared" si="120"/>
        <v>8297147.1029999992</v>
      </c>
      <c r="E1453" s="376">
        <v>1007.51</v>
      </c>
      <c r="F1453" s="401">
        <v>8235.2999999999993</v>
      </c>
      <c r="G1453" s="401">
        <f t="shared" si="117"/>
        <v>865.1</v>
      </c>
      <c r="H1453" s="402">
        <f t="shared" si="121"/>
        <v>-1172789.0729999999</v>
      </c>
      <c r="I1453" s="402">
        <f t="shared" si="122"/>
        <v>7124358.0299999993</v>
      </c>
    </row>
    <row r="1454" spans="2:9" hidden="1">
      <c r="B1454" s="156">
        <v>45666</v>
      </c>
      <c r="C1454" s="255" t="s">
        <v>2375</v>
      </c>
      <c r="D1454" s="402">
        <f t="shared" si="120"/>
        <v>5362210.0224000001</v>
      </c>
      <c r="E1454" s="376">
        <v>1007.51</v>
      </c>
      <c r="F1454" s="401">
        <v>5322.24</v>
      </c>
      <c r="G1454" s="401">
        <f t="shared" si="117"/>
        <v>865.1</v>
      </c>
      <c r="H1454" s="402">
        <f t="shared" si="121"/>
        <v>-757940.19840000011</v>
      </c>
      <c r="I1454" s="402">
        <f t="shared" si="122"/>
        <v>4604269.824</v>
      </c>
    </row>
    <row r="1455" spans="2:9" hidden="1">
      <c r="B1455" s="156">
        <v>45666</v>
      </c>
      <c r="C1455" s="255" t="s">
        <v>2376</v>
      </c>
      <c r="D1455" s="402">
        <f t="shared" si="120"/>
        <v>8441926.2899999991</v>
      </c>
      <c r="E1455" s="376">
        <v>1007.51</v>
      </c>
      <c r="F1455" s="401">
        <v>8379</v>
      </c>
      <c r="G1455" s="401">
        <f t="shared" si="117"/>
        <v>865.1</v>
      </c>
      <c r="H1455" s="402">
        <f t="shared" si="121"/>
        <v>-1193253.3899999987</v>
      </c>
      <c r="I1455" s="402">
        <f t="shared" si="122"/>
        <v>7248672.9000000004</v>
      </c>
    </row>
    <row r="1456" spans="2:9" hidden="1">
      <c r="B1456" s="156">
        <v>45666</v>
      </c>
      <c r="C1456" s="255" t="s">
        <v>2377</v>
      </c>
      <c r="D1456" s="402">
        <f t="shared" si="120"/>
        <v>962675.80499999993</v>
      </c>
      <c r="E1456" s="376">
        <v>1007.51</v>
      </c>
      <c r="F1456" s="401">
        <v>955.5</v>
      </c>
      <c r="G1456" s="401">
        <f t="shared" si="117"/>
        <v>865.1</v>
      </c>
      <c r="H1456" s="402">
        <f t="shared" si="121"/>
        <v>-136072.75499999989</v>
      </c>
      <c r="I1456" s="402">
        <f t="shared" si="122"/>
        <v>826603.05</v>
      </c>
    </row>
    <row r="1457" spans="2:9" hidden="1">
      <c r="B1457" s="156">
        <v>45666</v>
      </c>
      <c r="C1457" s="255" t="s">
        <v>2378</v>
      </c>
      <c r="D1457" s="402">
        <f t="shared" si="120"/>
        <v>261549.59600000002</v>
      </c>
      <c r="E1457" s="376">
        <v>1007.51</v>
      </c>
      <c r="F1457" s="401">
        <v>259.60000000000002</v>
      </c>
      <c r="G1457" s="401">
        <f t="shared" si="117"/>
        <v>865.1</v>
      </c>
      <c r="H1457" s="402">
        <f t="shared" si="121"/>
        <v>-36969.635999999999</v>
      </c>
      <c r="I1457" s="402">
        <f t="shared" si="122"/>
        <v>224579.96000000002</v>
      </c>
    </row>
    <row r="1458" spans="2:9" hidden="1">
      <c r="B1458" s="156">
        <v>45666</v>
      </c>
      <c r="C1458" s="255" t="s">
        <v>2379</v>
      </c>
      <c r="D1458" s="402">
        <f t="shared" si="120"/>
        <v>1404972.6950000001</v>
      </c>
      <c r="E1458" s="376">
        <v>1007.51</v>
      </c>
      <c r="F1458" s="401">
        <v>1394.5</v>
      </c>
      <c r="G1458" s="401">
        <f t="shared" si="117"/>
        <v>865.1</v>
      </c>
      <c r="H1458" s="402">
        <f t="shared" si="121"/>
        <v>-198590.74500000011</v>
      </c>
      <c r="I1458" s="402">
        <f t="shared" si="122"/>
        <v>1206381.95</v>
      </c>
    </row>
    <row r="1459" spans="2:9" hidden="1">
      <c r="B1459" s="156">
        <v>45666</v>
      </c>
      <c r="C1459" s="255" t="s">
        <v>2380</v>
      </c>
      <c r="D1459" s="402">
        <f t="shared" si="120"/>
        <v>261549.59600000002</v>
      </c>
      <c r="E1459" s="376">
        <v>1007.51</v>
      </c>
      <c r="F1459" s="401">
        <v>259.60000000000002</v>
      </c>
      <c r="G1459" s="401">
        <f t="shared" si="117"/>
        <v>865.1</v>
      </c>
      <c r="H1459" s="402">
        <f t="shared" si="121"/>
        <v>-36969.635999999999</v>
      </c>
      <c r="I1459" s="402">
        <f t="shared" si="122"/>
        <v>224579.96000000002</v>
      </c>
    </row>
    <row r="1460" spans="2:9" hidden="1">
      <c r="B1460" s="156">
        <v>45666</v>
      </c>
      <c r="C1460" s="255" t="s">
        <v>2381</v>
      </c>
      <c r="D1460" s="402">
        <f t="shared" si="120"/>
        <v>1707225.6950000001</v>
      </c>
      <c r="E1460" s="376">
        <v>1007.51</v>
      </c>
      <c r="F1460" s="401">
        <v>1694.5</v>
      </c>
      <c r="G1460" s="401">
        <f t="shared" si="117"/>
        <v>865.1</v>
      </c>
      <c r="H1460" s="402">
        <f t="shared" si="121"/>
        <v>-241313.74500000011</v>
      </c>
      <c r="I1460" s="402">
        <f t="shared" si="122"/>
        <v>1465911.95</v>
      </c>
    </row>
    <row r="1461" spans="2:9" hidden="1">
      <c r="B1461" s="156">
        <v>45666</v>
      </c>
      <c r="C1461" s="255" t="s">
        <v>2382</v>
      </c>
      <c r="D1461" s="402">
        <f t="shared" si="120"/>
        <v>196162.19699999999</v>
      </c>
      <c r="E1461" s="376">
        <v>1007.51</v>
      </c>
      <c r="F1461" s="401">
        <v>194.7</v>
      </c>
      <c r="G1461" s="401">
        <f t="shared" si="117"/>
        <v>865.1</v>
      </c>
      <c r="H1461" s="402">
        <f t="shared" si="121"/>
        <v>-27727.226999999984</v>
      </c>
      <c r="I1461" s="402">
        <f t="shared" si="122"/>
        <v>168434.97</v>
      </c>
    </row>
    <row r="1462" spans="2:9" hidden="1">
      <c r="B1462" s="156">
        <v>45666</v>
      </c>
      <c r="C1462" s="255" t="s">
        <v>2383</v>
      </c>
      <c r="D1462" s="402">
        <f t="shared" si="120"/>
        <v>1404972.6950000001</v>
      </c>
      <c r="E1462" s="376">
        <v>1007.51</v>
      </c>
      <c r="F1462" s="401">
        <v>1394.5</v>
      </c>
      <c r="G1462" s="401">
        <f t="shared" si="117"/>
        <v>865.1</v>
      </c>
      <c r="H1462" s="402">
        <f t="shared" si="121"/>
        <v>-198590.74500000011</v>
      </c>
      <c r="I1462" s="402">
        <f t="shared" si="122"/>
        <v>1206381.95</v>
      </c>
    </row>
    <row r="1463" spans="2:9" hidden="1">
      <c r="B1463" s="156">
        <v>45666</v>
      </c>
      <c r="C1463" s="255" t="s">
        <v>2384</v>
      </c>
      <c r="D1463" s="402">
        <f t="shared" si="120"/>
        <v>261549.59600000002</v>
      </c>
      <c r="E1463" s="376">
        <v>1007.51</v>
      </c>
      <c r="F1463" s="401">
        <v>259.60000000000002</v>
      </c>
      <c r="G1463" s="401">
        <f t="shared" si="117"/>
        <v>865.1</v>
      </c>
      <c r="H1463" s="402">
        <f t="shared" si="121"/>
        <v>-36969.635999999999</v>
      </c>
      <c r="I1463" s="402">
        <f t="shared" si="122"/>
        <v>224579.96000000002</v>
      </c>
    </row>
    <row r="1464" spans="2:9" hidden="1">
      <c r="B1464" s="156">
        <v>45666</v>
      </c>
      <c r="C1464" s="255" t="s">
        <v>2385</v>
      </c>
      <c r="D1464" s="402">
        <f t="shared" si="120"/>
        <v>1404972.6950000001</v>
      </c>
      <c r="E1464" s="376">
        <v>1007.51</v>
      </c>
      <c r="F1464" s="401">
        <v>1394.5</v>
      </c>
      <c r="G1464" s="401">
        <f t="shared" si="117"/>
        <v>865.1</v>
      </c>
      <c r="H1464" s="402">
        <f t="shared" si="121"/>
        <v>-198590.74500000011</v>
      </c>
      <c r="I1464" s="402">
        <f t="shared" si="122"/>
        <v>1206381.95</v>
      </c>
    </row>
    <row r="1465" spans="2:9" hidden="1">
      <c r="B1465" s="156">
        <v>45666</v>
      </c>
      <c r="C1465" s="255" t="s">
        <v>2386</v>
      </c>
      <c r="D1465" s="402">
        <f t="shared" si="120"/>
        <v>875324.68799999997</v>
      </c>
      <c r="E1465" s="376">
        <v>1007.51</v>
      </c>
      <c r="F1465" s="401">
        <v>868.8</v>
      </c>
      <c r="G1465" s="401">
        <f t="shared" si="117"/>
        <v>865.1</v>
      </c>
      <c r="H1465" s="402">
        <f t="shared" si="121"/>
        <v>-123725.80799999996</v>
      </c>
      <c r="I1465" s="402">
        <f t="shared" si="122"/>
        <v>751598.88</v>
      </c>
    </row>
    <row r="1466" spans="2:9" hidden="1">
      <c r="B1466" s="156">
        <v>45666</v>
      </c>
      <c r="C1466" s="255" t="s">
        <v>2387</v>
      </c>
      <c r="D1466" s="402">
        <f t="shared" si="120"/>
        <v>261549.59600000002</v>
      </c>
      <c r="E1466" s="376">
        <v>1007.51</v>
      </c>
      <c r="F1466" s="401">
        <v>259.60000000000002</v>
      </c>
      <c r="G1466" s="401">
        <f t="shared" si="117"/>
        <v>865.1</v>
      </c>
      <c r="H1466" s="402">
        <f t="shared" si="121"/>
        <v>-36969.635999999999</v>
      </c>
      <c r="I1466" s="402">
        <f t="shared" si="122"/>
        <v>224579.96000000002</v>
      </c>
    </row>
    <row r="1467" spans="2:9" hidden="1">
      <c r="B1467" s="156">
        <v>45666</v>
      </c>
      <c r="C1467" s="255" t="s">
        <v>2388</v>
      </c>
      <c r="D1467" s="402">
        <f t="shared" si="120"/>
        <v>1404972.6950000001</v>
      </c>
      <c r="E1467" s="376">
        <v>1007.51</v>
      </c>
      <c r="F1467" s="401">
        <v>1394.5</v>
      </c>
      <c r="G1467" s="401">
        <f t="shared" si="117"/>
        <v>865.1</v>
      </c>
      <c r="H1467" s="402">
        <f t="shared" si="121"/>
        <v>-198590.74500000011</v>
      </c>
      <c r="I1467" s="402">
        <f t="shared" si="122"/>
        <v>1206381.95</v>
      </c>
    </row>
    <row r="1468" spans="2:9" hidden="1">
      <c r="B1468" s="156">
        <v>45666</v>
      </c>
      <c r="C1468" s="255" t="s">
        <v>2389</v>
      </c>
      <c r="D1468" s="402">
        <f t="shared" si="120"/>
        <v>790290.84399999992</v>
      </c>
      <c r="E1468" s="376">
        <v>1007.51</v>
      </c>
      <c r="F1468" s="401">
        <v>784.4</v>
      </c>
      <c r="G1468" s="401">
        <f t="shared" si="117"/>
        <v>865.1</v>
      </c>
      <c r="H1468" s="402">
        <f t="shared" si="121"/>
        <v>-111706.40399999998</v>
      </c>
      <c r="I1468" s="402">
        <f t="shared" si="122"/>
        <v>678584.44</v>
      </c>
    </row>
    <row r="1469" spans="2:9" hidden="1">
      <c r="B1469" s="156">
        <v>45666</v>
      </c>
      <c r="C1469" s="255" t="s">
        <v>2390</v>
      </c>
      <c r="D1469" s="402">
        <f t="shared" si="120"/>
        <v>1777247.64</v>
      </c>
      <c r="E1469" s="376">
        <v>1007.51</v>
      </c>
      <c r="F1469" s="401">
        <v>1764</v>
      </c>
      <c r="G1469" s="401">
        <f t="shared" si="117"/>
        <v>865.1</v>
      </c>
      <c r="H1469" s="402">
        <f t="shared" si="121"/>
        <v>-251211.23999999976</v>
      </c>
      <c r="I1469" s="402">
        <f t="shared" si="122"/>
        <v>1526036.4000000001</v>
      </c>
    </row>
    <row r="1470" spans="2:9" hidden="1">
      <c r="B1470" s="156">
        <v>45666</v>
      </c>
      <c r="C1470" s="255" t="s">
        <v>2391</v>
      </c>
      <c r="D1470" s="402">
        <f t="shared" si="120"/>
        <v>1404972.6950000001</v>
      </c>
      <c r="E1470" s="376">
        <v>1007.51</v>
      </c>
      <c r="F1470" s="401">
        <v>1394.5</v>
      </c>
      <c r="G1470" s="401">
        <f t="shared" si="117"/>
        <v>865.1</v>
      </c>
      <c r="H1470" s="402">
        <f t="shared" si="121"/>
        <v>-198590.74500000011</v>
      </c>
      <c r="I1470" s="402">
        <f t="shared" si="122"/>
        <v>1206381.95</v>
      </c>
    </row>
    <row r="1471" spans="2:9" hidden="1">
      <c r="B1471" s="156">
        <v>45666</v>
      </c>
      <c r="C1471" s="255" t="s">
        <v>2392</v>
      </c>
      <c r="D1471" s="402">
        <f t="shared" si="120"/>
        <v>3513791.8759999997</v>
      </c>
      <c r="E1471" s="376">
        <v>1007.51</v>
      </c>
      <c r="F1471" s="401">
        <v>3487.6</v>
      </c>
      <c r="G1471" s="401">
        <f t="shared" si="117"/>
        <v>865.1</v>
      </c>
      <c r="H1471" s="402">
        <f t="shared" si="121"/>
        <v>-496669.11599999992</v>
      </c>
      <c r="I1471" s="402">
        <f t="shared" si="122"/>
        <v>3017122.76</v>
      </c>
    </row>
    <row r="1472" spans="2:9" hidden="1">
      <c r="B1472" s="156">
        <v>45666</v>
      </c>
      <c r="C1472" s="255" t="s">
        <v>2393</v>
      </c>
      <c r="D1472" s="402">
        <f t="shared" si="120"/>
        <v>3513791.8759999997</v>
      </c>
      <c r="E1472" s="376">
        <v>1007.51</v>
      </c>
      <c r="F1472" s="401">
        <v>3487.6</v>
      </c>
      <c r="G1472" s="401">
        <f t="shared" si="117"/>
        <v>865.1</v>
      </c>
      <c r="H1472" s="402">
        <f t="shared" si="121"/>
        <v>-496669.11599999992</v>
      </c>
      <c r="I1472" s="402">
        <f t="shared" si="122"/>
        <v>3017122.76</v>
      </c>
    </row>
    <row r="1473" spans="2:9" hidden="1">
      <c r="B1473" s="156">
        <v>45666</v>
      </c>
      <c r="C1473" s="255" t="s">
        <v>2394</v>
      </c>
      <c r="D1473" s="402">
        <f t="shared" si="120"/>
        <v>3513791.8759999997</v>
      </c>
      <c r="E1473" s="376">
        <v>1007.51</v>
      </c>
      <c r="F1473" s="401">
        <v>3487.6</v>
      </c>
      <c r="G1473" s="401">
        <f t="shared" si="117"/>
        <v>865.1</v>
      </c>
      <c r="H1473" s="402">
        <f t="shared" si="121"/>
        <v>-496669.11599999992</v>
      </c>
      <c r="I1473" s="402">
        <f t="shared" si="122"/>
        <v>3017122.76</v>
      </c>
    </row>
    <row r="1474" spans="2:9" hidden="1">
      <c r="B1474" s="156">
        <v>45666</v>
      </c>
      <c r="C1474" s="255" t="s">
        <v>2395</v>
      </c>
      <c r="D1474" s="402">
        <f t="shared" si="120"/>
        <v>24597651.392999999</v>
      </c>
      <c r="E1474" s="376">
        <v>1007.51</v>
      </c>
      <c r="F1474" s="401">
        <v>24414.3</v>
      </c>
      <c r="G1474" s="401">
        <f t="shared" si="117"/>
        <v>865.1</v>
      </c>
      <c r="H1474" s="402">
        <f t="shared" si="121"/>
        <v>-3476840.4629999995</v>
      </c>
      <c r="I1474" s="402">
        <f t="shared" si="122"/>
        <v>21120810.93</v>
      </c>
    </row>
    <row r="1475" spans="2:9" hidden="1">
      <c r="B1475" s="156">
        <v>45666</v>
      </c>
      <c r="C1475" s="255" t="s">
        <v>2396</v>
      </c>
      <c r="D1475" s="402">
        <f t="shared" si="120"/>
        <v>4628581.5407999996</v>
      </c>
      <c r="E1475" s="376">
        <v>1007.51</v>
      </c>
      <c r="F1475" s="401">
        <v>4594.08</v>
      </c>
      <c r="G1475" s="401">
        <f t="shared" si="117"/>
        <v>865.1</v>
      </c>
      <c r="H1475" s="402">
        <f t="shared" si="121"/>
        <v>-654242.9327999996</v>
      </c>
      <c r="I1475" s="402">
        <f t="shared" si="122"/>
        <v>3974338.608</v>
      </c>
    </row>
    <row r="1476" spans="2:9" hidden="1">
      <c r="B1476" s="156">
        <v>45666</v>
      </c>
      <c r="C1476" s="255" t="s">
        <v>2397</v>
      </c>
      <c r="D1476" s="402">
        <f t="shared" si="120"/>
        <v>7275028.2080000006</v>
      </c>
      <c r="E1476" s="376">
        <v>1007.51</v>
      </c>
      <c r="F1476" s="401">
        <v>7220.8</v>
      </c>
      <c r="G1476" s="401">
        <f t="shared" si="117"/>
        <v>865.1</v>
      </c>
      <c r="H1476" s="402">
        <f t="shared" si="121"/>
        <v>-1028314.1280000005</v>
      </c>
      <c r="I1476" s="402">
        <f t="shared" si="122"/>
        <v>6246714.0800000001</v>
      </c>
    </row>
    <row r="1477" spans="2:9" hidden="1">
      <c r="B1477" s="156">
        <v>45666</v>
      </c>
      <c r="C1477" s="255" t="s">
        <v>2398</v>
      </c>
      <c r="D1477" s="402">
        <f t="shared" si="120"/>
        <v>6697926.4799999995</v>
      </c>
      <c r="E1477" s="376">
        <v>1007.51</v>
      </c>
      <c r="F1477" s="401">
        <v>6648</v>
      </c>
      <c r="G1477" s="401">
        <f t="shared" si="117"/>
        <v>865.1</v>
      </c>
      <c r="H1477" s="402">
        <f t="shared" si="121"/>
        <v>-946741.6799999997</v>
      </c>
      <c r="I1477" s="402">
        <f t="shared" si="122"/>
        <v>5751184.7999999998</v>
      </c>
    </row>
    <row r="1478" spans="2:9" hidden="1">
      <c r="B1478" s="156">
        <v>45666</v>
      </c>
      <c r="C1478" s="255" t="s">
        <v>2399</v>
      </c>
      <c r="D1478" s="402">
        <f t="shared" si="120"/>
        <v>4194667.1339999996</v>
      </c>
      <c r="E1478" s="376">
        <v>1007.51</v>
      </c>
      <c r="F1478" s="401">
        <v>4163.3999999999996</v>
      </c>
      <c r="G1478" s="401">
        <f t="shared" si="117"/>
        <v>865.1</v>
      </c>
      <c r="H1478" s="402">
        <f t="shared" si="121"/>
        <v>-592909.79399999976</v>
      </c>
      <c r="I1478" s="402">
        <f t="shared" si="122"/>
        <v>3601757.34</v>
      </c>
    </row>
    <row r="1479" spans="2:9" hidden="1">
      <c r="B1479" s="156">
        <v>45666</v>
      </c>
      <c r="C1479" s="255" t="s">
        <v>2400</v>
      </c>
      <c r="D1479" s="402">
        <f t="shared" si="120"/>
        <v>212383.10800000001</v>
      </c>
      <c r="E1479" s="376">
        <v>1007.51</v>
      </c>
      <c r="F1479" s="401">
        <v>210.8</v>
      </c>
      <c r="G1479" s="401">
        <f t="shared" si="117"/>
        <v>865.1</v>
      </c>
      <c r="H1479" s="402">
        <f t="shared" si="121"/>
        <v>-30020.027999999991</v>
      </c>
      <c r="I1479" s="402">
        <f t="shared" si="122"/>
        <v>182363.08000000002</v>
      </c>
    </row>
    <row r="1480" spans="2:9" hidden="1">
      <c r="B1480" s="156">
        <v>45666</v>
      </c>
      <c r="C1480" s="255" t="s">
        <v>2401</v>
      </c>
      <c r="D1480" s="402">
        <f t="shared" si="120"/>
        <v>212383.10800000001</v>
      </c>
      <c r="E1480" s="376">
        <v>1007.51</v>
      </c>
      <c r="F1480" s="401">
        <v>210.8</v>
      </c>
      <c r="G1480" s="401">
        <f t="shared" si="117"/>
        <v>865.1</v>
      </c>
      <c r="H1480" s="402">
        <f t="shared" si="121"/>
        <v>-30020.027999999991</v>
      </c>
      <c r="I1480" s="402">
        <f t="shared" si="122"/>
        <v>182363.08000000002</v>
      </c>
    </row>
    <row r="1481" spans="2:9" hidden="1">
      <c r="B1481" s="156">
        <v>45666</v>
      </c>
      <c r="C1481" s="255" t="s">
        <v>2402</v>
      </c>
      <c r="D1481" s="402">
        <f t="shared" si="120"/>
        <v>2816897.2090000003</v>
      </c>
      <c r="E1481" s="376">
        <v>1007.51</v>
      </c>
      <c r="F1481" s="401">
        <v>2795.9</v>
      </c>
      <c r="G1481" s="401">
        <f t="shared" si="117"/>
        <v>865.1</v>
      </c>
      <c r="H1481" s="402">
        <f t="shared" si="121"/>
        <v>-398164.11899999995</v>
      </c>
      <c r="I1481" s="402">
        <f t="shared" si="122"/>
        <v>2418733.0900000003</v>
      </c>
    </row>
    <row r="1482" spans="2:9" hidden="1">
      <c r="B1482" s="156">
        <v>45666</v>
      </c>
      <c r="C1482" s="255" t="s">
        <v>2403</v>
      </c>
      <c r="D1482" s="402">
        <f t="shared" si="120"/>
        <v>265478.88500000001</v>
      </c>
      <c r="E1482" s="376">
        <v>1007.51</v>
      </c>
      <c r="F1482" s="401">
        <v>263.5</v>
      </c>
      <c r="G1482" s="401">
        <f t="shared" si="117"/>
        <v>865.1</v>
      </c>
      <c r="H1482" s="402">
        <f t="shared" si="121"/>
        <v>-37525.035000000003</v>
      </c>
      <c r="I1482" s="402">
        <f t="shared" si="122"/>
        <v>227953.85</v>
      </c>
    </row>
    <row r="1483" spans="2:9" hidden="1">
      <c r="B1483" s="156">
        <v>45666</v>
      </c>
      <c r="C1483" s="255" t="s">
        <v>2404</v>
      </c>
      <c r="D1483" s="402">
        <f t="shared" si="120"/>
        <v>3513791.8759999997</v>
      </c>
      <c r="E1483" s="376">
        <v>1007.51</v>
      </c>
      <c r="F1483" s="401">
        <v>3487.6</v>
      </c>
      <c r="G1483" s="401">
        <f t="shared" si="117"/>
        <v>865.1</v>
      </c>
      <c r="H1483" s="402">
        <f t="shared" si="121"/>
        <v>-496669.11599999992</v>
      </c>
      <c r="I1483" s="402">
        <f t="shared" si="122"/>
        <v>3017122.76</v>
      </c>
    </row>
    <row r="1484" spans="2:9" hidden="1">
      <c r="B1484" s="156">
        <v>45666</v>
      </c>
      <c r="C1484" s="255" t="s">
        <v>2405</v>
      </c>
      <c r="D1484" s="402">
        <f t="shared" si="120"/>
        <v>212383.10800000001</v>
      </c>
      <c r="E1484" s="376">
        <v>1007.51</v>
      </c>
      <c r="F1484" s="401">
        <v>210.8</v>
      </c>
      <c r="G1484" s="401">
        <f t="shared" si="117"/>
        <v>865.1</v>
      </c>
      <c r="H1484" s="402">
        <f t="shared" si="121"/>
        <v>-30020.027999999991</v>
      </c>
      <c r="I1484" s="402">
        <f t="shared" si="122"/>
        <v>182363.08000000002</v>
      </c>
    </row>
    <row r="1485" spans="2:9" hidden="1">
      <c r="B1485" s="156">
        <v>45666</v>
      </c>
      <c r="C1485" s="255" t="s">
        <v>2406</v>
      </c>
      <c r="D1485" s="402">
        <f t="shared" si="120"/>
        <v>2880068.0859999997</v>
      </c>
      <c r="E1485" s="376">
        <v>1007.51</v>
      </c>
      <c r="F1485" s="401">
        <v>2858.6</v>
      </c>
      <c r="G1485" s="401">
        <f t="shared" si="117"/>
        <v>865.1</v>
      </c>
      <c r="H1485" s="402">
        <f t="shared" si="121"/>
        <v>-407093.22599999979</v>
      </c>
      <c r="I1485" s="402">
        <f t="shared" si="122"/>
        <v>2472974.86</v>
      </c>
    </row>
    <row r="1486" spans="2:9" hidden="1">
      <c r="B1486" s="156">
        <v>45666</v>
      </c>
      <c r="C1486" s="255" t="s">
        <v>2407</v>
      </c>
      <c r="D1486" s="402">
        <f t="shared" si="120"/>
        <v>212383.10800000001</v>
      </c>
      <c r="E1486" s="376">
        <v>1007.51</v>
      </c>
      <c r="F1486" s="401">
        <v>210.8</v>
      </c>
      <c r="G1486" s="401">
        <f t="shared" si="117"/>
        <v>865.1</v>
      </c>
      <c r="H1486" s="402">
        <f t="shared" si="121"/>
        <v>-30020.027999999991</v>
      </c>
      <c r="I1486" s="402">
        <f t="shared" si="122"/>
        <v>182363.08000000002</v>
      </c>
    </row>
    <row r="1487" spans="2:9" hidden="1">
      <c r="B1487" s="156">
        <v>45666</v>
      </c>
      <c r="C1487" s="255" t="s">
        <v>2408</v>
      </c>
      <c r="D1487" s="402">
        <f t="shared" si="120"/>
        <v>3322667.2290000003</v>
      </c>
      <c r="E1487" s="376">
        <v>1007.51</v>
      </c>
      <c r="F1487" s="401">
        <v>3297.9</v>
      </c>
      <c r="G1487" s="401">
        <f t="shared" si="117"/>
        <v>865.1</v>
      </c>
      <c r="H1487" s="402">
        <f t="shared" si="121"/>
        <v>-469653.93900000025</v>
      </c>
      <c r="I1487" s="402">
        <f t="shared" si="122"/>
        <v>2853013.29</v>
      </c>
    </row>
    <row r="1488" spans="2:9" hidden="1">
      <c r="B1488" s="156">
        <v>45666</v>
      </c>
      <c r="C1488" s="255" t="s">
        <v>2409</v>
      </c>
      <c r="D1488" s="402">
        <f t="shared" si="120"/>
        <v>5283382.4400000004</v>
      </c>
      <c r="E1488" s="376">
        <v>1007.51</v>
      </c>
      <c r="F1488" s="401">
        <v>5244</v>
      </c>
      <c r="G1488" s="401">
        <f t="shared" si="117"/>
        <v>865.1</v>
      </c>
      <c r="H1488" s="402">
        <f t="shared" si="121"/>
        <v>-746798.04</v>
      </c>
      <c r="I1488" s="402">
        <f t="shared" si="122"/>
        <v>4536584.4000000004</v>
      </c>
    </row>
    <row r="1489" spans="2:9" hidden="1">
      <c r="B1489" s="156">
        <v>45666</v>
      </c>
      <c r="C1489" s="255" t="s">
        <v>2410</v>
      </c>
      <c r="D1489" s="402">
        <f t="shared" si="120"/>
        <v>584154.29799999995</v>
      </c>
      <c r="E1489" s="376">
        <v>1007.51</v>
      </c>
      <c r="F1489" s="401">
        <v>579.79999999999995</v>
      </c>
      <c r="G1489" s="401">
        <f t="shared" si="117"/>
        <v>865.1</v>
      </c>
      <c r="H1489" s="402">
        <f t="shared" si="121"/>
        <v>-82569.31799999997</v>
      </c>
      <c r="I1489" s="402">
        <f t="shared" si="122"/>
        <v>501584.98</v>
      </c>
    </row>
    <row r="1490" spans="2:9" hidden="1">
      <c r="B1490" s="156">
        <v>45666</v>
      </c>
      <c r="C1490" s="255" t="s">
        <v>2411</v>
      </c>
      <c r="D1490" s="402">
        <f t="shared" si="120"/>
        <v>4911006.7439999999</v>
      </c>
      <c r="E1490" s="376">
        <v>1007.51</v>
      </c>
      <c r="F1490" s="401">
        <v>4874.3999999999996</v>
      </c>
      <c r="G1490" s="401">
        <f t="shared" si="117"/>
        <v>865.1</v>
      </c>
      <c r="H1490" s="402">
        <f t="shared" si="121"/>
        <v>-694163.30400000047</v>
      </c>
      <c r="I1490" s="402">
        <f t="shared" si="122"/>
        <v>4216843.4399999995</v>
      </c>
    </row>
    <row r="1491" spans="2:9" hidden="1">
      <c r="B1491" s="156">
        <v>45666</v>
      </c>
      <c r="C1491" s="255" t="s">
        <v>2412</v>
      </c>
      <c r="D1491" s="402">
        <f t="shared" si="120"/>
        <v>2880068.0859999997</v>
      </c>
      <c r="E1491" s="376">
        <v>1007.51</v>
      </c>
      <c r="F1491" s="401">
        <v>2858.6</v>
      </c>
      <c r="G1491" s="401">
        <f t="shared" si="117"/>
        <v>865.1</v>
      </c>
      <c r="H1491" s="402">
        <f t="shared" si="121"/>
        <v>-407093.22599999979</v>
      </c>
      <c r="I1491" s="402">
        <f t="shared" si="122"/>
        <v>2472974.86</v>
      </c>
    </row>
    <row r="1492" spans="2:9" hidden="1">
      <c r="B1492" s="156">
        <v>45666</v>
      </c>
      <c r="C1492" s="255" t="s">
        <v>2413</v>
      </c>
      <c r="D1492" s="402">
        <f t="shared" si="120"/>
        <v>208353.068</v>
      </c>
      <c r="E1492" s="376">
        <v>1007.51</v>
      </c>
      <c r="F1492" s="401">
        <v>206.8</v>
      </c>
      <c r="G1492" s="401">
        <f t="shared" si="117"/>
        <v>865.1</v>
      </c>
      <c r="H1492" s="402">
        <f t="shared" si="121"/>
        <v>-29450.387999999977</v>
      </c>
      <c r="I1492" s="402">
        <f t="shared" si="122"/>
        <v>178902.68000000002</v>
      </c>
    </row>
    <row r="1493" spans="2:9" hidden="1">
      <c r="B1493" s="156">
        <v>45666</v>
      </c>
      <c r="C1493" s="255" t="s">
        <v>2414</v>
      </c>
      <c r="D1493" s="402">
        <f t="shared" si="120"/>
        <v>3513791.8759999997</v>
      </c>
      <c r="E1493" s="376">
        <v>1007.51</v>
      </c>
      <c r="F1493" s="401">
        <v>3487.6</v>
      </c>
      <c r="G1493" s="401">
        <f t="shared" si="117"/>
        <v>865.1</v>
      </c>
      <c r="H1493" s="402">
        <f t="shared" si="121"/>
        <v>-496669.11599999992</v>
      </c>
      <c r="I1493" s="402">
        <f t="shared" si="122"/>
        <v>3017122.76</v>
      </c>
    </row>
    <row r="1494" spans="2:9" hidden="1">
      <c r="B1494" s="156">
        <v>45666</v>
      </c>
      <c r="C1494" s="255" t="s">
        <v>2415</v>
      </c>
      <c r="D1494" s="402">
        <f t="shared" si="120"/>
        <v>2816897.2090000003</v>
      </c>
      <c r="E1494" s="376">
        <v>1007.51</v>
      </c>
      <c r="F1494" s="401">
        <v>2795.9</v>
      </c>
      <c r="G1494" s="401">
        <f t="shared" si="117"/>
        <v>865.1</v>
      </c>
      <c r="H1494" s="402">
        <f t="shared" si="121"/>
        <v>-398164.11899999995</v>
      </c>
      <c r="I1494" s="402">
        <f t="shared" si="122"/>
        <v>2418733.0900000003</v>
      </c>
    </row>
    <row r="1495" spans="2:9" hidden="1">
      <c r="B1495" s="156">
        <v>45685</v>
      </c>
      <c r="C1495" s="255" t="s">
        <v>2416</v>
      </c>
      <c r="D1495" s="402">
        <f t="shared" si="120"/>
        <v>8277404.7199999997</v>
      </c>
      <c r="E1495" s="376">
        <v>985.64</v>
      </c>
      <c r="F1495" s="401">
        <v>8398</v>
      </c>
      <c r="G1495" s="401">
        <f t="shared" si="117"/>
        <v>865.1</v>
      </c>
      <c r="H1495" s="402">
        <f t="shared" si="121"/>
        <v>-1012294.9199999999</v>
      </c>
      <c r="I1495" s="402">
        <f t="shared" si="122"/>
        <v>7265109.7999999998</v>
      </c>
    </row>
    <row r="1496" spans="2:9" hidden="1">
      <c r="B1496" s="156">
        <v>45685</v>
      </c>
      <c r="C1496" s="255" t="s">
        <v>2417</v>
      </c>
      <c r="D1496" s="402">
        <f t="shared" si="120"/>
        <v>22412073.704</v>
      </c>
      <c r="E1496" s="376">
        <v>985.64</v>
      </c>
      <c r="F1496" s="401">
        <v>22738.6</v>
      </c>
      <c r="G1496" s="401">
        <f t="shared" si="117"/>
        <v>865.1</v>
      </c>
      <c r="H1496" s="402">
        <f t="shared" si="121"/>
        <v>-2740910.8440000005</v>
      </c>
      <c r="I1496" s="402">
        <f t="shared" si="122"/>
        <v>19671162.859999999</v>
      </c>
    </row>
    <row r="1497" spans="2:9" hidden="1">
      <c r="B1497" s="156">
        <v>45686</v>
      </c>
      <c r="C1497" s="255" t="s">
        <v>2418</v>
      </c>
      <c r="D1497" s="402">
        <f t="shared" si="120"/>
        <v>4064312.3760000002</v>
      </c>
      <c r="E1497" s="376">
        <v>992.07</v>
      </c>
      <c r="F1497" s="401">
        <v>4096.8</v>
      </c>
      <c r="G1497" s="401">
        <f t="shared" si="117"/>
        <v>865.1</v>
      </c>
      <c r="H1497" s="402">
        <f t="shared" si="121"/>
        <v>-520170.696</v>
      </c>
      <c r="I1497" s="402">
        <f t="shared" si="122"/>
        <v>3544141.68</v>
      </c>
    </row>
    <row r="1498" spans="2:9" hidden="1">
      <c r="B1498" s="156">
        <v>45686</v>
      </c>
      <c r="C1498" s="255" t="s">
        <v>2419</v>
      </c>
      <c r="D1498" s="402">
        <f t="shared" si="120"/>
        <v>10636974.540000001</v>
      </c>
      <c r="E1498" s="376">
        <v>992.07</v>
      </c>
      <c r="F1498" s="401">
        <v>10722</v>
      </c>
      <c r="G1498" s="401">
        <f t="shared" si="117"/>
        <v>865.1</v>
      </c>
      <c r="H1498" s="402">
        <f t="shared" si="121"/>
        <v>-1361372.3399999999</v>
      </c>
      <c r="I1498" s="402">
        <f t="shared" si="122"/>
        <v>9275602.2000000011</v>
      </c>
    </row>
    <row r="1499" spans="2:9" hidden="1">
      <c r="B1499" s="156">
        <v>45688</v>
      </c>
      <c r="C1499" s="255" t="s">
        <v>673</v>
      </c>
      <c r="D1499" s="402">
        <f t="shared" ref="D1499:D1562" si="123">E1499*F1499</f>
        <v>-152793728.04340002</v>
      </c>
      <c r="E1499" s="376">
        <v>984.22</v>
      </c>
      <c r="F1499" s="401">
        <v>-155243.47</v>
      </c>
      <c r="G1499" s="401">
        <f>+G1308</f>
        <v>865.1</v>
      </c>
      <c r="H1499" s="402">
        <f t="shared" ref="H1499" si="124">+I1499-D1499</f>
        <v>18492602.146400005</v>
      </c>
      <c r="I1499" s="402">
        <f t="shared" ref="I1499" si="125">+F1499*G1499</f>
        <v>-134301125.89700001</v>
      </c>
    </row>
    <row r="1500" spans="2:9" hidden="1">
      <c r="B1500" s="156">
        <v>45700</v>
      </c>
      <c r="C1500" s="255" t="s">
        <v>2431</v>
      </c>
      <c r="D1500" s="402">
        <f t="shared" si="123"/>
        <v>1211981.3999999999</v>
      </c>
      <c r="E1500" s="376">
        <v>961.89</v>
      </c>
      <c r="F1500" s="401">
        <v>1260</v>
      </c>
      <c r="G1500" s="401">
        <f t="shared" ref="G1500:G1541" si="126">+G1309</f>
        <v>865.1</v>
      </c>
      <c r="H1500" s="402">
        <f t="shared" ref="H1500:H1604" si="127">+I1500-D1500</f>
        <v>-121955.39999999991</v>
      </c>
      <c r="I1500" s="402">
        <f t="shared" ref="I1500:I1605" si="128">+F1500*G1500</f>
        <v>1090026</v>
      </c>
    </row>
    <row r="1501" spans="2:9" hidden="1">
      <c r="B1501" s="156">
        <v>45700</v>
      </c>
      <c r="C1501" s="255" t="s">
        <v>2432</v>
      </c>
      <c r="D1501" s="402">
        <f t="shared" si="123"/>
        <v>4449510.7620000001</v>
      </c>
      <c r="E1501" s="376">
        <v>961.89</v>
      </c>
      <c r="F1501" s="401">
        <v>4625.8</v>
      </c>
      <c r="G1501" s="401">
        <f t="shared" si="126"/>
        <v>865.1</v>
      </c>
      <c r="H1501" s="402">
        <f t="shared" si="127"/>
        <v>-447731.18200000003</v>
      </c>
      <c r="I1501" s="402">
        <f t="shared" si="128"/>
        <v>4001779.58</v>
      </c>
    </row>
    <row r="1502" spans="2:9" hidden="1">
      <c r="B1502" s="156">
        <v>45700</v>
      </c>
      <c r="C1502" s="255" t="s">
        <v>2433</v>
      </c>
      <c r="D1502" s="402">
        <f t="shared" si="123"/>
        <v>992670.48</v>
      </c>
      <c r="E1502" s="376">
        <v>961.89</v>
      </c>
      <c r="F1502" s="401">
        <v>1032</v>
      </c>
      <c r="G1502" s="401">
        <f t="shared" si="126"/>
        <v>865.1</v>
      </c>
      <c r="H1502" s="402">
        <f t="shared" si="127"/>
        <v>-99887.279999999912</v>
      </c>
      <c r="I1502" s="402">
        <f t="shared" si="128"/>
        <v>892783.20000000007</v>
      </c>
    </row>
    <row r="1503" spans="2:9" hidden="1">
      <c r="B1503" s="156">
        <v>45700</v>
      </c>
      <c r="C1503" s="255" t="s">
        <v>2434</v>
      </c>
      <c r="D1503" s="402">
        <f t="shared" si="123"/>
        <v>4891210.6500000004</v>
      </c>
      <c r="E1503" s="376">
        <v>961.89</v>
      </c>
      <c r="F1503" s="401">
        <v>5085</v>
      </c>
      <c r="G1503" s="401">
        <f t="shared" si="126"/>
        <v>865.1</v>
      </c>
      <c r="H1503" s="402">
        <f t="shared" si="127"/>
        <v>-492177.15000000037</v>
      </c>
      <c r="I1503" s="402">
        <f t="shared" si="128"/>
        <v>4399033.5</v>
      </c>
    </row>
    <row r="1504" spans="2:9" hidden="1">
      <c r="B1504" s="156">
        <v>45700</v>
      </c>
      <c r="C1504" s="255" t="s">
        <v>2435</v>
      </c>
      <c r="D1504" s="402">
        <f t="shared" si="123"/>
        <v>992670.48</v>
      </c>
      <c r="E1504" s="376">
        <v>961.89</v>
      </c>
      <c r="F1504" s="401">
        <v>1032</v>
      </c>
      <c r="G1504" s="401">
        <f t="shared" si="126"/>
        <v>865.1</v>
      </c>
      <c r="H1504" s="402">
        <f t="shared" si="127"/>
        <v>-99887.279999999912</v>
      </c>
      <c r="I1504" s="402">
        <f t="shared" si="128"/>
        <v>892783.20000000007</v>
      </c>
    </row>
    <row r="1505" spans="2:9" hidden="1">
      <c r="B1505" s="156">
        <v>45700</v>
      </c>
      <c r="C1505" s="255" t="s">
        <v>2436</v>
      </c>
      <c r="D1505" s="402">
        <f t="shared" si="123"/>
        <v>5013370.68</v>
      </c>
      <c r="E1505" s="376">
        <v>961.89</v>
      </c>
      <c r="F1505" s="401">
        <v>5212</v>
      </c>
      <c r="G1505" s="401">
        <f t="shared" si="126"/>
        <v>865.1</v>
      </c>
      <c r="H1505" s="402">
        <f t="shared" si="127"/>
        <v>-504469.47999999952</v>
      </c>
      <c r="I1505" s="402">
        <f t="shared" si="128"/>
        <v>4508901.2</v>
      </c>
    </row>
    <row r="1506" spans="2:9" hidden="1">
      <c r="B1506" s="156">
        <v>45700</v>
      </c>
      <c r="C1506" s="255" t="s">
        <v>2437</v>
      </c>
      <c r="D1506" s="402">
        <f t="shared" si="123"/>
        <v>992670.48</v>
      </c>
      <c r="E1506" s="376">
        <v>961.89</v>
      </c>
      <c r="F1506" s="401">
        <v>1032</v>
      </c>
      <c r="G1506" s="401">
        <f t="shared" si="126"/>
        <v>865.1</v>
      </c>
      <c r="H1506" s="402">
        <f t="shared" si="127"/>
        <v>-99887.279999999912</v>
      </c>
      <c r="I1506" s="402">
        <f t="shared" si="128"/>
        <v>892783.20000000007</v>
      </c>
    </row>
    <row r="1507" spans="2:9" hidden="1">
      <c r="B1507" s="156">
        <v>45700</v>
      </c>
      <c r="C1507" s="255" t="s">
        <v>2438</v>
      </c>
      <c r="D1507" s="402">
        <f t="shared" si="123"/>
        <v>2722341.0779999997</v>
      </c>
      <c r="E1507" s="376">
        <v>961.89</v>
      </c>
      <c r="F1507" s="401">
        <v>2830.2</v>
      </c>
      <c r="G1507" s="401">
        <f t="shared" si="126"/>
        <v>865.1</v>
      </c>
      <c r="H1507" s="402">
        <f t="shared" si="127"/>
        <v>-273935.05799999973</v>
      </c>
      <c r="I1507" s="402">
        <f t="shared" si="128"/>
        <v>2448406.02</v>
      </c>
    </row>
    <row r="1508" spans="2:9" hidden="1">
      <c r="B1508" s="156">
        <v>45700</v>
      </c>
      <c r="C1508" s="255" t="s">
        <v>2439</v>
      </c>
      <c r="D1508" s="402">
        <f t="shared" si="123"/>
        <v>8350263.2790000001</v>
      </c>
      <c r="E1508" s="376">
        <v>961.89</v>
      </c>
      <c r="F1508" s="401">
        <v>8681.1</v>
      </c>
      <c r="G1508" s="401">
        <f t="shared" si="126"/>
        <v>865.1</v>
      </c>
      <c r="H1508" s="402">
        <f t="shared" si="127"/>
        <v>-840243.66899999976</v>
      </c>
      <c r="I1508" s="402">
        <f t="shared" si="128"/>
        <v>7510019.6100000003</v>
      </c>
    </row>
    <row r="1509" spans="2:9" hidden="1">
      <c r="B1509" s="156">
        <v>45700</v>
      </c>
      <c r="C1509" s="255" t="s">
        <v>2440</v>
      </c>
      <c r="D1509" s="402">
        <f t="shared" si="123"/>
        <v>408033.73800000001</v>
      </c>
      <c r="E1509" s="376">
        <v>961.89</v>
      </c>
      <c r="F1509" s="401">
        <v>424.2</v>
      </c>
      <c r="G1509" s="401">
        <f t="shared" si="126"/>
        <v>865.1</v>
      </c>
      <c r="H1509" s="402">
        <f t="shared" si="127"/>
        <v>-41058.318000000028</v>
      </c>
      <c r="I1509" s="402">
        <f t="shared" si="128"/>
        <v>366975.42</v>
      </c>
    </row>
    <row r="1510" spans="2:9" hidden="1">
      <c r="B1510" s="156">
        <v>45700</v>
      </c>
      <c r="C1510" s="255" t="s">
        <v>2441</v>
      </c>
      <c r="D1510" s="402">
        <f t="shared" si="123"/>
        <v>1512091.08</v>
      </c>
      <c r="E1510" s="376">
        <v>961.89</v>
      </c>
      <c r="F1510" s="401">
        <v>1572</v>
      </c>
      <c r="G1510" s="401">
        <f t="shared" si="126"/>
        <v>865.1</v>
      </c>
      <c r="H1510" s="402">
        <f t="shared" si="127"/>
        <v>-152153.88000000012</v>
      </c>
      <c r="I1510" s="402">
        <f t="shared" si="128"/>
        <v>1359937.2</v>
      </c>
    </row>
    <row r="1511" spans="2:9" hidden="1">
      <c r="B1511" s="156">
        <v>45700</v>
      </c>
      <c r="C1511" s="255" t="s">
        <v>2442</v>
      </c>
      <c r="D1511" s="402">
        <f t="shared" si="123"/>
        <v>3791770.38</v>
      </c>
      <c r="E1511" s="376">
        <v>961.89</v>
      </c>
      <c r="F1511" s="401">
        <v>3942</v>
      </c>
      <c r="G1511" s="401">
        <f t="shared" si="126"/>
        <v>865.1</v>
      </c>
      <c r="H1511" s="402">
        <f t="shared" si="127"/>
        <v>-381546.1799999997</v>
      </c>
      <c r="I1511" s="402">
        <f t="shared" si="128"/>
        <v>3410224.2</v>
      </c>
    </row>
    <row r="1512" spans="2:9" hidden="1">
      <c r="B1512" s="156">
        <v>45700</v>
      </c>
      <c r="C1512" s="255" t="s">
        <v>2443</v>
      </c>
      <c r="D1512" s="402">
        <f t="shared" si="123"/>
        <v>8711645.352</v>
      </c>
      <c r="E1512" s="376">
        <v>961.89</v>
      </c>
      <c r="F1512" s="401">
        <v>9056.7999999999993</v>
      </c>
      <c r="G1512" s="401">
        <f t="shared" si="126"/>
        <v>865.1</v>
      </c>
      <c r="H1512" s="402">
        <f t="shared" si="127"/>
        <v>-876607.67200000025</v>
      </c>
      <c r="I1512" s="402">
        <f t="shared" si="128"/>
        <v>7835037.6799999997</v>
      </c>
    </row>
    <row r="1513" spans="2:9" hidden="1">
      <c r="B1513" s="156">
        <v>45700</v>
      </c>
      <c r="C1513" s="255" t="s">
        <v>2444</v>
      </c>
      <c r="D1513" s="402">
        <f t="shared" si="123"/>
        <v>992670.48</v>
      </c>
      <c r="E1513" s="376">
        <v>961.89</v>
      </c>
      <c r="F1513" s="401">
        <v>1032</v>
      </c>
      <c r="G1513" s="401">
        <f t="shared" si="126"/>
        <v>865.1</v>
      </c>
      <c r="H1513" s="402">
        <f t="shared" si="127"/>
        <v>-99887.279999999912</v>
      </c>
      <c r="I1513" s="402">
        <f t="shared" si="128"/>
        <v>892783.20000000007</v>
      </c>
    </row>
    <row r="1514" spans="2:9" hidden="1">
      <c r="B1514" s="156">
        <v>45700</v>
      </c>
      <c r="C1514" s="255" t="s">
        <v>2445</v>
      </c>
      <c r="D1514" s="402">
        <f t="shared" si="123"/>
        <v>4798773.0209999997</v>
      </c>
      <c r="E1514" s="376">
        <v>961.89</v>
      </c>
      <c r="F1514" s="401">
        <v>4988.8999999999996</v>
      </c>
      <c r="G1514" s="401">
        <f t="shared" si="126"/>
        <v>865.1</v>
      </c>
      <c r="H1514" s="402">
        <f t="shared" si="127"/>
        <v>-482875.63100000005</v>
      </c>
      <c r="I1514" s="402">
        <f t="shared" si="128"/>
        <v>4315897.3899999997</v>
      </c>
    </row>
    <row r="1515" spans="2:9" hidden="1">
      <c r="B1515" s="156">
        <v>45700</v>
      </c>
      <c r="C1515" s="255" t="s">
        <v>2446</v>
      </c>
      <c r="D1515" s="402">
        <f t="shared" si="123"/>
        <v>8781189.9989999998</v>
      </c>
      <c r="E1515" s="376">
        <v>961.89</v>
      </c>
      <c r="F1515" s="401">
        <v>9129.1</v>
      </c>
      <c r="G1515" s="401">
        <f t="shared" si="126"/>
        <v>865.1</v>
      </c>
      <c r="H1515" s="402">
        <f t="shared" si="127"/>
        <v>-883605.58899999969</v>
      </c>
      <c r="I1515" s="402">
        <f t="shared" si="128"/>
        <v>7897584.4100000001</v>
      </c>
    </row>
    <row r="1516" spans="2:9" hidden="1">
      <c r="B1516" s="156">
        <v>45700</v>
      </c>
      <c r="C1516" s="255" t="s">
        <v>2447</v>
      </c>
      <c r="D1516" s="402">
        <f t="shared" si="123"/>
        <v>992670.48</v>
      </c>
      <c r="E1516" s="376">
        <v>961.89</v>
      </c>
      <c r="F1516" s="401">
        <v>1032</v>
      </c>
      <c r="G1516" s="401">
        <f t="shared" si="126"/>
        <v>865.1</v>
      </c>
      <c r="H1516" s="402">
        <f t="shared" si="127"/>
        <v>-99887.279999999912</v>
      </c>
      <c r="I1516" s="402">
        <f t="shared" si="128"/>
        <v>892783.20000000007</v>
      </c>
    </row>
    <row r="1517" spans="2:9" hidden="1">
      <c r="B1517" s="156">
        <v>45700</v>
      </c>
      <c r="C1517" s="255" t="s">
        <v>2448</v>
      </c>
      <c r="D1517" s="402">
        <f t="shared" si="123"/>
        <v>4069756.59</v>
      </c>
      <c r="E1517" s="376">
        <v>961.89</v>
      </c>
      <c r="F1517" s="401">
        <v>4231</v>
      </c>
      <c r="G1517" s="401">
        <f t="shared" si="126"/>
        <v>865.1</v>
      </c>
      <c r="H1517" s="402">
        <f t="shared" si="127"/>
        <v>-409518.48999999976</v>
      </c>
      <c r="I1517" s="402">
        <f t="shared" si="128"/>
        <v>3660238.1</v>
      </c>
    </row>
    <row r="1518" spans="2:9" hidden="1">
      <c r="B1518" s="156">
        <v>45700</v>
      </c>
      <c r="C1518" s="255" t="s">
        <v>2449</v>
      </c>
      <c r="D1518" s="402">
        <f t="shared" si="123"/>
        <v>6864047.04</v>
      </c>
      <c r="E1518" s="376">
        <v>961.89</v>
      </c>
      <c r="F1518" s="401">
        <v>7136</v>
      </c>
      <c r="G1518" s="401">
        <f t="shared" si="126"/>
        <v>865.1</v>
      </c>
      <c r="H1518" s="402">
        <f t="shared" si="127"/>
        <v>-690693.43999999948</v>
      </c>
      <c r="I1518" s="402">
        <f t="shared" si="128"/>
        <v>6173353.6000000006</v>
      </c>
    </row>
    <row r="1519" spans="2:9" hidden="1">
      <c r="B1519" s="156">
        <v>45700</v>
      </c>
      <c r="C1519" s="255" t="s">
        <v>2450</v>
      </c>
      <c r="D1519" s="402">
        <f t="shared" si="123"/>
        <v>992670.48</v>
      </c>
      <c r="E1519" s="376">
        <v>961.89</v>
      </c>
      <c r="F1519" s="401">
        <v>1032</v>
      </c>
      <c r="G1519" s="401">
        <f t="shared" si="126"/>
        <v>865.1</v>
      </c>
      <c r="H1519" s="402">
        <f t="shared" si="127"/>
        <v>-99887.279999999912</v>
      </c>
      <c r="I1519" s="402">
        <f t="shared" si="128"/>
        <v>892783.20000000007</v>
      </c>
    </row>
    <row r="1520" spans="2:9" hidden="1">
      <c r="B1520" s="156">
        <v>45700</v>
      </c>
      <c r="C1520" s="255" t="s">
        <v>2451</v>
      </c>
      <c r="D1520" s="402">
        <f t="shared" si="123"/>
        <v>3791770.38</v>
      </c>
      <c r="E1520" s="376">
        <v>961.89</v>
      </c>
      <c r="F1520" s="401">
        <v>3942</v>
      </c>
      <c r="G1520" s="401">
        <f t="shared" si="126"/>
        <v>865.1</v>
      </c>
      <c r="H1520" s="402">
        <f t="shared" si="127"/>
        <v>-381546.1799999997</v>
      </c>
      <c r="I1520" s="402">
        <f t="shared" si="128"/>
        <v>3410224.2</v>
      </c>
    </row>
    <row r="1521" spans="2:9" hidden="1">
      <c r="B1521" s="156">
        <v>45700</v>
      </c>
      <c r="C1521" s="255" t="s">
        <v>2452</v>
      </c>
      <c r="D1521" s="402">
        <f t="shared" si="123"/>
        <v>7873646.784</v>
      </c>
      <c r="E1521" s="376">
        <v>961.89</v>
      </c>
      <c r="F1521" s="401">
        <v>8185.6</v>
      </c>
      <c r="G1521" s="401">
        <f t="shared" si="126"/>
        <v>865.1</v>
      </c>
      <c r="H1521" s="402">
        <f t="shared" si="127"/>
        <v>-792284.22399999946</v>
      </c>
      <c r="I1521" s="402">
        <f t="shared" si="128"/>
        <v>7081362.5600000005</v>
      </c>
    </row>
    <row r="1522" spans="2:9" hidden="1">
      <c r="B1522" s="156">
        <v>45700</v>
      </c>
      <c r="C1522" s="255" t="s">
        <v>2453</v>
      </c>
      <c r="D1522" s="402">
        <f t="shared" si="123"/>
        <v>992670.48</v>
      </c>
      <c r="E1522" s="376">
        <v>961.89</v>
      </c>
      <c r="F1522" s="401">
        <v>1032</v>
      </c>
      <c r="G1522" s="401">
        <f t="shared" si="126"/>
        <v>865.1</v>
      </c>
      <c r="H1522" s="402">
        <f t="shared" si="127"/>
        <v>-99887.279999999912</v>
      </c>
      <c r="I1522" s="402">
        <f t="shared" si="128"/>
        <v>892783.20000000007</v>
      </c>
    </row>
    <row r="1523" spans="2:9" hidden="1">
      <c r="B1523" s="156">
        <v>45700</v>
      </c>
      <c r="C1523" s="255" t="s">
        <v>2454</v>
      </c>
      <c r="D1523" s="402">
        <f t="shared" si="123"/>
        <v>4254728.0370000005</v>
      </c>
      <c r="E1523" s="376">
        <v>961.89</v>
      </c>
      <c r="F1523" s="401">
        <v>4423.3</v>
      </c>
      <c r="G1523" s="401">
        <f t="shared" si="126"/>
        <v>865.1</v>
      </c>
      <c r="H1523" s="402">
        <f t="shared" si="127"/>
        <v>-428131.2070000004</v>
      </c>
      <c r="I1523" s="402">
        <f t="shared" si="128"/>
        <v>3826596.83</v>
      </c>
    </row>
    <row r="1524" spans="2:9" hidden="1">
      <c r="B1524" s="156">
        <v>45700</v>
      </c>
      <c r="C1524" s="255" t="s">
        <v>2455</v>
      </c>
      <c r="D1524" s="402">
        <f t="shared" si="123"/>
        <v>5850022.602</v>
      </c>
      <c r="E1524" s="376">
        <v>961.89</v>
      </c>
      <c r="F1524" s="401">
        <v>6081.8</v>
      </c>
      <c r="G1524" s="401">
        <f t="shared" si="126"/>
        <v>865.1</v>
      </c>
      <c r="H1524" s="402">
        <f t="shared" si="127"/>
        <v>-588657.42199999932</v>
      </c>
      <c r="I1524" s="402">
        <f t="shared" si="128"/>
        <v>5261365.1800000006</v>
      </c>
    </row>
    <row r="1525" spans="2:9" hidden="1">
      <c r="B1525" s="156">
        <v>45700</v>
      </c>
      <c r="C1525" s="255" t="s">
        <v>2456</v>
      </c>
      <c r="D1525" s="402">
        <f t="shared" si="123"/>
        <v>992670.48</v>
      </c>
      <c r="E1525" s="376">
        <v>961.89</v>
      </c>
      <c r="F1525" s="401">
        <v>1032</v>
      </c>
      <c r="G1525" s="401">
        <f t="shared" si="126"/>
        <v>865.1</v>
      </c>
      <c r="H1525" s="402">
        <f t="shared" si="127"/>
        <v>-99887.279999999912</v>
      </c>
      <c r="I1525" s="402">
        <f t="shared" si="128"/>
        <v>892783.20000000007</v>
      </c>
    </row>
    <row r="1526" spans="2:9" hidden="1">
      <c r="B1526" s="156">
        <v>45700</v>
      </c>
      <c r="C1526" s="255" t="s">
        <v>2457</v>
      </c>
      <c r="D1526" s="402">
        <f t="shared" si="123"/>
        <v>5013370.68</v>
      </c>
      <c r="E1526" s="376">
        <v>961.89</v>
      </c>
      <c r="F1526" s="401">
        <v>5212</v>
      </c>
      <c r="G1526" s="401">
        <f t="shared" si="126"/>
        <v>865.1</v>
      </c>
      <c r="H1526" s="402">
        <f t="shared" si="127"/>
        <v>-504469.47999999952</v>
      </c>
      <c r="I1526" s="402">
        <f t="shared" si="128"/>
        <v>4508901.2</v>
      </c>
    </row>
    <row r="1527" spans="2:9" hidden="1">
      <c r="B1527" s="156">
        <v>45700</v>
      </c>
      <c r="C1527" s="255" t="s">
        <v>2458</v>
      </c>
      <c r="D1527" s="402">
        <f t="shared" si="123"/>
        <v>7112791.7940000007</v>
      </c>
      <c r="E1527" s="376">
        <v>961.89</v>
      </c>
      <c r="F1527" s="401">
        <v>7394.6</v>
      </c>
      <c r="G1527" s="401">
        <f t="shared" si="126"/>
        <v>865.1</v>
      </c>
      <c r="H1527" s="402">
        <f t="shared" si="127"/>
        <v>-715723.3339999998</v>
      </c>
      <c r="I1527" s="402">
        <f t="shared" si="128"/>
        <v>6397068.4600000009</v>
      </c>
    </row>
    <row r="1528" spans="2:9" hidden="1">
      <c r="B1528" s="156">
        <v>45700</v>
      </c>
      <c r="C1528" s="255" t="s">
        <v>2459</v>
      </c>
      <c r="D1528" s="402">
        <f t="shared" si="123"/>
        <v>992670.48</v>
      </c>
      <c r="E1528" s="376">
        <v>961.89</v>
      </c>
      <c r="F1528" s="401">
        <v>1032</v>
      </c>
      <c r="G1528" s="401">
        <f t="shared" si="126"/>
        <v>865.1</v>
      </c>
      <c r="H1528" s="402">
        <f t="shared" si="127"/>
        <v>-99887.279999999912</v>
      </c>
      <c r="I1528" s="402">
        <f t="shared" si="128"/>
        <v>892783.20000000007</v>
      </c>
    </row>
    <row r="1529" spans="2:9" hidden="1">
      <c r="B1529" s="156">
        <v>45700</v>
      </c>
      <c r="C1529" s="255" t="s">
        <v>2460</v>
      </c>
      <c r="D1529" s="402">
        <f t="shared" si="123"/>
        <v>3995787.2490000003</v>
      </c>
      <c r="E1529" s="376">
        <v>961.89</v>
      </c>
      <c r="F1529" s="401">
        <v>4154.1000000000004</v>
      </c>
      <c r="G1529" s="401">
        <f t="shared" si="126"/>
        <v>865.1</v>
      </c>
      <c r="H1529" s="402">
        <f t="shared" si="127"/>
        <v>-402075.33899999969</v>
      </c>
      <c r="I1529" s="402">
        <f t="shared" si="128"/>
        <v>3593711.9100000006</v>
      </c>
    </row>
    <row r="1530" spans="2:9" hidden="1">
      <c r="B1530" s="156">
        <v>45700</v>
      </c>
      <c r="C1530" s="255" t="s">
        <v>2461</v>
      </c>
      <c r="D1530" s="402">
        <f t="shared" si="123"/>
        <v>992670.48</v>
      </c>
      <c r="E1530" s="376">
        <v>961.89</v>
      </c>
      <c r="F1530" s="401">
        <v>1032</v>
      </c>
      <c r="G1530" s="401">
        <f t="shared" si="126"/>
        <v>865.1</v>
      </c>
      <c r="H1530" s="402">
        <f t="shared" si="127"/>
        <v>-99887.279999999912</v>
      </c>
      <c r="I1530" s="402">
        <f t="shared" si="128"/>
        <v>892783.20000000007</v>
      </c>
    </row>
    <row r="1531" spans="2:9" hidden="1">
      <c r="B1531" s="156">
        <v>45700</v>
      </c>
      <c r="C1531" s="255" t="s">
        <v>2462</v>
      </c>
      <c r="D1531" s="402">
        <f t="shared" si="123"/>
        <v>7073450.4929999998</v>
      </c>
      <c r="E1531" s="376">
        <v>961.89</v>
      </c>
      <c r="F1531" s="401">
        <v>7353.7</v>
      </c>
      <c r="G1531" s="401">
        <f t="shared" si="126"/>
        <v>865.1</v>
      </c>
      <c r="H1531" s="402">
        <f t="shared" si="127"/>
        <v>-711764.62299999967</v>
      </c>
      <c r="I1531" s="402">
        <f t="shared" si="128"/>
        <v>6361685.8700000001</v>
      </c>
    </row>
    <row r="1532" spans="2:9" hidden="1">
      <c r="B1532" s="156">
        <v>45700</v>
      </c>
      <c r="C1532" s="255" t="s">
        <v>2463</v>
      </c>
      <c r="D1532" s="402">
        <f t="shared" si="123"/>
        <v>8488967.8169999998</v>
      </c>
      <c r="E1532" s="376">
        <v>961.89</v>
      </c>
      <c r="F1532" s="401">
        <v>8825.2999999999993</v>
      </c>
      <c r="G1532" s="401">
        <f t="shared" si="126"/>
        <v>865.1</v>
      </c>
      <c r="H1532" s="402">
        <f t="shared" si="127"/>
        <v>-854200.78700000048</v>
      </c>
      <c r="I1532" s="402">
        <f t="shared" si="128"/>
        <v>7634767.0299999993</v>
      </c>
    </row>
    <row r="1533" spans="2:9" hidden="1">
      <c r="B1533" s="156">
        <v>45700</v>
      </c>
      <c r="C1533" s="255" t="s">
        <v>2464</v>
      </c>
      <c r="D1533" s="402">
        <f t="shared" si="123"/>
        <v>5521344.7889999999</v>
      </c>
      <c r="E1533" s="376">
        <v>961.89</v>
      </c>
      <c r="F1533" s="401">
        <v>5740.1</v>
      </c>
      <c r="G1533" s="401">
        <f t="shared" si="126"/>
        <v>865.1</v>
      </c>
      <c r="H1533" s="402">
        <f t="shared" si="127"/>
        <v>-555584.27899999917</v>
      </c>
      <c r="I1533" s="402">
        <f t="shared" si="128"/>
        <v>4965760.5100000007</v>
      </c>
    </row>
    <row r="1534" spans="2:9" hidden="1">
      <c r="B1534" s="156">
        <v>45700</v>
      </c>
      <c r="C1534" s="255" t="s">
        <v>2465</v>
      </c>
      <c r="D1534" s="402">
        <f t="shared" si="123"/>
        <v>1840768.8929999999</v>
      </c>
      <c r="E1534" s="376">
        <v>961.89</v>
      </c>
      <c r="F1534" s="401">
        <v>1913.7</v>
      </c>
      <c r="G1534" s="401">
        <f t="shared" si="126"/>
        <v>865.1</v>
      </c>
      <c r="H1534" s="402">
        <f t="shared" si="127"/>
        <v>-185227.02299999981</v>
      </c>
      <c r="I1534" s="402">
        <f t="shared" si="128"/>
        <v>1655541.87</v>
      </c>
    </row>
    <row r="1535" spans="2:9" hidden="1">
      <c r="B1535" s="156">
        <v>45700</v>
      </c>
      <c r="C1535" s="255" t="s">
        <v>2466</v>
      </c>
      <c r="D1535" s="402">
        <f t="shared" si="123"/>
        <v>7151267.3940000003</v>
      </c>
      <c r="E1535" s="376">
        <v>961.89</v>
      </c>
      <c r="F1535" s="401">
        <v>7434.6</v>
      </c>
      <c r="G1535" s="401">
        <f t="shared" si="126"/>
        <v>865.1</v>
      </c>
      <c r="H1535" s="402">
        <f t="shared" si="127"/>
        <v>-719594.93399999943</v>
      </c>
      <c r="I1535" s="402">
        <f t="shared" si="128"/>
        <v>6431672.4600000009</v>
      </c>
    </row>
    <row r="1536" spans="2:9" hidden="1">
      <c r="B1536" s="156">
        <v>45700</v>
      </c>
      <c r="C1536" s="255" t="s">
        <v>2467</v>
      </c>
      <c r="D1536" s="402">
        <f t="shared" si="123"/>
        <v>1465920.3599999999</v>
      </c>
      <c r="E1536" s="376">
        <v>961.89</v>
      </c>
      <c r="F1536" s="401">
        <v>1524</v>
      </c>
      <c r="G1536" s="401">
        <f t="shared" si="126"/>
        <v>865.1</v>
      </c>
      <c r="H1536" s="402">
        <f t="shared" si="127"/>
        <v>-147507.95999999973</v>
      </c>
      <c r="I1536" s="402">
        <f t="shared" si="128"/>
        <v>1318412.4000000001</v>
      </c>
    </row>
    <row r="1537" spans="2:9" hidden="1">
      <c r="B1537" s="156">
        <v>45700</v>
      </c>
      <c r="C1537" s="255" t="s">
        <v>2468</v>
      </c>
      <c r="D1537" s="402">
        <f t="shared" si="123"/>
        <v>81668212.370999992</v>
      </c>
      <c r="E1537" s="376">
        <v>961.89</v>
      </c>
      <c r="F1537" s="401">
        <v>84903.9</v>
      </c>
      <c r="G1537" s="401">
        <f t="shared" si="126"/>
        <v>865.1</v>
      </c>
      <c r="H1537" s="402">
        <f t="shared" si="127"/>
        <v>-8217848.4809999913</v>
      </c>
      <c r="I1537" s="402">
        <f t="shared" si="128"/>
        <v>73450363.890000001</v>
      </c>
    </row>
    <row r="1538" spans="2:9" hidden="1">
      <c r="B1538" s="156">
        <v>45700</v>
      </c>
      <c r="C1538" s="255" t="s">
        <v>2469</v>
      </c>
      <c r="D1538" s="402">
        <f t="shared" si="123"/>
        <v>2304784.6289999997</v>
      </c>
      <c r="E1538" s="376">
        <v>961.89</v>
      </c>
      <c r="F1538" s="401">
        <v>2396.1</v>
      </c>
      <c r="G1538" s="401">
        <f t="shared" si="126"/>
        <v>865.1</v>
      </c>
      <c r="H1538" s="402">
        <f t="shared" si="127"/>
        <v>-231918.51899999985</v>
      </c>
      <c r="I1538" s="402">
        <f t="shared" si="128"/>
        <v>2072866.1099999999</v>
      </c>
    </row>
    <row r="1539" spans="2:9" hidden="1">
      <c r="B1539" s="156">
        <v>45700</v>
      </c>
      <c r="C1539" s="255" t="s">
        <v>2470</v>
      </c>
      <c r="D1539" s="402">
        <f t="shared" si="123"/>
        <v>28745024.571000002</v>
      </c>
      <c r="E1539" s="376">
        <v>961.89</v>
      </c>
      <c r="F1539" s="401">
        <v>29883.9</v>
      </c>
      <c r="G1539" s="401">
        <f t="shared" si="126"/>
        <v>865.1</v>
      </c>
      <c r="H1539" s="402">
        <f t="shared" si="127"/>
        <v>-2892462.6810000017</v>
      </c>
      <c r="I1539" s="402">
        <f t="shared" si="128"/>
        <v>25852561.890000001</v>
      </c>
    </row>
    <row r="1540" spans="2:9" hidden="1">
      <c r="B1540" s="156">
        <v>45700</v>
      </c>
      <c r="C1540" s="255" t="s">
        <v>2471</v>
      </c>
      <c r="D1540" s="402">
        <f t="shared" si="123"/>
        <v>180354.375</v>
      </c>
      <c r="E1540" s="376">
        <v>961.89</v>
      </c>
      <c r="F1540" s="401">
        <v>187.5</v>
      </c>
      <c r="G1540" s="401">
        <f t="shared" si="126"/>
        <v>865.1</v>
      </c>
      <c r="H1540" s="402">
        <f t="shared" si="127"/>
        <v>-18148.125</v>
      </c>
      <c r="I1540" s="402">
        <f t="shared" si="128"/>
        <v>162206.25</v>
      </c>
    </row>
    <row r="1541" spans="2:9" hidden="1">
      <c r="B1541" s="156">
        <v>45700</v>
      </c>
      <c r="C1541" s="255" t="s">
        <v>2472</v>
      </c>
      <c r="D1541" s="402">
        <f t="shared" si="123"/>
        <v>202285.467</v>
      </c>
      <c r="E1541" s="376">
        <v>961.89</v>
      </c>
      <c r="F1541" s="401">
        <v>210.3</v>
      </c>
      <c r="G1541" s="401">
        <f t="shared" si="126"/>
        <v>865.1</v>
      </c>
      <c r="H1541" s="402">
        <f t="shared" si="127"/>
        <v>-20354.936999999976</v>
      </c>
      <c r="I1541" s="402">
        <f t="shared" si="128"/>
        <v>181930.53000000003</v>
      </c>
    </row>
    <row r="1542" spans="2:9" hidden="1">
      <c r="B1542" s="156">
        <v>45716</v>
      </c>
      <c r="C1542" s="255" t="s">
        <v>673</v>
      </c>
      <c r="D1542" s="402">
        <f t="shared" si="123"/>
        <v>-130649630.53516415</v>
      </c>
      <c r="E1542" s="376">
        <v>954.22</v>
      </c>
      <c r="F1542" s="401">
        <v>-136917.723937</v>
      </c>
      <c r="G1542" s="401">
        <f>+G1350</f>
        <v>865.1</v>
      </c>
      <c r="H1542" s="402">
        <f t="shared" ref="H1542" si="129">+I1542-D1542</f>
        <v>12202107.557265446</v>
      </c>
      <c r="I1542" s="402">
        <f t="shared" ref="I1542" si="130">+F1542*G1542</f>
        <v>-118447522.9778987</v>
      </c>
    </row>
    <row r="1543" spans="2:9" hidden="1">
      <c r="B1543" s="156">
        <v>45723</v>
      </c>
      <c r="C1543" s="255" t="s">
        <v>2487</v>
      </c>
      <c r="D1543" s="402">
        <f t="shared" si="123"/>
        <v>25896234</v>
      </c>
      <c r="E1543" s="376">
        <v>926.52</v>
      </c>
      <c r="F1543" s="401">
        <v>27950</v>
      </c>
      <c r="G1543" s="401">
        <f t="shared" ref="G1543:G1603" si="131">+G1351</f>
        <v>865.1</v>
      </c>
      <c r="H1543" s="402">
        <f t="shared" ref="H1543:H1606" si="132">+I1543-D1543</f>
        <v>-1716689</v>
      </c>
      <c r="I1543" s="402">
        <f t="shared" ref="I1543:I1603" si="133">+F1543*G1543</f>
        <v>24179545</v>
      </c>
    </row>
    <row r="1544" spans="2:9" hidden="1">
      <c r="B1544" s="156">
        <v>45723</v>
      </c>
      <c r="C1544" s="255" t="s">
        <v>2488</v>
      </c>
      <c r="D1544" s="402">
        <f t="shared" si="123"/>
        <v>40987021.151999995</v>
      </c>
      <c r="E1544" s="376">
        <v>926.52</v>
      </c>
      <c r="F1544" s="401">
        <v>44237.599999999999</v>
      </c>
      <c r="G1544" s="401">
        <f t="shared" si="131"/>
        <v>865.1</v>
      </c>
      <c r="H1544" s="402">
        <f t="shared" si="132"/>
        <v>-2717073.3919999972</v>
      </c>
      <c r="I1544" s="402">
        <f t="shared" si="133"/>
        <v>38269947.759999998</v>
      </c>
    </row>
    <row r="1545" spans="2:9" hidden="1">
      <c r="B1545" s="156">
        <v>45728</v>
      </c>
      <c r="C1545" s="255" t="s">
        <v>2489</v>
      </c>
      <c r="D1545" s="402">
        <f t="shared" si="123"/>
        <v>1325648.0449999999</v>
      </c>
      <c r="E1545" s="376">
        <v>937.45</v>
      </c>
      <c r="F1545" s="401">
        <v>1414.1</v>
      </c>
      <c r="G1545" s="401">
        <f t="shared" si="131"/>
        <v>865.1</v>
      </c>
      <c r="H1545" s="402">
        <f t="shared" si="132"/>
        <v>-102310.13500000001</v>
      </c>
      <c r="I1545" s="402">
        <f t="shared" si="133"/>
        <v>1223337.9099999999</v>
      </c>
    </row>
    <row r="1546" spans="2:9" hidden="1">
      <c r="B1546" s="156">
        <v>45728</v>
      </c>
      <c r="C1546" s="255" t="s">
        <v>2490</v>
      </c>
      <c r="D1546" s="402">
        <f t="shared" si="123"/>
        <v>3003589.8000000003</v>
      </c>
      <c r="E1546" s="376">
        <v>937.45</v>
      </c>
      <c r="F1546" s="401">
        <v>3204</v>
      </c>
      <c r="G1546" s="401">
        <f t="shared" si="131"/>
        <v>865.1</v>
      </c>
      <c r="H1546" s="402">
        <f t="shared" si="132"/>
        <v>-231809.40000000037</v>
      </c>
      <c r="I1546" s="402">
        <f t="shared" si="133"/>
        <v>2771780.4</v>
      </c>
    </row>
    <row r="1547" spans="2:9" hidden="1">
      <c r="B1547" s="156">
        <v>45728</v>
      </c>
      <c r="C1547" s="255" t="s">
        <v>2491</v>
      </c>
      <c r="D1547" s="402">
        <f t="shared" si="123"/>
        <v>9851662.0500000007</v>
      </c>
      <c r="E1547" s="376">
        <v>937.45</v>
      </c>
      <c r="F1547" s="401">
        <v>10509</v>
      </c>
      <c r="G1547" s="401">
        <f t="shared" si="131"/>
        <v>865.1</v>
      </c>
      <c r="H1547" s="402">
        <f t="shared" si="132"/>
        <v>-760326.15000000037</v>
      </c>
      <c r="I1547" s="402">
        <f t="shared" si="133"/>
        <v>9091335.9000000004</v>
      </c>
    </row>
    <row r="1548" spans="2:9" hidden="1">
      <c r="B1548" s="156">
        <v>45728</v>
      </c>
      <c r="C1548" s="255" t="s">
        <v>2492</v>
      </c>
      <c r="D1548" s="402">
        <f t="shared" si="123"/>
        <v>4032909.9000000004</v>
      </c>
      <c r="E1548" s="376">
        <v>937.45</v>
      </c>
      <c r="F1548" s="401">
        <v>4302</v>
      </c>
      <c r="G1548" s="401">
        <f t="shared" si="131"/>
        <v>865.1</v>
      </c>
      <c r="H1548" s="402">
        <f t="shared" si="132"/>
        <v>-311249.70000000019</v>
      </c>
      <c r="I1548" s="402">
        <f t="shared" si="133"/>
        <v>3721660.2</v>
      </c>
    </row>
    <row r="1549" spans="2:9" hidden="1">
      <c r="B1549" s="156">
        <v>45728</v>
      </c>
      <c r="C1549" s="255" t="s">
        <v>2493</v>
      </c>
      <c r="D1549" s="402">
        <f t="shared" si="123"/>
        <v>1297618.29</v>
      </c>
      <c r="E1549" s="376">
        <v>937.45</v>
      </c>
      <c r="F1549" s="401">
        <v>1384.2</v>
      </c>
      <c r="G1549" s="401">
        <f t="shared" si="131"/>
        <v>865.1</v>
      </c>
      <c r="H1549" s="402">
        <f t="shared" si="132"/>
        <v>-100146.86999999988</v>
      </c>
      <c r="I1549" s="402">
        <f t="shared" si="133"/>
        <v>1197471.4200000002</v>
      </c>
    </row>
    <row r="1550" spans="2:9" hidden="1">
      <c r="B1550" s="156">
        <v>45728</v>
      </c>
      <c r="C1550" s="255" t="s">
        <v>2494</v>
      </c>
      <c r="D1550" s="402">
        <f t="shared" si="123"/>
        <v>14797648.25</v>
      </c>
      <c r="E1550" s="376">
        <v>937.45</v>
      </c>
      <c r="F1550" s="401">
        <v>15785</v>
      </c>
      <c r="G1550" s="401">
        <f t="shared" si="131"/>
        <v>865.1</v>
      </c>
      <c r="H1550" s="402">
        <f t="shared" si="132"/>
        <v>-1142044.75</v>
      </c>
      <c r="I1550" s="402">
        <f t="shared" si="133"/>
        <v>13655603.5</v>
      </c>
    </row>
    <row r="1551" spans="2:9" hidden="1">
      <c r="B1551" s="156">
        <v>45728</v>
      </c>
      <c r="C1551" s="255" t="s">
        <v>2495</v>
      </c>
      <c r="D1551" s="402">
        <f t="shared" si="123"/>
        <v>1349365.5300000003</v>
      </c>
      <c r="E1551" s="376">
        <v>937.45</v>
      </c>
      <c r="F1551" s="401">
        <v>1439.4</v>
      </c>
      <c r="G1551" s="401">
        <f t="shared" si="131"/>
        <v>865.1</v>
      </c>
      <c r="H1551" s="402">
        <f t="shared" si="132"/>
        <v>-104140.59000000008</v>
      </c>
      <c r="I1551" s="402">
        <f t="shared" si="133"/>
        <v>1245224.9400000002</v>
      </c>
    </row>
    <row r="1552" spans="2:9" hidden="1">
      <c r="B1552" s="156">
        <v>45728</v>
      </c>
      <c r="C1552" s="255" t="s">
        <v>2496</v>
      </c>
      <c r="D1552" s="402">
        <f t="shared" si="123"/>
        <v>923013.27</v>
      </c>
      <c r="E1552" s="376">
        <v>937.45</v>
      </c>
      <c r="F1552" s="401">
        <v>984.6</v>
      </c>
      <c r="G1552" s="401">
        <f t="shared" si="131"/>
        <v>865.1</v>
      </c>
      <c r="H1552" s="402">
        <f t="shared" si="132"/>
        <v>-71235.809999999939</v>
      </c>
      <c r="I1552" s="402">
        <f t="shared" si="133"/>
        <v>851777.46000000008</v>
      </c>
    </row>
    <row r="1553" spans="2:9" hidden="1">
      <c r="B1553" s="156">
        <v>45728</v>
      </c>
      <c r="C1553" s="255" t="s">
        <v>2497</v>
      </c>
      <c r="D1553" s="402">
        <f t="shared" si="123"/>
        <v>512785.15</v>
      </c>
      <c r="E1553" s="376">
        <v>937.45</v>
      </c>
      <c r="F1553" s="401">
        <v>547</v>
      </c>
      <c r="G1553" s="401">
        <f t="shared" si="131"/>
        <v>865.1</v>
      </c>
      <c r="H1553" s="402">
        <f t="shared" si="132"/>
        <v>-39575.450000000012</v>
      </c>
      <c r="I1553" s="402">
        <f t="shared" si="133"/>
        <v>473209.7</v>
      </c>
    </row>
    <row r="1554" spans="2:9" hidden="1">
      <c r="B1554" s="156">
        <v>45728</v>
      </c>
      <c r="C1554" s="255" t="s">
        <v>2498</v>
      </c>
      <c r="D1554" s="402">
        <f t="shared" si="123"/>
        <v>2965341.84</v>
      </c>
      <c r="E1554" s="376">
        <v>937.45</v>
      </c>
      <c r="F1554" s="401">
        <v>3163.2</v>
      </c>
      <c r="G1554" s="401">
        <f t="shared" si="131"/>
        <v>865.1</v>
      </c>
      <c r="H1554" s="402">
        <f t="shared" si="132"/>
        <v>-228857.52000000002</v>
      </c>
      <c r="I1554" s="402">
        <f t="shared" si="133"/>
        <v>2736484.32</v>
      </c>
    </row>
    <row r="1555" spans="2:9" hidden="1">
      <c r="B1555" s="156">
        <v>45728</v>
      </c>
      <c r="C1555" s="255" t="s">
        <v>2499</v>
      </c>
      <c r="D1555" s="402">
        <f t="shared" si="123"/>
        <v>1675410.6400000001</v>
      </c>
      <c r="E1555" s="376">
        <v>937.45</v>
      </c>
      <c r="F1555" s="401">
        <v>1787.2</v>
      </c>
      <c r="G1555" s="401">
        <f t="shared" si="131"/>
        <v>865.1</v>
      </c>
      <c r="H1555" s="402">
        <f t="shared" si="132"/>
        <v>-129303.92000000016</v>
      </c>
      <c r="I1555" s="402">
        <f t="shared" si="133"/>
        <v>1546106.72</v>
      </c>
    </row>
    <row r="1556" spans="2:9" hidden="1">
      <c r="B1556" s="156">
        <v>45728</v>
      </c>
      <c r="C1556" s="255" t="s">
        <v>2500</v>
      </c>
      <c r="D1556" s="402">
        <f t="shared" si="123"/>
        <v>3003589.8000000003</v>
      </c>
      <c r="E1556" s="376">
        <v>937.45</v>
      </c>
      <c r="F1556" s="401">
        <v>3204</v>
      </c>
      <c r="G1556" s="401">
        <f t="shared" si="131"/>
        <v>865.1</v>
      </c>
      <c r="H1556" s="402">
        <f t="shared" si="132"/>
        <v>-231809.40000000037</v>
      </c>
      <c r="I1556" s="402">
        <f t="shared" si="133"/>
        <v>2771780.4</v>
      </c>
    </row>
    <row r="1557" spans="2:9" hidden="1">
      <c r="B1557" s="156">
        <v>45728</v>
      </c>
      <c r="C1557" s="255" t="s">
        <v>2501</v>
      </c>
      <c r="D1557" s="402">
        <f t="shared" si="123"/>
        <v>1675410.6400000001</v>
      </c>
      <c r="E1557" s="376">
        <v>937.45</v>
      </c>
      <c r="F1557" s="401">
        <v>1787.2</v>
      </c>
      <c r="G1557" s="401">
        <f t="shared" si="131"/>
        <v>865.1</v>
      </c>
      <c r="H1557" s="402">
        <f t="shared" si="132"/>
        <v>-129303.92000000016</v>
      </c>
      <c r="I1557" s="402">
        <f t="shared" si="133"/>
        <v>1546106.72</v>
      </c>
    </row>
    <row r="1558" spans="2:9" hidden="1">
      <c r="B1558" s="156">
        <v>45728</v>
      </c>
      <c r="C1558" s="255" t="s">
        <v>2502</v>
      </c>
      <c r="D1558" s="402">
        <f t="shared" si="123"/>
        <v>3003589.8000000003</v>
      </c>
      <c r="E1558" s="376">
        <v>937.45</v>
      </c>
      <c r="F1558" s="401">
        <v>3204</v>
      </c>
      <c r="G1558" s="401">
        <f t="shared" si="131"/>
        <v>865.1</v>
      </c>
      <c r="H1558" s="402">
        <f t="shared" si="132"/>
        <v>-231809.40000000037</v>
      </c>
      <c r="I1558" s="402">
        <f t="shared" si="133"/>
        <v>2771780.4</v>
      </c>
    </row>
    <row r="1559" spans="2:9" hidden="1">
      <c r="B1559" s="156">
        <v>45728</v>
      </c>
      <c r="C1559" s="255" t="s">
        <v>2503</v>
      </c>
      <c r="D1559" s="402">
        <f t="shared" si="123"/>
        <v>809394.33000000007</v>
      </c>
      <c r="E1559" s="376">
        <v>937.45</v>
      </c>
      <c r="F1559" s="401">
        <v>863.4</v>
      </c>
      <c r="G1559" s="401">
        <f t="shared" si="131"/>
        <v>865.1</v>
      </c>
      <c r="H1559" s="402">
        <f t="shared" si="132"/>
        <v>-62466.990000000107</v>
      </c>
      <c r="I1559" s="402">
        <f t="shared" si="133"/>
        <v>746927.34</v>
      </c>
    </row>
    <row r="1560" spans="2:9" hidden="1">
      <c r="B1560" s="156">
        <v>45728</v>
      </c>
      <c r="C1560" s="255" t="s">
        <v>2504</v>
      </c>
      <c r="D1560" s="402">
        <f t="shared" si="123"/>
        <v>3003589.8000000003</v>
      </c>
      <c r="E1560" s="376">
        <v>937.45</v>
      </c>
      <c r="F1560" s="401">
        <v>3204</v>
      </c>
      <c r="G1560" s="401">
        <f t="shared" si="131"/>
        <v>865.1</v>
      </c>
      <c r="H1560" s="402">
        <f t="shared" si="132"/>
        <v>-231809.40000000037</v>
      </c>
      <c r="I1560" s="402">
        <f t="shared" si="133"/>
        <v>2771780.4</v>
      </c>
    </row>
    <row r="1561" spans="2:9" hidden="1">
      <c r="B1561" s="156">
        <v>45728</v>
      </c>
      <c r="C1561" s="255" t="s">
        <v>2505</v>
      </c>
      <c r="D1561" s="402">
        <f t="shared" si="123"/>
        <v>1325648.0449999999</v>
      </c>
      <c r="E1561" s="376">
        <v>937.45</v>
      </c>
      <c r="F1561" s="401">
        <v>1414.1</v>
      </c>
      <c r="G1561" s="401">
        <f t="shared" si="131"/>
        <v>865.1</v>
      </c>
      <c r="H1561" s="402">
        <f t="shared" si="132"/>
        <v>-102310.13500000001</v>
      </c>
      <c r="I1561" s="402">
        <f t="shared" si="133"/>
        <v>1223337.9099999999</v>
      </c>
    </row>
    <row r="1562" spans="2:9" hidden="1">
      <c r="B1562" s="156">
        <v>45728</v>
      </c>
      <c r="C1562" s="255" t="s">
        <v>2506</v>
      </c>
      <c r="D1562" s="402">
        <f t="shared" si="123"/>
        <v>3003589.8000000003</v>
      </c>
      <c r="E1562" s="376">
        <v>937.45</v>
      </c>
      <c r="F1562" s="401">
        <v>3204</v>
      </c>
      <c r="G1562" s="401">
        <f t="shared" si="131"/>
        <v>865.1</v>
      </c>
      <c r="H1562" s="402">
        <f t="shared" si="132"/>
        <v>-231809.40000000037</v>
      </c>
      <c r="I1562" s="402">
        <f t="shared" si="133"/>
        <v>2771780.4</v>
      </c>
    </row>
    <row r="1563" spans="2:9" hidden="1">
      <c r="B1563" s="156">
        <v>45728</v>
      </c>
      <c r="C1563" s="255" t="s">
        <v>2507</v>
      </c>
      <c r="D1563" s="402">
        <f t="shared" ref="D1563:D1613" si="134">E1563*F1563</f>
        <v>250111.66000000003</v>
      </c>
      <c r="E1563" s="376">
        <v>937.45</v>
      </c>
      <c r="F1563" s="401">
        <v>266.8</v>
      </c>
      <c r="G1563" s="401">
        <f t="shared" si="131"/>
        <v>865.1</v>
      </c>
      <c r="H1563" s="402">
        <f t="shared" si="132"/>
        <v>-19302.98000000001</v>
      </c>
      <c r="I1563" s="402">
        <f t="shared" si="133"/>
        <v>230808.68000000002</v>
      </c>
    </row>
    <row r="1564" spans="2:9" hidden="1">
      <c r="B1564" s="156">
        <v>45728</v>
      </c>
      <c r="C1564" s="255" t="s">
        <v>2508</v>
      </c>
      <c r="D1564" s="402">
        <f t="shared" si="134"/>
        <v>1325648.0449999999</v>
      </c>
      <c r="E1564" s="376">
        <v>937.45</v>
      </c>
      <c r="F1564" s="401">
        <v>1414.1</v>
      </c>
      <c r="G1564" s="401">
        <f t="shared" si="131"/>
        <v>865.1</v>
      </c>
      <c r="H1564" s="402">
        <f t="shared" si="132"/>
        <v>-102310.13500000001</v>
      </c>
      <c r="I1564" s="402">
        <f t="shared" si="133"/>
        <v>1223337.9099999999</v>
      </c>
    </row>
    <row r="1565" spans="2:9" hidden="1">
      <c r="B1565" s="156">
        <v>45728</v>
      </c>
      <c r="C1565" s="255" t="s">
        <v>2509</v>
      </c>
      <c r="D1565" s="402">
        <f t="shared" si="134"/>
        <v>3003589.8000000003</v>
      </c>
      <c r="E1565" s="376">
        <v>937.45</v>
      </c>
      <c r="F1565" s="401">
        <v>3204</v>
      </c>
      <c r="G1565" s="401">
        <f t="shared" si="131"/>
        <v>865.1</v>
      </c>
      <c r="H1565" s="402">
        <f t="shared" si="132"/>
        <v>-231809.40000000037</v>
      </c>
      <c r="I1565" s="402">
        <f t="shared" si="133"/>
        <v>2771780.4</v>
      </c>
    </row>
    <row r="1566" spans="2:9" hidden="1">
      <c r="B1566" s="156">
        <v>45728</v>
      </c>
      <c r="C1566" s="255" t="s">
        <v>2510</v>
      </c>
      <c r="D1566" s="402">
        <f t="shared" si="134"/>
        <v>809394.33000000007</v>
      </c>
      <c r="E1566" s="376">
        <v>937.45</v>
      </c>
      <c r="F1566" s="401">
        <v>863.4</v>
      </c>
      <c r="G1566" s="401">
        <f t="shared" si="131"/>
        <v>865.1</v>
      </c>
      <c r="H1566" s="402">
        <f t="shared" si="132"/>
        <v>-62466.990000000107</v>
      </c>
      <c r="I1566" s="402">
        <f t="shared" si="133"/>
        <v>746927.34</v>
      </c>
    </row>
    <row r="1567" spans="2:9" hidden="1">
      <c r="B1567" s="156">
        <v>45728</v>
      </c>
      <c r="C1567" s="255" t="s">
        <v>2511</v>
      </c>
      <c r="D1567" s="402">
        <f t="shared" si="134"/>
        <v>3003589.8000000003</v>
      </c>
      <c r="E1567" s="376">
        <v>937.45</v>
      </c>
      <c r="F1567" s="401">
        <v>3204</v>
      </c>
      <c r="G1567" s="401">
        <f t="shared" si="131"/>
        <v>865.1</v>
      </c>
      <c r="H1567" s="402">
        <f t="shared" si="132"/>
        <v>-231809.40000000037</v>
      </c>
      <c r="I1567" s="402">
        <f t="shared" si="133"/>
        <v>2771780.4</v>
      </c>
    </row>
    <row r="1568" spans="2:9" hidden="1">
      <c r="B1568" s="156">
        <v>45728</v>
      </c>
      <c r="C1568" s="255" t="s">
        <v>2512</v>
      </c>
      <c r="D1568" s="402">
        <f t="shared" si="134"/>
        <v>1325648.0449999999</v>
      </c>
      <c r="E1568" s="376">
        <v>937.45</v>
      </c>
      <c r="F1568" s="401">
        <v>1414.1</v>
      </c>
      <c r="G1568" s="401">
        <f t="shared" si="131"/>
        <v>865.1</v>
      </c>
      <c r="H1568" s="402">
        <f t="shared" si="132"/>
        <v>-102310.13500000001</v>
      </c>
      <c r="I1568" s="402">
        <f t="shared" si="133"/>
        <v>1223337.9099999999</v>
      </c>
    </row>
    <row r="1569" spans="2:9" hidden="1">
      <c r="B1569" s="156">
        <v>45728</v>
      </c>
      <c r="C1569" s="255" t="s">
        <v>2513</v>
      </c>
      <c r="D1569" s="402">
        <f t="shared" si="134"/>
        <v>3003589.8000000003</v>
      </c>
      <c r="E1569" s="376">
        <v>937.45</v>
      </c>
      <c r="F1569" s="401">
        <v>3204</v>
      </c>
      <c r="G1569" s="401">
        <f t="shared" si="131"/>
        <v>865.1</v>
      </c>
      <c r="H1569" s="402">
        <f t="shared" si="132"/>
        <v>-231809.40000000037</v>
      </c>
      <c r="I1569" s="402">
        <f t="shared" si="133"/>
        <v>2771780.4</v>
      </c>
    </row>
    <row r="1570" spans="2:9" hidden="1">
      <c r="B1570" s="156">
        <v>45728</v>
      </c>
      <c r="C1570" s="255" t="s">
        <v>2514</v>
      </c>
      <c r="D1570" s="402">
        <f t="shared" si="134"/>
        <v>1675410.6400000001</v>
      </c>
      <c r="E1570" s="376">
        <v>937.45</v>
      </c>
      <c r="F1570" s="401">
        <v>1787.2</v>
      </c>
      <c r="G1570" s="401">
        <f t="shared" si="131"/>
        <v>865.1</v>
      </c>
      <c r="H1570" s="402">
        <f t="shared" si="132"/>
        <v>-129303.92000000016</v>
      </c>
      <c r="I1570" s="402">
        <f t="shared" si="133"/>
        <v>1546106.72</v>
      </c>
    </row>
    <row r="1571" spans="2:9" hidden="1">
      <c r="B1571" s="156">
        <v>45728</v>
      </c>
      <c r="C1571" s="255" t="s">
        <v>2515</v>
      </c>
      <c r="D1571" s="402">
        <f t="shared" si="134"/>
        <v>3003589.8000000003</v>
      </c>
      <c r="E1571" s="376">
        <v>937.45</v>
      </c>
      <c r="F1571" s="401">
        <v>3204</v>
      </c>
      <c r="G1571" s="401">
        <f t="shared" si="131"/>
        <v>865.1</v>
      </c>
      <c r="H1571" s="402">
        <f t="shared" si="132"/>
        <v>-231809.40000000037</v>
      </c>
      <c r="I1571" s="402">
        <f t="shared" si="133"/>
        <v>2771780.4</v>
      </c>
    </row>
    <row r="1572" spans="2:9" hidden="1">
      <c r="B1572" s="156">
        <v>45728</v>
      </c>
      <c r="C1572" s="255" t="s">
        <v>2516</v>
      </c>
      <c r="D1572" s="402">
        <f t="shared" si="134"/>
        <v>1256557.9800000002</v>
      </c>
      <c r="E1572" s="376">
        <v>937.45</v>
      </c>
      <c r="F1572" s="401">
        <v>1340.4</v>
      </c>
      <c r="G1572" s="401">
        <f t="shared" si="131"/>
        <v>865.1</v>
      </c>
      <c r="H1572" s="402">
        <f t="shared" si="132"/>
        <v>-96977.940000000177</v>
      </c>
      <c r="I1572" s="402">
        <f t="shared" si="133"/>
        <v>1159580.04</v>
      </c>
    </row>
    <row r="1573" spans="2:9" hidden="1">
      <c r="B1573" s="156">
        <v>45728</v>
      </c>
      <c r="C1573" s="255" t="s">
        <v>2517</v>
      </c>
      <c r="D1573" s="402">
        <f t="shared" si="134"/>
        <v>3003589.8000000003</v>
      </c>
      <c r="E1573" s="376">
        <v>937.45</v>
      </c>
      <c r="F1573" s="401">
        <v>3204</v>
      </c>
      <c r="G1573" s="401">
        <f t="shared" si="131"/>
        <v>865.1</v>
      </c>
      <c r="H1573" s="402">
        <f t="shared" si="132"/>
        <v>-231809.40000000037</v>
      </c>
      <c r="I1573" s="402">
        <f t="shared" si="133"/>
        <v>2771780.4</v>
      </c>
    </row>
    <row r="1574" spans="2:9" hidden="1">
      <c r="B1574" s="156">
        <v>45728</v>
      </c>
      <c r="C1574" s="255" t="s">
        <v>2518</v>
      </c>
      <c r="D1574" s="402">
        <f t="shared" si="134"/>
        <v>8855387.0625</v>
      </c>
      <c r="E1574" s="376">
        <v>937.45</v>
      </c>
      <c r="F1574" s="401">
        <v>9446.25</v>
      </c>
      <c r="G1574" s="401">
        <f t="shared" si="131"/>
        <v>865.1</v>
      </c>
      <c r="H1574" s="402">
        <f t="shared" si="132"/>
        <v>-683436.1875</v>
      </c>
      <c r="I1574" s="402">
        <f t="shared" si="133"/>
        <v>8171950.875</v>
      </c>
    </row>
    <row r="1575" spans="2:9" hidden="1">
      <c r="B1575" s="156">
        <v>45728</v>
      </c>
      <c r="C1575" s="255" t="s">
        <v>2519</v>
      </c>
      <c r="D1575" s="402">
        <f t="shared" si="134"/>
        <v>2754696.8250000002</v>
      </c>
      <c r="E1575" s="376">
        <v>937.45</v>
      </c>
      <c r="F1575" s="401">
        <v>2938.5</v>
      </c>
      <c r="G1575" s="401">
        <f t="shared" si="131"/>
        <v>865.1</v>
      </c>
      <c r="H1575" s="402">
        <f t="shared" si="132"/>
        <v>-212600.47500000009</v>
      </c>
      <c r="I1575" s="402">
        <f t="shared" si="133"/>
        <v>2542096.35</v>
      </c>
    </row>
    <row r="1576" spans="2:9" hidden="1">
      <c r="B1576" s="156">
        <v>45728</v>
      </c>
      <c r="C1576" s="255" t="s">
        <v>2520</v>
      </c>
      <c r="D1576" s="402">
        <f t="shared" si="134"/>
        <v>77439744.660000011</v>
      </c>
      <c r="E1576" s="376">
        <v>937.45</v>
      </c>
      <c r="F1576" s="401">
        <v>82606.8</v>
      </c>
      <c r="G1576" s="401">
        <f t="shared" si="131"/>
        <v>865.1</v>
      </c>
      <c r="H1576" s="402">
        <f t="shared" si="132"/>
        <v>-5976601.9800000042</v>
      </c>
      <c r="I1576" s="402">
        <f t="shared" si="133"/>
        <v>71463142.680000007</v>
      </c>
    </row>
    <row r="1577" spans="2:9" hidden="1">
      <c r="B1577" s="156">
        <v>45728</v>
      </c>
      <c r="C1577" s="255" t="s">
        <v>2521</v>
      </c>
      <c r="D1577" s="402">
        <f t="shared" si="134"/>
        <v>8079319.0800000001</v>
      </c>
      <c r="E1577" s="376">
        <v>937.45</v>
      </c>
      <c r="F1577" s="401">
        <v>8618.4</v>
      </c>
      <c r="G1577" s="401">
        <f t="shared" si="131"/>
        <v>865.1</v>
      </c>
      <c r="H1577" s="402">
        <f t="shared" si="132"/>
        <v>-623541.24000000022</v>
      </c>
      <c r="I1577" s="402">
        <f t="shared" si="133"/>
        <v>7455777.8399999999</v>
      </c>
    </row>
    <row r="1578" spans="2:9" hidden="1">
      <c r="B1578" s="156">
        <v>45728</v>
      </c>
      <c r="C1578" s="255" t="s">
        <v>2522</v>
      </c>
      <c r="D1578" s="402">
        <f t="shared" si="134"/>
        <v>13289759.925000001</v>
      </c>
      <c r="E1578" s="376">
        <v>937.45</v>
      </c>
      <c r="F1578" s="401">
        <v>14176.5</v>
      </c>
      <c r="G1578" s="401">
        <f t="shared" si="131"/>
        <v>865.1</v>
      </c>
      <c r="H1578" s="402">
        <f t="shared" si="132"/>
        <v>-1025669.7750000004</v>
      </c>
      <c r="I1578" s="402">
        <f t="shared" si="133"/>
        <v>12264090.15</v>
      </c>
    </row>
    <row r="1579" spans="2:9" hidden="1">
      <c r="B1579" s="156">
        <v>45728</v>
      </c>
      <c r="C1579" s="255" t="s">
        <v>2523</v>
      </c>
      <c r="D1579" s="402">
        <f t="shared" si="134"/>
        <v>2502991.5</v>
      </c>
      <c r="E1579" s="376">
        <v>937.45</v>
      </c>
      <c r="F1579" s="401">
        <v>2670</v>
      </c>
      <c r="G1579" s="401">
        <f t="shared" si="131"/>
        <v>865.1</v>
      </c>
      <c r="H1579" s="402">
        <f t="shared" si="132"/>
        <v>-193174.5</v>
      </c>
      <c r="I1579" s="402">
        <f t="shared" si="133"/>
        <v>2309817</v>
      </c>
    </row>
    <row r="1580" spans="2:9" hidden="1">
      <c r="B1580" s="156">
        <v>45728</v>
      </c>
      <c r="C1580" s="255" t="s">
        <v>2524</v>
      </c>
      <c r="D1580" s="402">
        <f t="shared" si="134"/>
        <v>8367163.102500001</v>
      </c>
      <c r="E1580" s="376">
        <v>937.45</v>
      </c>
      <c r="F1580" s="401">
        <v>8925.4500000000007</v>
      </c>
      <c r="G1580" s="401">
        <f t="shared" si="131"/>
        <v>865.1</v>
      </c>
      <c r="H1580" s="402">
        <f t="shared" si="132"/>
        <v>-645756.30750000011</v>
      </c>
      <c r="I1580" s="402">
        <f t="shared" si="133"/>
        <v>7721406.7950000009</v>
      </c>
    </row>
    <row r="1581" spans="2:9" hidden="1">
      <c r="B1581" s="156">
        <v>45728</v>
      </c>
      <c r="C1581" s="255" t="s">
        <v>2525</v>
      </c>
      <c r="D1581" s="402">
        <f t="shared" si="134"/>
        <v>2754696.8250000002</v>
      </c>
      <c r="E1581" s="376">
        <v>937.45</v>
      </c>
      <c r="F1581" s="401">
        <v>2938.5</v>
      </c>
      <c r="G1581" s="401">
        <f t="shared" si="131"/>
        <v>865.1</v>
      </c>
      <c r="H1581" s="402">
        <f t="shared" si="132"/>
        <v>-212600.47500000009</v>
      </c>
      <c r="I1581" s="402">
        <f t="shared" si="133"/>
        <v>2542096.35</v>
      </c>
    </row>
    <row r="1582" spans="2:9" hidden="1">
      <c r="B1582" s="156">
        <v>45728</v>
      </c>
      <c r="C1582" s="255" t="s">
        <v>2526</v>
      </c>
      <c r="D1582" s="402">
        <f t="shared" si="134"/>
        <v>7814114.4750000006</v>
      </c>
      <c r="E1582" s="376">
        <v>937.45</v>
      </c>
      <c r="F1582" s="401">
        <v>8335.5</v>
      </c>
      <c r="G1582" s="401">
        <f t="shared" si="131"/>
        <v>865.1</v>
      </c>
      <c r="H1582" s="402">
        <f t="shared" si="132"/>
        <v>-603073.42500000075</v>
      </c>
      <c r="I1582" s="402">
        <f t="shared" si="133"/>
        <v>7211041.0499999998</v>
      </c>
    </row>
    <row r="1583" spans="2:9" hidden="1">
      <c r="B1583" s="156">
        <v>45728</v>
      </c>
      <c r="C1583" s="255" t="s">
        <v>2527</v>
      </c>
      <c r="D1583" s="402">
        <f t="shared" si="134"/>
        <v>2754696.8250000002</v>
      </c>
      <c r="E1583" s="376">
        <v>937.45</v>
      </c>
      <c r="F1583" s="401">
        <v>2938.5</v>
      </c>
      <c r="G1583" s="401">
        <f t="shared" si="131"/>
        <v>865.1</v>
      </c>
      <c r="H1583" s="402">
        <f t="shared" si="132"/>
        <v>-212600.47500000009</v>
      </c>
      <c r="I1583" s="402">
        <f t="shared" si="133"/>
        <v>2542096.35</v>
      </c>
    </row>
    <row r="1584" spans="2:9" hidden="1">
      <c r="B1584" s="156">
        <v>45728</v>
      </c>
      <c r="C1584" s="255" t="s">
        <v>2528</v>
      </c>
      <c r="D1584" s="402">
        <f t="shared" si="134"/>
        <v>6402642.8825000003</v>
      </c>
      <c r="E1584" s="376">
        <v>937.45</v>
      </c>
      <c r="F1584" s="401">
        <v>6829.85</v>
      </c>
      <c r="G1584" s="401">
        <f t="shared" si="131"/>
        <v>865.1</v>
      </c>
      <c r="H1584" s="402">
        <f t="shared" si="132"/>
        <v>-494139.64749999996</v>
      </c>
      <c r="I1584" s="402">
        <f t="shared" si="133"/>
        <v>5908503.2350000003</v>
      </c>
    </row>
    <row r="1585" spans="2:9" hidden="1">
      <c r="B1585" s="156">
        <v>45728</v>
      </c>
      <c r="C1585" s="255" t="s">
        <v>2529</v>
      </c>
      <c r="D1585" s="402">
        <f t="shared" si="134"/>
        <v>2246130.2000000002</v>
      </c>
      <c r="E1585" s="376">
        <v>937.45</v>
      </c>
      <c r="F1585" s="401">
        <v>2396</v>
      </c>
      <c r="G1585" s="401">
        <f t="shared" si="131"/>
        <v>865.1</v>
      </c>
      <c r="H1585" s="402">
        <f t="shared" si="132"/>
        <v>-173350.60000000009</v>
      </c>
      <c r="I1585" s="402">
        <f t="shared" si="133"/>
        <v>2072779.6</v>
      </c>
    </row>
    <row r="1586" spans="2:9" hidden="1">
      <c r="B1586" s="156">
        <v>45728</v>
      </c>
      <c r="C1586" s="255" t="s">
        <v>2530</v>
      </c>
      <c r="D1586" s="402">
        <f t="shared" si="134"/>
        <v>7814114.4750000006</v>
      </c>
      <c r="E1586" s="376">
        <v>937.45</v>
      </c>
      <c r="F1586" s="401">
        <v>8335.5</v>
      </c>
      <c r="G1586" s="401">
        <f t="shared" si="131"/>
        <v>865.1</v>
      </c>
      <c r="H1586" s="402">
        <f t="shared" si="132"/>
        <v>-603073.42500000075</v>
      </c>
      <c r="I1586" s="402">
        <f t="shared" si="133"/>
        <v>7211041.0499999998</v>
      </c>
    </row>
    <row r="1587" spans="2:9" hidden="1">
      <c r="B1587" s="156">
        <v>45728</v>
      </c>
      <c r="C1587" s="255" t="s">
        <v>2531</v>
      </c>
      <c r="D1587" s="402">
        <f t="shared" si="134"/>
        <v>2754696.8250000002</v>
      </c>
      <c r="E1587" s="376">
        <v>937.45</v>
      </c>
      <c r="F1587" s="401">
        <v>2938.5</v>
      </c>
      <c r="G1587" s="401">
        <f t="shared" si="131"/>
        <v>865.1</v>
      </c>
      <c r="H1587" s="402">
        <f t="shared" si="132"/>
        <v>-212600.47500000009</v>
      </c>
      <c r="I1587" s="402">
        <f t="shared" si="133"/>
        <v>2542096.35</v>
      </c>
    </row>
    <row r="1588" spans="2:9" hidden="1">
      <c r="B1588" s="156">
        <v>45728</v>
      </c>
      <c r="C1588" s="255" t="s">
        <v>2532</v>
      </c>
      <c r="D1588" s="402">
        <f t="shared" si="134"/>
        <v>6636161.6775000002</v>
      </c>
      <c r="E1588" s="376">
        <v>937.45</v>
      </c>
      <c r="F1588" s="401">
        <v>7078.95</v>
      </c>
      <c r="G1588" s="401">
        <f t="shared" si="131"/>
        <v>865.1</v>
      </c>
      <c r="H1588" s="402">
        <f t="shared" si="132"/>
        <v>-512162.03250000067</v>
      </c>
      <c r="I1588" s="402">
        <f t="shared" si="133"/>
        <v>6123999.6449999996</v>
      </c>
    </row>
    <row r="1589" spans="2:9" hidden="1">
      <c r="B1589" s="156">
        <v>45728</v>
      </c>
      <c r="C1589" s="255" t="s">
        <v>2533</v>
      </c>
      <c r="D1589" s="402">
        <f t="shared" si="134"/>
        <v>2469243.3000000003</v>
      </c>
      <c r="E1589" s="376">
        <v>937.45</v>
      </c>
      <c r="F1589" s="401">
        <v>2634</v>
      </c>
      <c r="G1589" s="401">
        <f t="shared" si="131"/>
        <v>865.1</v>
      </c>
      <c r="H1589" s="402">
        <f t="shared" si="132"/>
        <v>-190569.90000000037</v>
      </c>
      <c r="I1589" s="402">
        <f t="shared" si="133"/>
        <v>2278673.4</v>
      </c>
    </row>
    <row r="1590" spans="2:9" hidden="1">
      <c r="B1590" s="156">
        <v>45728</v>
      </c>
      <c r="C1590" s="255" t="s">
        <v>2534</v>
      </c>
      <c r="D1590" s="402">
        <f t="shared" si="134"/>
        <v>7044093.0450000009</v>
      </c>
      <c r="E1590" s="376">
        <v>937.45</v>
      </c>
      <c r="F1590" s="401">
        <v>7514.1</v>
      </c>
      <c r="G1590" s="401">
        <f t="shared" si="131"/>
        <v>865.1</v>
      </c>
      <c r="H1590" s="402">
        <f t="shared" si="132"/>
        <v>-543645.13500000071</v>
      </c>
      <c r="I1590" s="402">
        <f t="shared" si="133"/>
        <v>6500447.9100000001</v>
      </c>
    </row>
    <row r="1591" spans="2:9" hidden="1">
      <c r="B1591" s="156">
        <v>45728</v>
      </c>
      <c r="C1591" s="255" t="s">
        <v>2535</v>
      </c>
      <c r="D1591" s="402">
        <f t="shared" si="134"/>
        <v>2469243.3000000003</v>
      </c>
      <c r="E1591" s="376">
        <v>937.45</v>
      </c>
      <c r="F1591" s="401">
        <v>2634</v>
      </c>
      <c r="G1591" s="401">
        <f t="shared" si="131"/>
        <v>865.1</v>
      </c>
      <c r="H1591" s="402">
        <f t="shared" si="132"/>
        <v>-190569.90000000037</v>
      </c>
      <c r="I1591" s="402">
        <f t="shared" si="133"/>
        <v>2278673.4</v>
      </c>
    </row>
    <row r="1592" spans="2:9" hidden="1">
      <c r="B1592" s="156">
        <v>45728</v>
      </c>
      <c r="C1592" s="255" t="s">
        <v>2536</v>
      </c>
      <c r="D1592" s="402">
        <f t="shared" si="134"/>
        <v>1909585.6500000001</v>
      </c>
      <c r="E1592" s="376">
        <v>937.45</v>
      </c>
      <c r="F1592" s="401">
        <v>2037</v>
      </c>
      <c r="G1592" s="401">
        <f t="shared" si="131"/>
        <v>865.1</v>
      </c>
      <c r="H1592" s="402">
        <f t="shared" si="132"/>
        <v>-147376.95000000019</v>
      </c>
      <c r="I1592" s="402">
        <f t="shared" si="133"/>
        <v>1762208.7</v>
      </c>
    </row>
    <row r="1593" spans="2:9" hidden="1">
      <c r="B1593" s="156">
        <v>45728</v>
      </c>
      <c r="C1593" s="255" t="s">
        <v>2537</v>
      </c>
      <c r="D1593" s="402">
        <f t="shared" si="134"/>
        <v>6450359.0875000004</v>
      </c>
      <c r="E1593" s="376">
        <v>937.45</v>
      </c>
      <c r="F1593" s="401">
        <v>6880.75</v>
      </c>
      <c r="G1593" s="401">
        <f t="shared" si="131"/>
        <v>865.1</v>
      </c>
      <c r="H1593" s="402">
        <f t="shared" si="132"/>
        <v>-497822.26250000019</v>
      </c>
      <c r="I1593" s="402">
        <f t="shared" si="133"/>
        <v>5952536.8250000002</v>
      </c>
    </row>
    <row r="1594" spans="2:9" hidden="1">
      <c r="B1594" s="156">
        <v>45728</v>
      </c>
      <c r="C1594" s="255" t="s">
        <v>2538</v>
      </c>
      <c r="D1594" s="402">
        <f t="shared" si="134"/>
        <v>2469243.3000000003</v>
      </c>
      <c r="E1594" s="376">
        <v>937.45</v>
      </c>
      <c r="F1594" s="401">
        <v>2634</v>
      </c>
      <c r="G1594" s="401">
        <f t="shared" si="131"/>
        <v>865.1</v>
      </c>
      <c r="H1594" s="402">
        <f t="shared" si="132"/>
        <v>-190569.90000000037</v>
      </c>
      <c r="I1594" s="402">
        <f t="shared" si="133"/>
        <v>2278673.4</v>
      </c>
    </row>
    <row r="1595" spans="2:9" hidden="1">
      <c r="B1595" s="156">
        <v>45728</v>
      </c>
      <c r="C1595" s="255" t="s">
        <v>2539</v>
      </c>
      <c r="D1595" s="402">
        <f t="shared" si="134"/>
        <v>6804246.4625000004</v>
      </c>
      <c r="E1595" s="376">
        <v>937.45</v>
      </c>
      <c r="F1595" s="401">
        <v>7258.25</v>
      </c>
      <c r="G1595" s="401">
        <f t="shared" si="131"/>
        <v>865.1</v>
      </c>
      <c r="H1595" s="402">
        <f t="shared" si="132"/>
        <v>-525134.38750000019</v>
      </c>
      <c r="I1595" s="402">
        <f t="shared" si="133"/>
        <v>6279112.0750000002</v>
      </c>
    </row>
    <row r="1596" spans="2:9" hidden="1">
      <c r="B1596" s="156">
        <v>45728</v>
      </c>
      <c r="C1596" s="255" t="s">
        <v>2540</v>
      </c>
      <c r="D1596" s="402">
        <f t="shared" si="134"/>
        <v>2754696.8250000002</v>
      </c>
      <c r="E1596" s="376">
        <v>937.45</v>
      </c>
      <c r="F1596" s="401">
        <v>2938.5</v>
      </c>
      <c r="G1596" s="401">
        <f t="shared" si="131"/>
        <v>865.1</v>
      </c>
      <c r="H1596" s="402">
        <f t="shared" si="132"/>
        <v>-212600.47500000009</v>
      </c>
      <c r="I1596" s="402">
        <f t="shared" si="133"/>
        <v>2542096.35</v>
      </c>
    </row>
    <row r="1597" spans="2:9" hidden="1">
      <c r="B1597" s="156">
        <v>45728</v>
      </c>
      <c r="C1597" s="255" t="s">
        <v>2541</v>
      </c>
      <c r="D1597" s="402">
        <f t="shared" si="134"/>
        <v>5875421.0025000004</v>
      </c>
      <c r="E1597" s="376">
        <v>937.45</v>
      </c>
      <c r="F1597" s="401">
        <v>6267.45</v>
      </c>
      <c r="G1597" s="401">
        <f t="shared" si="131"/>
        <v>865.1</v>
      </c>
      <c r="H1597" s="402">
        <f t="shared" si="132"/>
        <v>-453450.0075000003</v>
      </c>
      <c r="I1597" s="402">
        <f t="shared" si="133"/>
        <v>5421970.9950000001</v>
      </c>
    </row>
    <row r="1598" spans="2:9" hidden="1">
      <c r="B1598" s="156">
        <v>45728</v>
      </c>
      <c r="C1598" s="255" t="s">
        <v>2542</v>
      </c>
      <c r="D1598" s="402">
        <f t="shared" si="134"/>
        <v>2469243.3000000003</v>
      </c>
      <c r="E1598" s="376">
        <v>937.45</v>
      </c>
      <c r="F1598" s="401">
        <v>2634</v>
      </c>
      <c r="G1598" s="401">
        <f t="shared" si="131"/>
        <v>865.1</v>
      </c>
      <c r="H1598" s="402">
        <f t="shared" si="132"/>
        <v>-190569.90000000037</v>
      </c>
      <c r="I1598" s="402">
        <f t="shared" si="133"/>
        <v>2278673.4</v>
      </c>
    </row>
    <row r="1599" spans="2:9" hidden="1">
      <c r="B1599" s="156">
        <v>45728</v>
      </c>
      <c r="C1599" s="255" t="s">
        <v>2543</v>
      </c>
      <c r="D1599" s="402">
        <f t="shared" si="134"/>
        <v>167334.82500000001</v>
      </c>
      <c r="E1599" s="376">
        <v>937.45</v>
      </c>
      <c r="F1599" s="401">
        <v>178.5</v>
      </c>
      <c r="G1599" s="401">
        <f t="shared" si="131"/>
        <v>865.1</v>
      </c>
      <c r="H1599" s="402">
        <f t="shared" si="132"/>
        <v>-12914.475000000006</v>
      </c>
      <c r="I1599" s="402">
        <f t="shared" si="133"/>
        <v>154420.35</v>
      </c>
    </row>
    <row r="1600" spans="2:9" hidden="1">
      <c r="B1600" s="156">
        <v>45728</v>
      </c>
      <c r="C1600" s="255" t="s">
        <v>2544</v>
      </c>
      <c r="D1600" s="402">
        <f t="shared" si="134"/>
        <v>223113.1</v>
      </c>
      <c r="E1600" s="376">
        <v>937.45</v>
      </c>
      <c r="F1600" s="401">
        <v>238</v>
      </c>
      <c r="G1600" s="401">
        <f t="shared" si="131"/>
        <v>865.1</v>
      </c>
      <c r="H1600" s="402">
        <f t="shared" si="132"/>
        <v>-17219.299999999988</v>
      </c>
      <c r="I1600" s="402">
        <f t="shared" si="133"/>
        <v>205893.80000000002</v>
      </c>
    </row>
    <row r="1601" spans="2:9" hidden="1">
      <c r="B1601" s="156">
        <v>45728</v>
      </c>
      <c r="C1601" s="255" t="s">
        <v>2545</v>
      </c>
      <c r="D1601" s="402">
        <f t="shared" si="134"/>
        <v>1354708.9949999999</v>
      </c>
      <c r="E1601" s="376">
        <v>937.45</v>
      </c>
      <c r="F1601" s="401">
        <v>1445.1</v>
      </c>
      <c r="G1601" s="401">
        <f t="shared" si="131"/>
        <v>865.1</v>
      </c>
      <c r="H1601" s="402">
        <f t="shared" si="132"/>
        <v>-104552.98499999987</v>
      </c>
      <c r="I1601" s="402">
        <f t="shared" si="133"/>
        <v>1250156.01</v>
      </c>
    </row>
    <row r="1602" spans="2:9" hidden="1">
      <c r="B1602" s="156">
        <v>45726</v>
      </c>
      <c r="C1602" s="255" t="s">
        <v>2546</v>
      </c>
      <c r="D1602" s="402">
        <f t="shared" si="134"/>
        <v>1169595</v>
      </c>
      <c r="E1602" s="376">
        <v>928.25</v>
      </c>
      <c r="F1602" s="401">
        <v>1260</v>
      </c>
      <c r="G1602" s="401">
        <f t="shared" si="131"/>
        <v>865.1</v>
      </c>
      <c r="H1602" s="402">
        <f t="shared" si="132"/>
        <v>-79569</v>
      </c>
      <c r="I1602" s="402">
        <f t="shared" si="133"/>
        <v>1090026</v>
      </c>
    </row>
    <row r="1603" spans="2:9" hidden="1">
      <c r="B1603" s="156">
        <v>45747</v>
      </c>
      <c r="C1603" s="255" t="s">
        <v>2547</v>
      </c>
      <c r="D1603" s="402">
        <f t="shared" si="134"/>
        <v>1192086</v>
      </c>
      <c r="E1603" s="376">
        <v>946.1</v>
      </c>
      <c r="F1603" s="401">
        <v>1260</v>
      </c>
      <c r="G1603" s="401">
        <f t="shared" si="131"/>
        <v>865.1</v>
      </c>
      <c r="H1603" s="402">
        <f t="shared" si="132"/>
        <v>-102060</v>
      </c>
      <c r="I1603" s="402">
        <f t="shared" si="133"/>
        <v>1090026</v>
      </c>
    </row>
    <row r="1604" spans="2:9" hidden="1">
      <c r="B1604" s="156">
        <v>45747</v>
      </c>
      <c r="C1604" s="255" t="s">
        <v>673</v>
      </c>
      <c r="D1604" s="402">
        <f t="shared" si="120"/>
        <v>-171557050.83690003</v>
      </c>
      <c r="E1604" s="376">
        <v>953.07</v>
      </c>
      <c r="F1604" s="401">
        <v>-180004.67</v>
      </c>
      <c r="G1604" s="401">
        <f>+G1351</f>
        <v>865.1</v>
      </c>
      <c r="H1604" s="402">
        <f t="shared" si="127"/>
        <v>15835010.819900006</v>
      </c>
      <c r="I1604" s="402">
        <f t="shared" si="128"/>
        <v>-155722040.01700002</v>
      </c>
    </row>
    <row r="1605" spans="2:9" hidden="1">
      <c r="B1605" s="156">
        <v>45768</v>
      </c>
      <c r="C1605" s="255" t="s">
        <v>2576</v>
      </c>
      <c r="D1605" s="402">
        <f t="shared" si="134"/>
        <v>2208658.8000000003</v>
      </c>
      <c r="E1605" s="376">
        <v>968.71</v>
      </c>
      <c r="F1605" s="401">
        <v>2280</v>
      </c>
      <c r="G1605" s="401">
        <f t="shared" ref="G1605:G1613" si="135">+G1352</f>
        <v>865.1</v>
      </c>
      <c r="H1605" s="402">
        <f t="shared" si="132"/>
        <v>-236230.80000000028</v>
      </c>
      <c r="I1605" s="402">
        <f t="shared" si="128"/>
        <v>1972428</v>
      </c>
    </row>
    <row r="1606" spans="2:9" hidden="1">
      <c r="B1606" s="156">
        <v>45751</v>
      </c>
      <c r="C1606" s="255" t="s">
        <v>2577</v>
      </c>
      <c r="D1606" s="402">
        <f t="shared" si="134"/>
        <v>205315.37100000001</v>
      </c>
      <c r="E1606" s="376">
        <v>946.59</v>
      </c>
      <c r="F1606" s="401">
        <v>216.9</v>
      </c>
      <c r="G1606" s="401">
        <f t="shared" si="135"/>
        <v>865.1</v>
      </c>
      <c r="H1606" s="402">
        <f t="shared" si="132"/>
        <v>-17675.181000000011</v>
      </c>
      <c r="I1606" s="402">
        <f t="shared" ref="I1606:I1613" si="136">+F1606*G1606</f>
        <v>187640.19</v>
      </c>
    </row>
    <row r="1607" spans="2:9" hidden="1">
      <c r="B1607" s="156">
        <v>45751</v>
      </c>
      <c r="C1607" s="255" t="s">
        <v>2578</v>
      </c>
      <c r="D1607" s="402">
        <f t="shared" si="134"/>
        <v>711078.40800000005</v>
      </c>
      <c r="E1607" s="376">
        <v>946.59</v>
      </c>
      <c r="F1607" s="401">
        <v>751.2</v>
      </c>
      <c r="G1607" s="401">
        <f t="shared" si="135"/>
        <v>865.1</v>
      </c>
      <c r="H1607" s="402">
        <f t="shared" ref="H1607:H1613" si="137">+I1607-D1607</f>
        <v>-61215.287999999942</v>
      </c>
      <c r="I1607" s="402">
        <f t="shared" si="136"/>
        <v>649863.12000000011</v>
      </c>
    </row>
    <row r="1608" spans="2:9" hidden="1">
      <c r="B1608" s="156">
        <v>45751</v>
      </c>
      <c r="C1608" s="255" t="s">
        <v>2579</v>
      </c>
      <c r="D1608" s="402">
        <f t="shared" si="134"/>
        <v>180325.39500000002</v>
      </c>
      <c r="E1608" s="376">
        <v>946.59</v>
      </c>
      <c r="F1608" s="401">
        <v>190.5</v>
      </c>
      <c r="G1608" s="401">
        <f t="shared" si="135"/>
        <v>865.1</v>
      </c>
      <c r="H1608" s="402">
        <f t="shared" si="137"/>
        <v>-15523.845000000001</v>
      </c>
      <c r="I1608" s="402">
        <f t="shared" si="136"/>
        <v>164801.55000000002</v>
      </c>
    </row>
    <row r="1609" spans="2:9" hidden="1">
      <c r="B1609" s="156">
        <v>45751</v>
      </c>
      <c r="C1609" s="255" t="s">
        <v>2580</v>
      </c>
      <c r="D1609" s="402">
        <f t="shared" si="134"/>
        <v>2048610.078</v>
      </c>
      <c r="E1609" s="376">
        <v>946.59</v>
      </c>
      <c r="F1609" s="401">
        <v>2164.1999999999998</v>
      </c>
      <c r="G1609" s="401">
        <f t="shared" si="135"/>
        <v>865.1</v>
      </c>
      <c r="H1609" s="402">
        <f t="shared" si="137"/>
        <v>-176360.65800000005</v>
      </c>
      <c r="I1609" s="402">
        <f t="shared" si="136"/>
        <v>1872249.42</v>
      </c>
    </row>
    <row r="1610" spans="2:9" hidden="1">
      <c r="B1610" s="156">
        <v>45756</v>
      </c>
      <c r="C1610" s="255" t="s">
        <v>2581</v>
      </c>
      <c r="D1610" s="402">
        <f t="shared" si="134"/>
        <v>8100347.9759999998</v>
      </c>
      <c r="E1610" s="376">
        <v>939.89</v>
      </c>
      <c r="F1610" s="401">
        <v>8618.4</v>
      </c>
      <c r="G1610" s="401">
        <f t="shared" si="135"/>
        <v>865.1</v>
      </c>
      <c r="H1610" s="402">
        <f t="shared" si="137"/>
        <v>-644570.13599999994</v>
      </c>
      <c r="I1610" s="402">
        <f t="shared" si="136"/>
        <v>7455777.8399999999</v>
      </c>
    </row>
    <row r="1611" spans="2:9" hidden="1">
      <c r="B1611" s="156">
        <v>45777</v>
      </c>
      <c r="C1611" s="255" t="s">
        <v>2584</v>
      </c>
      <c r="D1611" s="402">
        <f t="shared" si="134"/>
        <v>9469736.4047999997</v>
      </c>
      <c r="E1611" s="376">
        <v>939.54</v>
      </c>
      <c r="F1611" s="401">
        <v>10079.120000000001</v>
      </c>
      <c r="G1611" s="401">
        <f t="shared" si="135"/>
        <v>865.1</v>
      </c>
      <c r="H1611" s="402">
        <f t="shared" si="137"/>
        <v>-750289.69279999845</v>
      </c>
      <c r="I1611" s="402">
        <f t="shared" si="136"/>
        <v>8719446.7120000012</v>
      </c>
    </row>
    <row r="1612" spans="2:9" hidden="1">
      <c r="B1612" s="156">
        <v>45777</v>
      </c>
      <c r="C1612" s="255" t="s">
        <v>2585</v>
      </c>
      <c r="D1612" s="402">
        <f t="shared" si="134"/>
        <v>2918191.5</v>
      </c>
      <c r="E1612" s="376">
        <v>926.41</v>
      </c>
      <c r="F1612" s="401">
        <v>3150</v>
      </c>
      <c r="G1612" s="401">
        <f t="shared" si="135"/>
        <v>865.1</v>
      </c>
      <c r="H1612" s="402">
        <f t="shared" si="137"/>
        <v>-193126.5</v>
      </c>
      <c r="I1612" s="402">
        <f t="shared" si="136"/>
        <v>2725065</v>
      </c>
    </row>
    <row r="1613" spans="2:9" hidden="1">
      <c r="B1613" s="156">
        <v>45777</v>
      </c>
      <c r="C1613" s="255" t="s">
        <v>2586</v>
      </c>
      <c r="D1613" s="402">
        <f t="shared" si="134"/>
        <v>2108362.2335999999</v>
      </c>
      <c r="E1613" s="376">
        <v>945.42</v>
      </c>
      <c r="F1613" s="401">
        <v>2230.08</v>
      </c>
      <c r="G1613" s="401">
        <f t="shared" si="135"/>
        <v>865.1</v>
      </c>
      <c r="H1613" s="402">
        <f t="shared" si="137"/>
        <v>-179120.02559999982</v>
      </c>
      <c r="I1613" s="402">
        <f t="shared" si="136"/>
        <v>1929242.2080000001</v>
      </c>
    </row>
    <row r="1614" spans="2:9" ht="12.8" hidden="1" customHeight="1">
      <c r="B1614" s="156">
        <v>45777</v>
      </c>
      <c r="C1614" s="255" t="s">
        <v>673</v>
      </c>
      <c r="D1614" s="402">
        <f>F1614*E1614</f>
        <v>-414879856.48199993</v>
      </c>
      <c r="E1614" s="376">
        <v>955.67</v>
      </c>
      <c r="F1614" s="401">
        <v>-434124.6</v>
      </c>
      <c r="G1614" s="401">
        <f>+G1357</f>
        <v>865.1</v>
      </c>
      <c r="H1614" s="402">
        <f t="shared" ref="H1614" si="138">+I1614-D1614</f>
        <v>39318665.021999955</v>
      </c>
      <c r="I1614" s="402">
        <f t="shared" ref="I1614" si="139">+F1614*G1614</f>
        <v>-375561191.45999998</v>
      </c>
    </row>
    <row r="1615" spans="2:9" ht="12.8" hidden="1" customHeight="1">
      <c r="B1615" s="156">
        <v>45797</v>
      </c>
      <c r="C1615" s="255" t="s">
        <v>2609</v>
      </c>
      <c r="D1615" s="402">
        <f t="shared" ref="D1615:D1672" si="140">F1615*E1615</f>
        <v>1180229.4000000001</v>
      </c>
      <c r="E1615" s="376">
        <v>936.69</v>
      </c>
      <c r="F1615" s="401">
        <v>1260</v>
      </c>
      <c r="G1615" s="401">
        <f t="shared" ref="G1615:G1672" si="141">+G1358</f>
        <v>865.1</v>
      </c>
      <c r="H1615" s="402">
        <f t="shared" ref="H1615:H1733" si="142">+I1615-D1615</f>
        <v>-90203.40000000014</v>
      </c>
      <c r="I1615" s="402">
        <f t="shared" ref="I1615:I1733" si="143">+F1615*G1615</f>
        <v>1090026</v>
      </c>
    </row>
    <row r="1616" spans="2:9" ht="12.8" hidden="1" customHeight="1">
      <c r="B1616" s="156">
        <v>45783</v>
      </c>
      <c r="C1616" s="255" t="s">
        <v>2610</v>
      </c>
      <c r="D1616" s="402">
        <f t="shared" si="140"/>
        <v>248207.52</v>
      </c>
      <c r="E1616" s="376">
        <v>940.18</v>
      </c>
      <c r="F1616" s="401">
        <v>264</v>
      </c>
      <c r="G1616" s="401">
        <f t="shared" si="141"/>
        <v>865.1</v>
      </c>
      <c r="H1616" s="402">
        <f t="shared" si="142"/>
        <v>-19821.119999999995</v>
      </c>
      <c r="I1616" s="402">
        <f t="shared" si="143"/>
        <v>228386.4</v>
      </c>
    </row>
    <row r="1617" spans="2:9" ht="12.8" hidden="1" customHeight="1">
      <c r="B1617" s="156">
        <v>45783</v>
      </c>
      <c r="C1617" s="255" t="s">
        <v>2611</v>
      </c>
      <c r="D1617" s="402">
        <f t="shared" si="140"/>
        <v>612997.36</v>
      </c>
      <c r="E1617" s="376">
        <v>940.18</v>
      </c>
      <c r="F1617" s="401">
        <v>652</v>
      </c>
      <c r="G1617" s="401">
        <f t="shared" si="141"/>
        <v>865.1</v>
      </c>
      <c r="H1617" s="402">
        <f t="shared" si="142"/>
        <v>-48952.159999999916</v>
      </c>
      <c r="I1617" s="402">
        <f t="shared" si="143"/>
        <v>564045.20000000007</v>
      </c>
    </row>
    <row r="1618" spans="2:9" ht="12.8" hidden="1" customHeight="1">
      <c r="B1618" s="156">
        <v>45783</v>
      </c>
      <c r="C1618" s="255" t="s">
        <v>2612</v>
      </c>
      <c r="D1618" s="402">
        <f t="shared" si="140"/>
        <v>248207.52</v>
      </c>
      <c r="E1618" s="376">
        <v>940.18</v>
      </c>
      <c r="F1618" s="401">
        <v>264</v>
      </c>
      <c r="G1618" s="401">
        <f t="shared" si="141"/>
        <v>865.1</v>
      </c>
      <c r="H1618" s="402">
        <f t="shared" si="142"/>
        <v>-19821.119999999995</v>
      </c>
      <c r="I1618" s="402">
        <f t="shared" si="143"/>
        <v>228386.4</v>
      </c>
    </row>
    <row r="1619" spans="2:9" ht="12.8" hidden="1" customHeight="1">
      <c r="B1619" s="156">
        <v>45783</v>
      </c>
      <c r="C1619" s="255" t="s">
        <v>2613</v>
      </c>
      <c r="D1619" s="402">
        <f t="shared" si="140"/>
        <v>612997.36</v>
      </c>
      <c r="E1619" s="376">
        <v>940.18</v>
      </c>
      <c r="F1619" s="401">
        <v>652</v>
      </c>
      <c r="G1619" s="401">
        <f t="shared" si="141"/>
        <v>865.1</v>
      </c>
      <c r="H1619" s="402">
        <f t="shared" si="142"/>
        <v>-48952.159999999916</v>
      </c>
      <c r="I1619" s="402">
        <f t="shared" si="143"/>
        <v>564045.20000000007</v>
      </c>
    </row>
    <row r="1620" spans="2:9" ht="12.8" hidden="1" customHeight="1">
      <c r="B1620" s="156">
        <v>45783</v>
      </c>
      <c r="C1620" s="255" t="s">
        <v>2614</v>
      </c>
      <c r="D1620" s="402">
        <f t="shared" si="140"/>
        <v>1008343.0499999999</v>
      </c>
      <c r="E1620" s="376">
        <v>940.18</v>
      </c>
      <c r="F1620" s="401">
        <v>1072.5</v>
      </c>
      <c r="G1620" s="401">
        <f t="shared" si="141"/>
        <v>865.1</v>
      </c>
      <c r="H1620" s="402">
        <f t="shared" si="142"/>
        <v>-80523.29999999993</v>
      </c>
      <c r="I1620" s="402">
        <f t="shared" si="143"/>
        <v>927819.75</v>
      </c>
    </row>
    <row r="1621" spans="2:9" ht="12.8" hidden="1" customHeight="1">
      <c r="B1621" s="156">
        <v>45783</v>
      </c>
      <c r="C1621" s="255" t="s">
        <v>2615</v>
      </c>
      <c r="D1621" s="402">
        <f t="shared" si="140"/>
        <v>9277038.1139999982</v>
      </c>
      <c r="E1621" s="376">
        <v>940.18</v>
      </c>
      <c r="F1621" s="401">
        <v>9867.2999999999993</v>
      </c>
      <c r="G1621" s="401">
        <f t="shared" si="141"/>
        <v>865.1</v>
      </c>
      <c r="H1621" s="402">
        <f t="shared" si="142"/>
        <v>-740836.88399999775</v>
      </c>
      <c r="I1621" s="402">
        <f t="shared" si="143"/>
        <v>8536201.2300000004</v>
      </c>
    </row>
    <row r="1622" spans="2:9" ht="12.8" hidden="1" customHeight="1">
      <c r="B1622" s="156">
        <v>45783</v>
      </c>
      <c r="C1622" s="255" t="s">
        <v>2616</v>
      </c>
      <c r="D1622" s="402">
        <f t="shared" si="140"/>
        <v>5105177.3999999994</v>
      </c>
      <c r="E1622" s="376">
        <v>940.18</v>
      </c>
      <c r="F1622" s="401">
        <v>5430</v>
      </c>
      <c r="G1622" s="401">
        <f t="shared" si="141"/>
        <v>865.1</v>
      </c>
      <c r="H1622" s="402">
        <f t="shared" si="142"/>
        <v>-407684.39999999944</v>
      </c>
      <c r="I1622" s="402">
        <f t="shared" si="143"/>
        <v>4697493</v>
      </c>
    </row>
    <row r="1623" spans="2:9" ht="12.8" hidden="1" customHeight="1">
      <c r="B1623" s="156">
        <v>45783</v>
      </c>
      <c r="C1623" s="255" t="s">
        <v>2617</v>
      </c>
      <c r="D1623" s="402">
        <f t="shared" si="140"/>
        <v>4589018.58</v>
      </c>
      <c r="E1623" s="376">
        <v>940.18</v>
      </c>
      <c r="F1623" s="401">
        <v>4881</v>
      </c>
      <c r="G1623" s="401">
        <f t="shared" si="141"/>
        <v>865.1</v>
      </c>
      <c r="H1623" s="402">
        <f t="shared" si="142"/>
        <v>-366465.47999999952</v>
      </c>
      <c r="I1623" s="402">
        <f t="shared" si="143"/>
        <v>4222553.1000000006</v>
      </c>
    </row>
    <row r="1624" spans="2:9" ht="12.8" hidden="1" customHeight="1">
      <c r="B1624" s="156">
        <v>45783</v>
      </c>
      <c r="C1624" s="255" t="s">
        <v>2618</v>
      </c>
      <c r="D1624" s="402">
        <f t="shared" si="140"/>
        <v>1927557.0359999996</v>
      </c>
      <c r="E1624" s="376">
        <v>940.18</v>
      </c>
      <c r="F1624" s="401">
        <v>2050.1999999999998</v>
      </c>
      <c r="G1624" s="401">
        <f t="shared" si="141"/>
        <v>865.1</v>
      </c>
      <c r="H1624" s="402">
        <f t="shared" si="142"/>
        <v>-153929.01599999983</v>
      </c>
      <c r="I1624" s="402">
        <f t="shared" si="143"/>
        <v>1773628.0199999998</v>
      </c>
    </row>
    <row r="1625" spans="2:9" ht="12.8" hidden="1" customHeight="1">
      <c r="B1625" s="156">
        <v>45783</v>
      </c>
      <c r="C1625" s="255" t="s">
        <v>2619</v>
      </c>
      <c r="D1625" s="402">
        <f t="shared" si="140"/>
        <v>1116933.8399999999</v>
      </c>
      <c r="E1625" s="376">
        <v>940.18</v>
      </c>
      <c r="F1625" s="401">
        <v>1188</v>
      </c>
      <c r="G1625" s="401">
        <f t="shared" si="141"/>
        <v>865.1</v>
      </c>
      <c r="H1625" s="402">
        <f t="shared" si="142"/>
        <v>-89195.039999999804</v>
      </c>
      <c r="I1625" s="402">
        <f t="shared" si="143"/>
        <v>1027738.8</v>
      </c>
    </row>
    <row r="1626" spans="2:9" ht="12.8" hidden="1" customHeight="1">
      <c r="B1626" s="156">
        <v>45783</v>
      </c>
      <c r="C1626" s="255" t="s">
        <v>2620</v>
      </c>
      <c r="D1626" s="402">
        <f t="shared" si="140"/>
        <v>3677984.1599999997</v>
      </c>
      <c r="E1626" s="376">
        <v>940.18</v>
      </c>
      <c r="F1626" s="401">
        <v>3912</v>
      </c>
      <c r="G1626" s="401">
        <f t="shared" si="141"/>
        <v>865.1</v>
      </c>
      <c r="H1626" s="402">
        <f t="shared" si="142"/>
        <v>-293712.9599999995</v>
      </c>
      <c r="I1626" s="402">
        <f t="shared" si="143"/>
        <v>3384271.2</v>
      </c>
    </row>
    <row r="1627" spans="2:9" ht="12.8" hidden="1" customHeight="1">
      <c r="B1627" s="156">
        <v>45783</v>
      </c>
      <c r="C1627" s="255" t="s">
        <v>2621</v>
      </c>
      <c r="D1627" s="402">
        <f t="shared" si="140"/>
        <v>186155.63999999998</v>
      </c>
      <c r="E1627" s="376">
        <v>940.18</v>
      </c>
      <c r="F1627" s="401">
        <v>198</v>
      </c>
      <c r="G1627" s="401">
        <f t="shared" si="141"/>
        <v>865.1</v>
      </c>
      <c r="H1627" s="402">
        <f t="shared" si="142"/>
        <v>-14865.839999999967</v>
      </c>
      <c r="I1627" s="402">
        <f t="shared" si="143"/>
        <v>171289.80000000002</v>
      </c>
    </row>
    <row r="1628" spans="2:9" ht="12.8" hidden="1" customHeight="1">
      <c r="B1628" s="156">
        <v>45783</v>
      </c>
      <c r="C1628" s="255" t="s">
        <v>2622</v>
      </c>
      <c r="D1628" s="402">
        <f t="shared" si="140"/>
        <v>612997.36</v>
      </c>
      <c r="E1628" s="376">
        <v>940.18</v>
      </c>
      <c r="F1628" s="401">
        <v>652</v>
      </c>
      <c r="G1628" s="401">
        <f t="shared" si="141"/>
        <v>865.1</v>
      </c>
      <c r="H1628" s="402">
        <f t="shared" si="142"/>
        <v>-48952.159999999916</v>
      </c>
      <c r="I1628" s="402">
        <f t="shared" si="143"/>
        <v>564045.20000000007</v>
      </c>
    </row>
    <row r="1629" spans="2:9" ht="12.8" hidden="1" customHeight="1">
      <c r="B1629" s="156">
        <v>45783</v>
      </c>
      <c r="C1629" s="255" t="s">
        <v>2623</v>
      </c>
      <c r="D1629" s="402">
        <f t="shared" si="140"/>
        <v>248207.52</v>
      </c>
      <c r="E1629" s="376">
        <v>940.18</v>
      </c>
      <c r="F1629" s="401">
        <v>264</v>
      </c>
      <c r="G1629" s="401">
        <f t="shared" si="141"/>
        <v>865.1</v>
      </c>
      <c r="H1629" s="402">
        <f t="shared" si="142"/>
        <v>-19821.119999999995</v>
      </c>
      <c r="I1629" s="402">
        <f t="shared" si="143"/>
        <v>228386.4</v>
      </c>
    </row>
    <row r="1630" spans="2:9" ht="12.8" hidden="1" customHeight="1">
      <c r="B1630" s="156">
        <v>45783</v>
      </c>
      <c r="C1630" s="255" t="s">
        <v>2624</v>
      </c>
      <c r="D1630" s="402">
        <f t="shared" si="140"/>
        <v>612997.36</v>
      </c>
      <c r="E1630" s="376">
        <v>940.18</v>
      </c>
      <c r="F1630" s="401">
        <v>652</v>
      </c>
      <c r="G1630" s="401">
        <f t="shared" si="141"/>
        <v>865.1</v>
      </c>
      <c r="H1630" s="402">
        <f t="shared" si="142"/>
        <v>-48952.159999999916</v>
      </c>
      <c r="I1630" s="402">
        <f t="shared" si="143"/>
        <v>564045.20000000007</v>
      </c>
    </row>
    <row r="1631" spans="2:9" ht="12.8" hidden="1" customHeight="1">
      <c r="B1631" s="156">
        <v>45783</v>
      </c>
      <c r="C1631" s="255" t="s">
        <v>2625</v>
      </c>
      <c r="D1631" s="402">
        <f t="shared" si="140"/>
        <v>372311.27999999997</v>
      </c>
      <c r="E1631" s="376">
        <v>940.18</v>
      </c>
      <c r="F1631" s="401">
        <v>396</v>
      </c>
      <c r="G1631" s="401">
        <f t="shared" si="141"/>
        <v>865.1</v>
      </c>
      <c r="H1631" s="402">
        <f t="shared" si="142"/>
        <v>-29731.679999999935</v>
      </c>
      <c r="I1631" s="402">
        <f t="shared" si="143"/>
        <v>342579.60000000003</v>
      </c>
    </row>
    <row r="1632" spans="2:9" ht="12.8" hidden="1" customHeight="1">
      <c r="B1632" s="156">
        <v>45783</v>
      </c>
      <c r="C1632" s="255" t="s">
        <v>2626</v>
      </c>
      <c r="D1632" s="402">
        <f t="shared" si="140"/>
        <v>612997.36</v>
      </c>
      <c r="E1632" s="376">
        <v>940.18</v>
      </c>
      <c r="F1632" s="401">
        <v>652</v>
      </c>
      <c r="G1632" s="401">
        <f t="shared" si="141"/>
        <v>865.1</v>
      </c>
      <c r="H1632" s="402">
        <f t="shared" si="142"/>
        <v>-48952.159999999916</v>
      </c>
      <c r="I1632" s="402">
        <f t="shared" si="143"/>
        <v>564045.20000000007</v>
      </c>
    </row>
    <row r="1633" spans="2:9" ht="12.8" hidden="1" customHeight="1">
      <c r="B1633" s="156">
        <v>45783</v>
      </c>
      <c r="C1633" s="255" t="s">
        <v>2627</v>
      </c>
      <c r="D1633" s="402">
        <f t="shared" si="140"/>
        <v>248207.52</v>
      </c>
      <c r="E1633" s="376">
        <v>940.18</v>
      </c>
      <c r="F1633" s="401">
        <v>264</v>
      </c>
      <c r="G1633" s="401">
        <f t="shared" si="141"/>
        <v>865.1</v>
      </c>
      <c r="H1633" s="402">
        <f t="shared" si="142"/>
        <v>-19821.119999999995</v>
      </c>
      <c r="I1633" s="402">
        <f t="shared" si="143"/>
        <v>228386.4</v>
      </c>
    </row>
    <row r="1634" spans="2:9" ht="12.8" hidden="1" customHeight="1">
      <c r="B1634" s="156">
        <v>45783</v>
      </c>
      <c r="C1634" s="255" t="s">
        <v>2628</v>
      </c>
      <c r="D1634" s="402">
        <f t="shared" si="140"/>
        <v>612997.36</v>
      </c>
      <c r="E1634" s="376">
        <v>940.18</v>
      </c>
      <c r="F1634" s="401">
        <v>652</v>
      </c>
      <c r="G1634" s="401">
        <f t="shared" si="141"/>
        <v>865.1</v>
      </c>
      <c r="H1634" s="402">
        <f t="shared" si="142"/>
        <v>-48952.159999999916</v>
      </c>
      <c r="I1634" s="402">
        <f t="shared" si="143"/>
        <v>564045.20000000007</v>
      </c>
    </row>
    <row r="1635" spans="2:9" ht="12.8" hidden="1" customHeight="1">
      <c r="B1635" s="156">
        <v>45783</v>
      </c>
      <c r="C1635" s="255" t="s">
        <v>2629</v>
      </c>
      <c r="D1635" s="402">
        <f t="shared" si="140"/>
        <v>716417.15999999992</v>
      </c>
      <c r="E1635" s="376">
        <v>940.18</v>
      </c>
      <c r="F1635" s="401">
        <v>762</v>
      </c>
      <c r="G1635" s="401">
        <f t="shared" si="141"/>
        <v>865.1</v>
      </c>
      <c r="H1635" s="402">
        <f t="shared" si="142"/>
        <v>-57210.959999999846</v>
      </c>
      <c r="I1635" s="402">
        <f t="shared" si="143"/>
        <v>659206.20000000007</v>
      </c>
    </row>
    <row r="1636" spans="2:9" ht="12.8" hidden="1" customHeight="1">
      <c r="B1636" s="156">
        <v>45783</v>
      </c>
      <c r="C1636" s="255" t="s">
        <v>2630</v>
      </c>
      <c r="D1636" s="402">
        <f t="shared" si="140"/>
        <v>186155.63999999998</v>
      </c>
      <c r="E1636" s="376">
        <v>940.18</v>
      </c>
      <c r="F1636" s="401">
        <v>198</v>
      </c>
      <c r="G1636" s="401">
        <f t="shared" si="141"/>
        <v>865.1</v>
      </c>
      <c r="H1636" s="402">
        <f t="shared" si="142"/>
        <v>-14865.839999999967</v>
      </c>
      <c r="I1636" s="402">
        <f t="shared" si="143"/>
        <v>171289.80000000002</v>
      </c>
    </row>
    <row r="1637" spans="2:9" ht="12.8" hidden="1" customHeight="1">
      <c r="B1637" s="156">
        <v>45783</v>
      </c>
      <c r="C1637" s="255" t="s">
        <v>2631</v>
      </c>
      <c r="D1637" s="402">
        <f t="shared" si="140"/>
        <v>612997.36</v>
      </c>
      <c r="E1637" s="376">
        <v>940.18</v>
      </c>
      <c r="F1637" s="401">
        <v>652</v>
      </c>
      <c r="G1637" s="401">
        <f t="shared" si="141"/>
        <v>865.1</v>
      </c>
      <c r="H1637" s="402">
        <f t="shared" si="142"/>
        <v>-48952.159999999916</v>
      </c>
      <c r="I1637" s="402">
        <f t="shared" si="143"/>
        <v>564045.20000000007</v>
      </c>
    </row>
    <row r="1638" spans="2:9" ht="12.8" hidden="1" customHeight="1">
      <c r="B1638" s="156">
        <v>45783</v>
      </c>
      <c r="C1638" s="255" t="s">
        <v>2632</v>
      </c>
      <c r="D1638" s="402">
        <f t="shared" si="140"/>
        <v>248207.52</v>
      </c>
      <c r="E1638" s="376">
        <v>940.18</v>
      </c>
      <c r="F1638" s="401">
        <v>264</v>
      </c>
      <c r="G1638" s="401">
        <f t="shared" si="141"/>
        <v>865.1</v>
      </c>
      <c r="H1638" s="402">
        <f t="shared" si="142"/>
        <v>-19821.119999999995</v>
      </c>
      <c r="I1638" s="402">
        <f t="shared" si="143"/>
        <v>228386.4</v>
      </c>
    </row>
    <row r="1639" spans="2:9" ht="12.8" hidden="1" customHeight="1">
      <c r="B1639" s="156">
        <v>45783</v>
      </c>
      <c r="C1639" s="255" t="s">
        <v>2633</v>
      </c>
      <c r="D1639" s="402">
        <f t="shared" si="140"/>
        <v>612997.36</v>
      </c>
      <c r="E1639" s="376">
        <v>940.18</v>
      </c>
      <c r="F1639" s="401">
        <v>652</v>
      </c>
      <c r="G1639" s="401">
        <f t="shared" si="141"/>
        <v>865.1</v>
      </c>
      <c r="H1639" s="402">
        <f t="shared" si="142"/>
        <v>-48952.159999999916</v>
      </c>
      <c r="I1639" s="402">
        <f t="shared" si="143"/>
        <v>564045.20000000007</v>
      </c>
    </row>
    <row r="1640" spans="2:9" ht="12.8" hidden="1" customHeight="1">
      <c r="B1640" s="156">
        <v>45783</v>
      </c>
      <c r="C1640" s="255" t="s">
        <v>2634</v>
      </c>
      <c r="D1640" s="402">
        <f t="shared" si="140"/>
        <v>612997.36</v>
      </c>
      <c r="E1640" s="376">
        <v>940.18</v>
      </c>
      <c r="F1640" s="401">
        <v>652</v>
      </c>
      <c r="G1640" s="401">
        <f t="shared" si="141"/>
        <v>865.1</v>
      </c>
      <c r="H1640" s="402">
        <f t="shared" si="142"/>
        <v>-48952.159999999916</v>
      </c>
      <c r="I1640" s="402">
        <f t="shared" si="143"/>
        <v>564045.20000000007</v>
      </c>
    </row>
    <row r="1641" spans="2:9" ht="12.8" hidden="1" customHeight="1">
      <c r="B1641" s="156">
        <v>45783</v>
      </c>
      <c r="C1641" s="255" t="s">
        <v>2635</v>
      </c>
      <c r="D1641" s="402">
        <f t="shared" si="140"/>
        <v>154283.538</v>
      </c>
      <c r="E1641" s="376">
        <v>940.18</v>
      </c>
      <c r="F1641" s="401">
        <v>164.1</v>
      </c>
      <c r="G1641" s="401">
        <f t="shared" si="141"/>
        <v>865.1</v>
      </c>
      <c r="H1641" s="402">
        <f t="shared" si="142"/>
        <v>-12320.627999999997</v>
      </c>
      <c r="I1641" s="402">
        <f t="shared" si="143"/>
        <v>141962.91</v>
      </c>
    </row>
    <row r="1642" spans="2:9" ht="12.8" hidden="1" customHeight="1">
      <c r="B1642" s="156">
        <v>45783</v>
      </c>
      <c r="C1642" s="255" t="s">
        <v>2636</v>
      </c>
      <c r="D1642" s="402">
        <f t="shared" si="140"/>
        <v>577270.52</v>
      </c>
      <c r="E1642" s="376">
        <v>940.18</v>
      </c>
      <c r="F1642" s="401">
        <v>614</v>
      </c>
      <c r="G1642" s="401">
        <f t="shared" si="141"/>
        <v>865.1</v>
      </c>
      <c r="H1642" s="402">
        <f t="shared" si="142"/>
        <v>-46099.119999999995</v>
      </c>
      <c r="I1642" s="402">
        <f t="shared" si="143"/>
        <v>531171.4</v>
      </c>
    </row>
    <row r="1643" spans="2:9" ht="12.8" hidden="1" customHeight="1">
      <c r="B1643" s="156">
        <v>45783</v>
      </c>
      <c r="C1643" s="255" t="s">
        <v>2637</v>
      </c>
      <c r="D1643" s="402">
        <f t="shared" si="140"/>
        <v>1811256.77</v>
      </c>
      <c r="E1643" s="376">
        <v>940.18</v>
      </c>
      <c r="F1643" s="401">
        <v>1926.5</v>
      </c>
      <c r="G1643" s="401">
        <f t="shared" si="141"/>
        <v>865.1</v>
      </c>
      <c r="H1643" s="402">
        <f t="shared" si="142"/>
        <v>-144641.61999999988</v>
      </c>
      <c r="I1643" s="402">
        <f t="shared" si="143"/>
        <v>1666615.1500000001</v>
      </c>
    </row>
    <row r="1644" spans="2:9" ht="12.8" hidden="1" customHeight="1">
      <c r="B1644" s="156">
        <v>45783</v>
      </c>
      <c r="C1644" s="255" t="s">
        <v>2638</v>
      </c>
      <c r="D1644" s="402">
        <f t="shared" si="140"/>
        <v>627570.15</v>
      </c>
      <c r="E1644" s="376">
        <v>940.18</v>
      </c>
      <c r="F1644" s="401">
        <v>667.5</v>
      </c>
      <c r="G1644" s="401">
        <f t="shared" si="141"/>
        <v>865.1</v>
      </c>
      <c r="H1644" s="402">
        <f t="shared" si="142"/>
        <v>-50115.900000000023</v>
      </c>
      <c r="I1644" s="402">
        <f t="shared" si="143"/>
        <v>577454.25</v>
      </c>
    </row>
    <row r="1645" spans="2:9" ht="12.8" hidden="1" customHeight="1">
      <c r="B1645" s="156">
        <v>45783</v>
      </c>
      <c r="C1645" s="255" t="s">
        <v>2639</v>
      </c>
      <c r="D1645" s="402">
        <f t="shared" si="140"/>
        <v>1811256.77</v>
      </c>
      <c r="E1645" s="376">
        <v>940.18</v>
      </c>
      <c r="F1645" s="401">
        <v>1926.5</v>
      </c>
      <c r="G1645" s="401">
        <f t="shared" si="141"/>
        <v>865.1</v>
      </c>
      <c r="H1645" s="402">
        <f t="shared" si="142"/>
        <v>-144641.61999999988</v>
      </c>
      <c r="I1645" s="402">
        <f t="shared" si="143"/>
        <v>1666615.1500000001</v>
      </c>
    </row>
    <row r="1646" spans="2:9" ht="12.8" hidden="1" customHeight="1">
      <c r="B1646" s="156">
        <v>45783</v>
      </c>
      <c r="C1646" s="255" t="s">
        <v>2640</v>
      </c>
      <c r="D1646" s="402">
        <f t="shared" si="140"/>
        <v>736160.94</v>
      </c>
      <c r="E1646" s="376">
        <v>940.18</v>
      </c>
      <c r="F1646" s="401">
        <v>783</v>
      </c>
      <c r="G1646" s="401">
        <f t="shared" si="141"/>
        <v>865.1</v>
      </c>
      <c r="H1646" s="402">
        <f t="shared" si="142"/>
        <v>-58787.639999999898</v>
      </c>
      <c r="I1646" s="402">
        <f t="shared" si="143"/>
        <v>677373.3</v>
      </c>
    </row>
    <row r="1647" spans="2:9" ht="12.8" hidden="1" customHeight="1">
      <c r="B1647" s="156">
        <v>45783</v>
      </c>
      <c r="C1647" s="255" t="s">
        <v>2641</v>
      </c>
      <c r="D1647" s="402">
        <f t="shared" si="140"/>
        <v>669878.25</v>
      </c>
      <c r="E1647" s="376">
        <v>940.18</v>
      </c>
      <c r="F1647" s="401">
        <v>712.5</v>
      </c>
      <c r="G1647" s="401">
        <f t="shared" si="141"/>
        <v>865.1</v>
      </c>
      <c r="H1647" s="402">
        <f t="shared" si="142"/>
        <v>-53494.5</v>
      </c>
      <c r="I1647" s="402">
        <f t="shared" si="143"/>
        <v>616383.75</v>
      </c>
    </row>
    <row r="1648" spans="2:9" ht="12.8" hidden="1" customHeight="1">
      <c r="B1648" s="156">
        <v>45783</v>
      </c>
      <c r="C1648" s="255" t="s">
        <v>2642</v>
      </c>
      <c r="D1648" s="402">
        <f t="shared" si="140"/>
        <v>5398795.6140000001</v>
      </c>
      <c r="E1648" s="376">
        <v>940.18</v>
      </c>
      <c r="F1648" s="401">
        <v>5742.3</v>
      </c>
      <c r="G1648" s="401">
        <f t="shared" si="141"/>
        <v>865.1</v>
      </c>
      <c r="H1648" s="402">
        <f t="shared" si="142"/>
        <v>-431131.88399999961</v>
      </c>
      <c r="I1648" s="402">
        <f t="shared" si="143"/>
        <v>4967663.7300000004</v>
      </c>
    </row>
    <row r="1649" spans="2:9" ht="12.8" hidden="1" customHeight="1">
      <c r="B1649" s="156">
        <v>45783</v>
      </c>
      <c r="C1649" s="255" t="s">
        <v>2643</v>
      </c>
      <c r="D1649" s="402">
        <f t="shared" si="140"/>
        <v>10320073.806</v>
      </c>
      <c r="E1649" s="376">
        <v>940.18</v>
      </c>
      <c r="F1649" s="401">
        <v>10976.7</v>
      </c>
      <c r="G1649" s="401">
        <f t="shared" si="141"/>
        <v>865.1</v>
      </c>
      <c r="H1649" s="402">
        <f t="shared" si="142"/>
        <v>-824130.63599999808</v>
      </c>
      <c r="I1649" s="402">
        <f t="shared" si="143"/>
        <v>9495943.1700000018</v>
      </c>
    </row>
    <row r="1650" spans="2:9" ht="12.8" hidden="1" customHeight="1">
      <c r="B1650" s="156">
        <v>45783</v>
      </c>
      <c r="C1650" s="255" t="s">
        <v>2644</v>
      </c>
      <c r="D1650" s="402">
        <f t="shared" si="140"/>
        <v>26262612.047999997</v>
      </c>
      <c r="E1650" s="376">
        <v>940.18</v>
      </c>
      <c r="F1650" s="401">
        <v>27933.599999999999</v>
      </c>
      <c r="G1650" s="401">
        <f t="shared" si="141"/>
        <v>865.1</v>
      </c>
      <c r="H1650" s="402">
        <f t="shared" si="142"/>
        <v>-2097254.6879999973</v>
      </c>
      <c r="I1650" s="402">
        <f t="shared" si="143"/>
        <v>24165357.359999999</v>
      </c>
    </row>
    <row r="1651" spans="2:9" ht="12.8" hidden="1" customHeight="1">
      <c r="B1651" s="156">
        <v>45783</v>
      </c>
      <c r="C1651" s="255" t="s">
        <v>2645</v>
      </c>
      <c r="D1651" s="402">
        <f t="shared" si="140"/>
        <v>547184.76</v>
      </c>
      <c r="E1651" s="376">
        <v>940.18</v>
      </c>
      <c r="F1651" s="401">
        <v>582</v>
      </c>
      <c r="G1651" s="401">
        <f t="shared" si="141"/>
        <v>865.1</v>
      </c>
      <c r="H1651" s="402">
        <f t="shared" si="142"/>
        <v>-43696.56</v>
      </c>
      <c r="I1651" s="402">
        <f t="shared" si="143"/>
        <v>503488.2</v>
      </c>
    </row>
    <row r="1652" spans="2:9" ht="12.8" hidden="1" customHeight="1">
      <c r="B1652" s="156">
        <v>45783</v>
      </c>
      <c r="C1652" s="255" t="s">
        <v>2646</v>
      </c>
      <c r="D1652" s="402">
        <f t="shared" si="140"/>
        <v>8745930.432</v>
      </c>
      <c r="E1652" s="376">
        <v>940.18</v>
      </c>
      <c r="F1652" s="401">
        <v>9302.4</v>
      </c>
      <c r="G1652" s="401">
        <f t="shared" si="141"/>
        <v>865.1</v>
      </c>
      <c r="H1652" s="402">
        <f t="shared" si="142"/>
        <v>-698424.19199999981</v>
      </c>
      <c r="I1652" s="402">
        <f t="shared" si="143"/>
        <v>8047506.2400000002</v>
      </c>
    </row>
    <row r="1653" spans="2:9" ht="12.8" hidden="1" customHeight="1">
      <c r="B1653" s="156">
        <v>45783</v>
      </c>
      <c r="C1653" s="255" t="s">
        <v>2647</v>
      </c>
      <c r="D1653" s="402">
        <f t="shared" si="140"/>
        <v>4329528.8999999994</v>
      </c>
      <c r="E1653" s="376">
        <v>940.18</v>
      </c>
      <c r="F1653" s="401">
        <v>4605</v>
      </c>
      <c r="G1653" s="401">
        <f t="shared" si="141"/>
        <v>865.1</v>
      </c>
      <c r="H1653" s="402">
        <f t="shared" si="142"/>
        <v>-345743.39999999944</v>
      </c>
      <c r="I1653" s="402">
        <f t="shared" si="143"/>
        <v>3983785.5</v>
      </c>
    </row>
    <row r="1654" spans="2:9" ht="12.8" hidden="1" customHeight="1">
      <c r="B1654" s="156">
        <v>45783</v>
      </c>
      <c r="C1654" s="255" t="s">
        <v>2648</v>
      </c>
      <c r="D1654" s="402">
        <f t="shared" si="140"/>
        <v>9117395.5499999989</v>
      </c>
      <c r="E1654" s="376">
        <v>940.18</v>
      </c>
      <c r="F1654" s="401">
        <v>9697.5</v>
      </c>
      <c r="G1654" s="401">
        <f t="shared" si="141"/>
        <v>865.1</v>
      </c>
      <c r="H1654" s="402">
        <f t="shared" si="142"/>
        <v>-728088.29999999888</v>
      </c>
      <c r="I1654" s="402">
        <f t="shared" si="143"/>
        <v>8389307.25</v>
      </c>
    </row>
    <row r="1655" spans="2:9" ht="12.8" hidden="1" customHeight="1">
      <c r="B1655" s="156">
        <v>45783</v>
      </c>
      <c r="C1655" s="255" t="s">
        <v>2649</v>
      </c>
      <c r="D1655" s="402">
        <f t="shared" si="140"/>
        <v>483252.51999999996</v>
      </c>
      <c r="E1655" s="376">
        <v>940.18</v>
      </c>
      <c r="F1655" s="401">
        <v>514</v>
      </c>
      <c r="G1655" s="401">
        <f t="shared" si="141"/>
        <v>865.1</v>
      </c>
      <c r="H1655" s="402">
        <f t="shared" si="142"/>
        <v>-38591.119999999937</v>
      </c>
      <c r="I1655" s="402">
        <f t="shared" si="143"/>
        <v>444661.4</v>
      </c>
    </row>
    <row r="1656" spans="2:9" ht="12.8" hidden="1" customHeight="1">
      <c r="B1656" s="156">
        <v>45783</v>
      </c>
      <c r="C1656" s="255" t="s">
        <v>2650</v>
      </c>
      <c r="D1656" s="402">
        <f t="shared" si="140"/>
        <v>1579502.4</v>
      </c>
      <c r="E1656" s="376">
        <v>940.18</v>
      </c>
      <c r="F1656" s="401">
        <v>1680</v>
      </c>
      <c r="G1656" s="401">
        <f t="shared" si="141"/>
        <v>865.1</v>
      </c>
      <c r="H1656" s="402">
        <f t="shared" si="142"/>
        <v>-126134.39999999991</v>
      </c>
      <c r="I1656" s="402">
        <f t="shared" si="143"/>
        <v>1453368</v>
      </c>
    </row>
    <row r="1657" spans="2:9" ht="12.8" hidden="1" customHeight="1">
      <c r="B1657" s="156">
        <v>45783</v>
      </c>
      <c r="C1657" s="255" t="s">
        <v>2651</v>
      </c>
      <c r="D1657" s="402">
        <f t="shared" si="140"/>
        <v>627570.15</v>
      </c>
      <c r="E1657" s="376">
        <v>940.18</v>
      </c>
      <c r="F1657" s="401">
        <v>667.5</v>
      </c>
      <c r="G1657" s="401">
        <f t="shared" si="141"/>
        <v>865.1</v>
      </c>
      <c r="H1657" s="402">
        <f t="shared" si="142"/>
        <v>-50115.900000000023</v>
      </c>
      <c r="I1657" s="402">
        <f t="shared" si="143"/>
        <v>577454.25</v>
      </c>
    </row>
    <row r="1658" spans="2:9" ht="12.8" hidden="1" customHeight="1">
      <c r="B1658" s="156">
        <v>45783</v>
      </c>
      <c r="C1658" s="255" t="s">
        <v>2652</v>
      </c>
      <c r="D1658" s="402">
        <f t="shared" si="140"/>
        <v>1811256.77</v>
      </c>
      <c r="E1658" s="376">
        <v>940.18</v>
      </c>
      <c r="F1658" s="401">
        <v>1926.5</v>
      </c>
      <c r="G1658" s="401">
        <f t="shared" si="141"/>
        <v>865.1</v>
      </c>
      <c r="H1658" s="402">
        <f t="shared" si="142"/>
        <v>-144641.61999999988</v>
      </c>
      <c r="I1658" s="402">
        <f t="shared" si="143"/>
        <v>1666615.1500000001</v>
      </c>
    </row>
    <row r="1659" spans="2:9" ht="12.8" hidden="1" customHeight="1">
      <c r="B1659" s="156">
        <v>45783</v>
      </c>
      <c r="C1659" s="255" t="s">
        <v>2653</v>
      </c>
      <c r="D1659" s="402">
        <f t="shared" si="140"/>
        <v>966505.03999999992</v>
      </c>
      <c r="E1659" s="376">
        <v>940.18</v>
      </c>
      <c r="F1659" s="401">
        <v>1028</v>
      </c>
      <c r="G1659" s="401">
        <f t="shared" si="141"/>
        <v>865.1</v>
      </c>
      <c r="H1659" s="402">
        <f t="shared" si="142"/>
        <v>-77182.239999999874</v>
      </c>
      <c r="I1659" s="402">
        <f t="shared" si="143"/>
        <v>889322.8</v>
      </c>
    </row>
    <row r="1660" spans="2:9" ht="12.8" hidden="1" customHeight="1">
      <c r="B1660" s="156">
        <v>45783</v>
      </c>
      <c r="C1660" s="255" t="s">
        <v>2654</v>
      </c>
      <c r="D1660" s="402">
        <f t="shared" si="140"/>
        <v>1579502.4</v>
      </c>
      <c r="E1660" s="376">
        <v>940.18</v>
      </c>
      <c r="F1660" s="401">
        <v>1680</v>
      </c>
      <c r="G1660" s="401">
        <f t="shared" si="141"/>
        <v>865.1</v>
      </c>
      <c r="H1660" s="402">
        <f t="shared" si="142"/>
        <v>-126134.39999999991</v>
      </c>
      <c r="I1660" s="402">
        <f t="shared" si="143"/>
        <v>1453368</v>
      </c>
    </row>
    <row r="1661" spans="2:9" ht="12.8" hidden="1" customHeight="1">
      <c r="B1661" s="156">
        <v>45783</v>
      </c>
      <c r="C1661" s="255" t="s">
        <v>2655</v>
      </c>
      <c r="D1661" s="402">
        <f t="shared" si="140"/>
        <v>577270.52</v>
      </c>
      <c r="E1661" s="376">
        <v>940.18</v>
      </c>
      <c r="F1661" s="401">
        <v>614</v>
      </c>
      <c r="G1661" s="401">
        <f t="shared" si="141"/>
        <v>865.1</v>
      </c>
      <c r="H1661" s="402">
        <f t="shared" si="142"/>
        <v>-46099.119999999995</v>
      </c>
      <c r="I1661" s="402">
        <f t="shared" si="143"/>
        <v>531171.4</v>
      </c>
    </row>
    <row r="1662" spans="2:9" ht="12.8" hidden="1" customHeight="1">
      <c r="B1662" s="156">
        <v>45783</v>
      </c>
      <c r="C1662" s="255" t="s">
        <v>2656</v>
      </c>
      <c r="D1662" s="402">
        <f t="shared" si="140"/>
        <v>1670699.8599999999</v>
      </c>
      <c r="E1662" s="376">
        <v>940.18</v>
      </c>
      <c r="F1662" s="401">
        <v>1777</v>
      </c>
      <c r="G1662" s="401">
        <f t="shared" si="141"/>
        <v>865.1</v>
      </c>
      <c r="H1662" s="402">
        <f t="shared" si="142"/>
        <v>-133417.15999999992</v>
      </c>
      <c r="I1662" s="402">
        <f t="shared" si="143"/>
        <v>1537282.7</v>
      </c>
    </row>
    <row r="1663" spans="2:9" ht="12.8" hidden="1" customHeight="1">
      <c r="B1663" s="156">
        <v>45783</v>
      </c>
      <c r="C1663" s="255" t="s">
        <v>2657</v>
      </c>
      <c r="D1663" s="402">
        <f t="shared" si="140"/>
        <v>11347596.527999999</v>
      </c>
      <c r="E1663" s="376">
        <v>940.18</v>
      </c>
      <c r="F1663" s="401">
        <v>12069.6</v>
      </c>
      <c r="G1663" s="401">
        <f t="shared" si="141"/>
        <v>865.1</v>
      </c>
      <c r="H1663" s="402">
        <f t="shared" si="142"/>
        <v>-906185.56799999811</v>
      </c>
      <c r="I1663" s="402">
        <f t="shared" si="143"/>
        <v>10441410.960000001</v>
      </c>
    </row>
    <row r="1664" spans="2:9" ht="12.8" hidden="1" customHeight="1">
      <c r="B1664" s="156">
        <v>45783</v>
      </c>
      <c r="C1664" s="255" t="s">
        <v>2658</v>
      </c>
      <c r="D1664" s="402">
        <f t="shared" si="140"/>
        <v>189916.36</v>
      </c>
      <c r="E1664" s="376">
        <v>940.18</v>
      </c>
      <c r="F1664" s="401">
        <v>202</v>
      </c>
      <c r="G1664" s="401">
        <f t="shared" si="141"/>
        <v>865.1</v>
      </c>
      <c r="H1664" s="402">
        <f t="shared" si="142"/>
        <v>-15166.159999999974</v>
      </c>
      <c r="I1664" s="402">
        <f t="shared" si="143"/>
        <v>174750.2</v>
      </c>
    </row>
    <row r="1665" spans="2:9" ht="12.8" hidden="1" customHeight="1">
      <c r="B1665" s="156">
        <v>45783</v>
      </c>
      <c r="C1665" s="255" t="s">
        <v>2659</v>
      </c>
      <c r="D1665" s="402">
        <f t="shared" si="140"/>
        <v>1471757.7720000001</v>
      </c>
      <c r="E1665" s="376">
        <v>940.18</v>
      </c>
      <c r="F1665" s="401">
        <v>1565.4</v>
      </c>
      <c r="G1665" s="401">
        <f t="shared" si="141"/>
        <v>865.1</v>
      </c>
      <c r="H1665" s="402">
        <f t="shared" si="142"/>
        <v>-117530.23200000008</v>
      </c>
      <c r="I1665" s="402">
        <f t="shared" si="143"/>
        <v>1354227.54</v>
      </c>
    </row>
    <row r="1666" spans="2:9" ht="12.8" hidden="1" customHeight="1">
      <c r="B1666" s="156">
        <v>45783</v>
      </c>
      <c r="C1666" s="255" t="s">
        <v>2660</v>
      </c>
      <c r="D1666" s="402">
        <f t="shared" si="140"/>
        <v>483252.51999999996</v>
      </c>
      <c r="E1666" s="376">
        <v>940.18</v>
      </c>
      <c r="F1666" s="401">
        <v>514</v>
      </c>
      <c r="G1666" s="401">
        <f t="shared" si="141"/>
        <v>865.1</v>
      </c>
      <c r="H1666" s="402">
        <f t="shared" si="142"/>
        <v>-38591.119999999937</v>
      </c>
      <c r="I1666" s="402">
        <f t="shared" si="143"/>
        <v>444661.4</v>
      </c>
    </row>
    <row r="1667" spans="2:9" ht="12.8" hidden="1" customHeight="1">
      <c r="B1667" s="156">
        <v>45783</v>
      </c>
      <c r="C1667" s="255" t="s">
        <v>2661</v>
      </c>
      <c r="D1667" s="402">
        <f t="shared" si="140"/>
        <v>1579502.4</v>
      </c>
      <c r="E1667" s="376">
        <v>940.18</v>
      </c>
      <c r="F1667" s="401">
        <v>1680</v>
      </c>
      <c r="G1667" s="401">
        <f t="shared" si="141"/>
        <v>865.1</v>
      </c>
      <c r="H1667" s="402">
        <f t="shared" si="142"/>
        <v>-126134.39999999991</v>
      </c>
      <c r="I1667" s="402">
        <f t="shared" si="143"/>
        <v>1453368</v>
      </c>
    </row>
    <row r="1668" spans="2:9" ht="12.8" hidden="1" customHeight="1">
      <c r="B1668" s="156">
        <v>45783</v>
      </c>
      <c r="C1668" s="255" t="s">
        <v>2662</v>
      </c>
      <c r="D1668" s="402">
        <f t="shared" si="140"/>
        <v>577270.52</v>
      </c>
      <c r="E1668" s="376">
        <v>940.18</v>
      </c>
      <c r="F1668" s="401">
        <v>614</v>
      </c>
      <c r="G1668" s="401">
        <f t="shared" si="141"/>
        <v>865.1</v>
      </c>
      <c r="H1668" s="402">
        <f t="shared" si="142"/>
        <v>-46099.119999999995</v>
      </c>
      <c r="I1668" s="402">
        <f t="shared" si="143"/>
        <v>531171.4</v>
      </c>
    </row>
    <row r="1669" spans="2:9" ht="12.8" hidden="1" customHeight="1">
      <c r="B1669" s="156">
        <v>45783</v>
      </c>
      <c r="C1669" s="255" t="s">
        <v>2663</v>
      </c>
      <c r="D1669" s="402">
        <f t="shared" si="140"/>
        <v>1811256.77</v>
      </c>
      <c r="E1669" s="376">
        <v>940.18</v>
      </c>
      <c r="F1669" s="401">
        <v>1926.5</v>
      </c>
      <c r="G1669" s="401">
        <f t="shared" si="141"/>
        <v>865.1</v>
      </c>
      <c r="H1669" s="402">
        <f t="shared" si="142"/>
        <v>-144641.61999999988</v>
      </c>
      <c r="I1669" s="402">
        <f t="shared" si="143"/>
        <v>1666615.1500000001</v>
      </c>
    </row>
    <row r="1670" spans="2:9" ht="12.8" hidden="1" customHeight="1">
      <c r="B1670" s="156">
        <v>45783</v>
      </c>
      <c r="C1670" s="255" t="s">
        <v>2664</v>
      </c>
      <c r="D1670" s="402">
        <f t="shared" si="140"/>
        <v>1670699.8599999999</v>
      </c>
      <c r="E1670" s="376">
        <v>940.18</v>
      </c>
      <c r="F1670" s="401">
        <v>1777</v>
      </c>
      <c r="G1670" s="401">
        <f t="shared" si="141"/>
        <v>865.1</v>
      </c>
      <c r="H1670" s="402">
        <f t="shared" si="142"/>
        <v>-133417.15999999992</v>
      </c>
      <c r="I1670" s="402">
        <f t="shared" si="143"/>
        <v>1537282.7</v>
      </c>
    </row>
    <row r="1671" spans="2:9" ht="12.8" hidden="1" customHeight="1">
      <c r="B1671" s="156">
        <v>45793</v>
      </c>
      <c r="C1671" s="255" t="s">
        <v>2665</v>
      </c>
      <c r="D1671" s="402">
        <f t="shared" si="140"/>
        <v>10852365.5</v>
      </c>
      <c r="E1671" s="376">
        <v>940.25</v>
      </c>
      <c r="F1671" s="401">
        <v>11542</v>
      </c>
      <c r="G1671" s="401">
        <f t="shared" si="141"/>
        <v>865.1</v>
      </c>
      <c r="H1671" s="402">
        <f t="shared" si="142"/>
        <v>-867381.29999999888</v>
      </c>
      <c r="I1671" s="402">
        <f t="shared" si="143"/>
        <v>9984984.2000000011</v>
      </c>
    </row>
    <row r="1672" spans="2:9" ht="12.8" hidden="1" customHeight="1">
      <c r="B1672" s="156">
        <v>45784</v>
      </c>
      <c r="C1672" s="255" t="s">
        <v>2608</v>
      </c>
      <c r="D1672" s="402">
        <f t="shared" si="140"/>
        <v>10232329.737600001</v>
      </c>
      <c r="E1672" s="376">
        <v>939.67</v>
      </c>
      <c r="F1672" s="401">
        <v>10889.28</v>
      </c>
      <c r="G1672" s="401">
        <f t="shared" si="141"/>
        <v>865.1</v>
      </c>
      <c r="H1672" s="402">
        <f t="shared" si="142"/>
        <v>-812013.60960000008</v>
      </c>
      <c r="I1672" s="402">
        <f t="shared" si="143"/>
        <v>9420316.1280000005</v>
      </c>
    </row>
    <row r="1673" spans="2:9" hidden="1">
      <c r="B1673" s="156">
        <v>45808</v>
      </c>
      <c r="C1673" s="255" t="s">
        <v>673</v>
      </c>
      <c r="D1673" s="402">
        <f>F1673*E1673</f>
        <v>-81447674.000099733</v>
      </c>
      <c r="E1673" s="376">
        <v>941.97</v>
      </c>
      <c r="F1673" s="401">
        <v>-86465.252609000003</v>
      </c>
      <c r="G1673" s="401">
        <f>+G1415</f>
        <v>865.1</v>
      </c>
      <c r="H1673" s="402">
        <f t="shared" ref="H1673" si="144">+I1673-D1673</f>
        <v>6646583.9680538327</v>
      </c>
      <c r="I1673" s="402">
        <f t="shared" ref="I1673" si="145">+F1673*G1673</f>
        <v>-74801090.032045901</v>
      </c>
    </row>
    <row r="1674" spans="2:9" hidden="1">
      <c r="B1674" s="156">
        <v>45817</v>
      </c>
      <c r="C1674" s="255" t="s">
        <v>2716</v>
      </c>
      <c r="D1674" s="402">
        <f t="shared" ref="D1674:D1680" si="146">F1674*E1674</f>
        <v>2003236.95</v>
      </c>
      <c r="E1674" s="376">
        <v>933.91</v>
      </c>
      <c r="F1674" s="401">
        <v>2145</v>
      </c>
      <c r="G1674" s="401">
        <f t="shared" ref="G1674:G1680" si="147">+G1416</f>
        <v>865.1</v>
      </c>
      <c r="H1674" s="402">
        <f t="shared" ref="H1674:H1681" si="148">+I1674-D1674</f>
        <v>-147597.44999999995</v>
      </c>
      <c r="I1674" s="402">
        <f t="shared" ref="I1674:I1681" si="149">+F1674*G1674</f>
        <v>1855639.5</v>
      </c>
    </row>
    <row r="1675" spans="2:9" hidden="1">
      <c r="B1675" s="156">
        <v>45812</v>
      </c>
      <c r="C1675" s="255" t="s">
        <v>2717</v>
      </c>
      <c r="D1675" s="402">
        <f t="shared" si="146"/>
        <v>3290082.432</v>
      </c>
      <c r="E1675" s="376">
        <v>941.53</v>
      </c>
      <c r="F1675" s="401">
        <v>3494.4</v>
      </c>
      <c r="G1675" s="401">
        <f t="shared" si="147"/>
        <v>865.1</v>
      </c>
      <c r="H1675" s="402">
        <f t="shared" si="148"/>
        <v>-267076.99200000009</v>
      </c>
      <c r="I1675" s="402">
        <f t="shared" si="149"/>
        <v>3023005.44</v>
      </c>
    </row>
    <row r="1676" spans="2:9" hidden="1">
      <c r="B1676" s="156">
        <v>45812</v>
      </c>
      <c r="C1676" s="255" t="s">
        <v>2718</v>
      </c>
      <c r="D1676" s="402">
        <f t="shared" si="146"/>
        <v>27098739.847999997</v>
      </c>
      <c r="E1676" s="376">
        <v>941.53</v>
      </c>
      <c r="F1676" s="401">
        <v>28781.599999999999</v>
      </c>
      <c r="G1676" s="401">
        <f t="shared" si="147"/>
        <v>865.1</v>
      </c>
      <c r="H1676" s="402">
        <f t="shared" si="148"/>
        <v>-2199777.6879999973</v>
      </c>
      <c r="I1676" s="402">
        <f t="shared" si="149"/>
        <v>24898962.16</v>
      </c>
    </row>
    <row r="1677" spans="2:9" hidden="1">
      <c r="B1677" s="156">
        <v>45824</v>
      </c>
      <c r="C1677" s="255" t="s">
        <v>2719</v>
      </c>
      <c r="D1677" s="402">
        <f t="shared" si="146"/>
        <v>3781128.96</v>
      </c>
      <c r="E1677" s="376">
        <v>937.78</v>
      </c>
      <c r="F1677" s="401">
        <v>4032</v>
      </c>
      <c r="G1677" s="401">
        <f t="shared" si="147"/>
        <v>865.1</v>
      </c>
      <c r="H1677" s="402">
        <f t="shared" si="148"/>
        <v>-293045.75999999978</v>
      </c>
      <c r="I1677" s="402">
        <f t="shared" si="149"/>
        <v>3488083.2</v>
      </c>
    </row>
    <row r="1678" spans="2:9" hidden="1">
      <c r="B1678" s="156">
        <v>45831</v>
      </c>
      <c r="C1678" s="255" t="s">
        <v>2720</v>
      </c>
      <c r="D1678" s="402">
        <f t="shared" si="146"/>
        <v>9690010.959999999</v>
      </c>
      <c r="E1678" s="376">
        <v>947.03</v>
      </c>
      <c r="F1678" s="401">
        <v>10232</v>
      </c>
      <c r="G1678" s="401">
        <f t="shared" si="147"/>
        <v>865.1</v>
      </c>
      <c r="H1678" s="402">
        <f t="shared" si="148"/>
        <v>-838307.75999999791</v>
      </c>
      <c r="I1678" s="402">
        <f t="shared" si="149"/>
        <v>8851703.2000000011</v>
      </c>
    </row>
    <row r="1679" spans="2:9" hidden="1">
      <c r="B1679" s="156">
        <v>45833</v>
      </c>
      <c r="C1679" s="255" t="s">
        <v>2721</v>
      </c>
      <c r="D1679" s="402">
        <f t="shared" si="146"/>
        <v>283711.72499999998</v>
      </c>
      <c r="E1679" s="376">
        <v>937.89</v>
      </c>
      <c r="F1679" s="401">
        <v>302.5</v>
      </c>
      <c r="G1679" s="401">
        <f t="shared" si="147"/>
        <v>865.1</v>
      </c>
      <c r="H1679" s="402">
        <f t="shared" si="148"/>
        <v>-22018.974999999977</v>
      </c>
      <c r="I1679" s="402">
        <f t="shared" si="149"/>
        <v>261692.75</v>
      </c>
    </row>
    <row r="1680" spans="2:9" hidden="1">
      <c r="B1680" s="156">
        <v>45833</v>
      </c>
      <c r="C1680" s="255" t="s">
        <v>2722</v>
      </c>
      <c r="D1680" s="402">
        <f t="shared" si="146"/>
        <v>163192.85999999999</v>
      </c>
      <c r="E1680" s="376">
        <v>937.89</v>
      </c>
      <c r="F1680" s="401">
        <v>174</v>
      </c>
      <c r="G1680" s="401">
        <f t="shared" si="147"/>
        <v>865.1</v>
      </c>
      <c r="H1680" s="402">
        <f t="shared" si="148"/>
        <v>-12665.459999999992</v>
      </c>
      <c r="I1680" s="402">
        <f t="shared" si="149"/>
        <v>150527.4</v>
      </c>
    </row>
    <row r="1681" spans="2:9" hidden="1">
      <c r="B1681" s="156">
        <v>45838</v>
      </c>
      <c r="C1681" s="255" t="s">
        <v>673</v>
      </c>
      <c r="D1681" s="402">
        <f>F1681*E1681</f>
        <v>-143849244.18959999</v>
      </c>
      <c r="E1681" s="376">
        <v>933.42</v>
      </c>
      <c r="F1681" s="401">
        <v>-154109.88</v>
      </c>
      <c r="G1681" s="401">
        <f>+G1415</f>
        <v>865.1</v>
      </c>
      <c r="H1681" s="402">
        <f t="shared" si="148"/>
        <v>10528787.001599982</v>
      </c>
      <c r="I1681" s="402">
        <f t="shared" si="149"/>
        <v>-133320457.18800001</v>
      </c>
    </row>
    <row r="1682" spans="2:9" hidden="1">
      <c r="B1682" s="156">
        <v>45845</v>
      </c>
      <c r="C1682" s="255" t="s">
        <v>2761</v>
      </c>
      <c r="D1682" s="402">
        <f t="shared" ref="D1682:D1745" si="150">F1682*E1682</f>
        <v>8405977.4399999995</v>
      </c>
      <c r="E1682" s="376">
        <v>932.34</v>
      </c>
      <c r="F1682" s="401">
        <v>9016</v>
      </c>
      <c r="G1682" s="401">
        <f t="shared" ref="G1682:G1745" si="151">+G1416</f>
        <v>865.1</v>
      </c>
      <c r="H1682" s="402">
        <f t="shared" ref="H1682:H1732" si="152">+I1682-D1682</f>
        <v>-606235.83999999892</v>
      </c>
      <c r="I1682" s="402">
        <f t="shared" ref="I1682:I1732" si="153">+F1682*G1682</f>
        <v>7799741.6000000006</v>
      </c>
    </row>
    <row r="1683" spans="2:9" hidden="1">
      <c r="B1683" s="156">
        <v>45845</v>
      </c>
      <c r="C1683" s="255" t="s">
        <v>2762</v>
      </c>
      <c r="D1683" s="402">
        <f t="shared" si="150"/>
        <v>984551.04</v>
      </c>
      <c r="E1683" s="376">
        <v>932.34</v>
      </c>
      <c r="F1683" s="401">
        <v>1056</v>
      </c>
      <c r="G1683" s="401">
        <f t="shared" si="151"/>
        <v>865.1</v>
      </c>
      <c r="H1683" s="402">
        <f t="shared" si="152"/>
        <v>-71005.440000000061</v>
      </c>
      <c r="I1683" s="402">
        <f t="shared" si="153"/>
        <v>913545.6</v>
      </c>
    </row>
    <row r="1684" spans="2:9" hidden="1">
      <c r="B1684" s="156">
        <v>45845</v>
      </c>
      <c r="C1684" s="255" t="s">
        <v>2763</v>
      </c>
      <c r="D1684" s="402">
        <f t="shared" si="150"/>
        <v>28026513.336000003</v>
      </c>
      <c r="E1684" s="376">
        <v>932.34</v>
      </c>
      <c r="F1684" s="401">
        <v>30060.400000000001</v>
      </c>
      <c r="G1684" s="401">
        <f t="shared" si="151"/>
        <v>865.1</v>
      </c>
      <c r="H1684" s="402">
        <f t="shared" si="152"/>
        <v>-2021261.2960000001</v>
      </c>
      <c r="I1684" s="402">
        <f t="shared" si="153"/>
        <v>26005252.040000003</v>
      </c>
    </row>
    <row r="1685" spans="2:9" hidden="1">
      <c r="B1685" s="156">
        <v>45845</v>
      </c>
      <c r="C1685" s="255" t="s">
        <v>2764</v>
      </c>
      <c r="D1685" s="402">
        <f t="shared" si="150"/>
        <v>8178486.4800000004</v>
      </c>
      <c r="E1685" s="376">
        <v>932.34</v>
      </c>
      <c r="F1685" s="401">
        <v>8772</v>
      </c>
      <c r="G1685" s="401">
        <f t="shared" si="151"/>
        <v>865.1</v>
      </c>
      <c r="H1685" s="402">
        <f t="shared" si="152"/>
        <v>-589829.28000000026</v>
      </c>
      <c r="I1685" s="402">
        <f t="shared" si="153"/>
        <v>7588657.2000000002</v>
      </c>
    </row>
    <row r="1686" spans="2:9" hidden="1">
      <c r="B1686" s="156">
        <v>45845</v>
      </c>
      <c r="C1686" s="255" t="s">
        <v>2765</v>
      </c>
      <c r="D1686" s="402">
        <f t="shared" si="150"/>
        <v>42962227.200000003</v>
      </c>
      <c r="E1686" s="376">
        <v>932.34</v>
      </c>
      <c r="F1686" s="401">
        <v>46080</v>
      </c>
      <c r="G1686" s="401">
        <f t="shared" si="151"/>
        <v>865.1</v>
      </c>
      <c r="H1686" s="402">
        <f t="shared" si="152"/>
        <v>-3098419.200000003</v>
      </c>
      <c r="I1686" s="402">
        <f t="shared" si="153"/>
        <v>39863808</v>
      </c>
    </row>
    <row r="1687" spans="2:9" hidden="1">
      <c r="B1687" s="156">
        <v>45845</v>
      </c>
      <c r="C1687" s="255" t="s">
        <v>2766</v>
      </c>
      <c r="D1687" s="402">
        <f t="shared" si="150"/>
        <v>50197185.600000001</v>
      </c>
      <c r="E1687" s="376">
        <v>932.34</v>
      </c>
      <c r="F1687" s="401">
        <v>53840</v>
      </c>
      <c r="G1687" s="401">
        <f t="shared" si="151"/>
        <v>865.1</v>
      </c>
      <c r="H1687" s="402">
        <f t="shared" si="152"/>
        <v>-3620201.6000000015</v>
      </c>
      <c r="I1687" s="402">
        <f t="shared" si="153"/>
        <v>46576984</v>
      </c>
    </row>
    <row r="1688" spans="2:9" hidden="1">
      <c r="B1688" s="156">
        <v>45849</v>
      </c>
      <c r="C1688" s="255" t="s">
        <v>2767</v>
      </c>
      <c r="D1688" s="402">
        <f t="shared" si="150"/>
        <v>1106110.4339999999</v>
      </c>
      <c r="E1688" s="376">
        <v>950.43</v>
      </c>
      <c r="F1688" s="401">
        <v>1163.8</v>
      </c>
      <c r="G1688" s="401">
        <f t="shared" si="151"/>
        <v>865.1</v>
      </c>
      <c r="H1688" s="402">
        <f t="shared" si="152"/>
        <v>-99307.053999999887</v>
      </c>
      <c r="I1688" s="402">
        <f t="shared" si="153"/>
        <v>1006803.38</v>
      </c>
    </row>
    <row r="1689" spans="2:9" hidden="1">
      <c r="B1689" s="156">
        <v>45849</v>
      </c>
      <c r="C1689" s="255" t="s">
        <v>2768</v>
      </c>
      <c r="D1689" s="402">
        <f t="shared" si="150"/>
        <v>977802.38399999996</v>
      </c>
      <c r="E1689" s="376">
        <v>950.43</v>
      </c>
      <c r="F1689" s="401">
        <v>1028.8</v>
      </c>
      <c r="G1689" s="401">
        <f t="shared" si="151"/>
        <v>865.1</v>
      </c>
      <c r="H1689" s="402">
        <f t="shared" si="152"/>
        <v>-87787.503999999957</v>
      </c>
      <c r="I1689" s="402">
        <f t="shared" si="153"/>
        <v>890014.88</v>
      </c>
    </row>
    <row r="1690" spans="2:9" hidden="1">
      <c r="B1690" s="156">
        <v>45849</v>
      </c>
      <c r="C1690" s="255" t="s">
        <v>2769</v>
      </c>
      <c r="D1690" s="402">
        <f t="shared" si="150"/>
        <v>2873625.105</v>
      </c>
      <c r="E1690" s="376">
        <v>950.43</v>
      </c>
      <c r="F1690" s="401">
        <v>3023.5</v>
      </c>
      <c r="G1690" s="401">
        <f t="shared" si="151"/>
        <v>865.1</v>
      </c>
      <c r="H1690" s="402">
        <f t="shared" si="152"/>
        <v>-257995.25499999989</v>
      </c>
      <c r="I1690" s="402">
        <f t="shared" si="153"/>
        <v>2615629.85</v>
      </c>
    </row>
    <row r="1691" spans="2:9" hidden="1">
      <c r="B1691" s="156">
        <v>45849</v>
      </c>
      <c r="C1691" s="255" t="s">
        <v>2770</v>
      </c>
      <c r="D1691" s="402">
        <f t="shared" si="150"/>
        <v>7044111.9449999994</v>
      </c>
      <c r="E1691" s="376">
        <v>950.43</v>
      </c>
      <c r="F1691" s="401">
        <v>7411.5</v>
      </c>
      <c r="G1691" s="401">
        <f t="shared" si="151"/>
        <v>865.1</v>
      </c>
      <c r="H1691" s="402">
        <f t="shared" si="152"/>
        <v>-632423.29499999899</v>
      </c>
      <c r="I1691" s="402">
        <f t="shared" si="153"/>
        <v>6411688.6500000004</v>
      </c>
    </row>
    <row r="1692" spans="2:9" hidden="1">
      <c r="B1692" s="156">
        <v>45849</v>
      </c>
      <c r="C1692" s="255" t="s">
        <v>2771</v>
      </c>
      <c r="D1692" s="402">
        <f t="shared" si="150"/>
        <v>6272838</v>
      </c>
      <c r="E1692" s="376">
        <v>950.43</v>
      </c>
      <c r="F1692" s="401">
        <v>6600</v>
      </c>
      <c r="G1692" s="401">
        <f t="shared" si="151"/>
        <v>865.1</v>
      </c>
      <c r="H1692" s="402">
        <f t="shared" si="152"/>
        <v>-563178</v>
      </c>
      <c r="I1692" s="402">
        <f t="shared" si="153"/>
        <v>5709660</v>
      </c>
    </row>
    <row r="1693" spans="2:9" hidden="1">
      <c r="B1693" s="156">
        <v>45849</v>
      </c>
      <c r="C1693" s="255" t="s">
        <v>2772</v>
      </c>
      <c r="D1693" s="402">
        <f t="shared" si="150"/>
        <v>155965.56299999999</v>
      </c>
      <c r="E1693" s="376">
        <v>950.43</v>
      </c>
      <c r="F1693" s="401">
        <v>164.1</v>
      </c>
      <c r="G1693" s="401">
        <f t="shared" si="151"/>
        <v>865.1</v>
      </c>
      <c r="H1693" s="402">
        <f t="shared" si="152"/>
        <v>-14002.652999999991</v>
      </c>
      <c r="I1693" s="402">
        <f t="shared" si="153"/>
        <v>141962.91</v>
      </c>
    </row>
    <row r="1694" spans="2:9" hidden="1">
      <c r="B1694" s="156">
        <v>45849</v>
      </c>
      <c r="C1694" s="255" t="s">
        <v>2773</v>
      </c>
      <c r="D1694" s="402">
        <f t="shared" si="150"/>
        <v>2873625.105</v>
      </c>
      <c r="E1694" s="376">
        <v>950.43</v>
      </c>
      <c r="F1694" s="401">
        <v>3023.5</v>
      </c>
      <c r="G1694" s="401">
        <f t="shared" si="151"/>
        <v>865.1</v>
      </c>
      <c r="H1694" s="402">
        <f t="shared" si="152"/>
        <v>-257995.25499999989</v>
      </c>
      <c r="I1694" s="402">
        <f t="shared" si="153"/>
        <v>2615629.85</v>
      </c>
    </row>
    <row r="1695" spans="2:9" hidden="1">
      <c r="B1695" s="156">
        <v>45849</v>
      </c>
      <c r="C1695" s="255" t="s">
        <v>2774</v>
      </c>
      <c r="D1695" s="402">
        <f t="shared" si="150"/>
        <v>6948118.5149999997</v>
      </c>
      <c r="E1695" s="376">
        <v>950.43</v>
      </c>
      <c r="F1695" s="401">
        <v>7310.5</v>
      </c>
      <c r="G1695" s="401">
        <f t="shared" si="151"/>
        <v>865.1</v>
      </c>
      <c r="H1695" s="402">
        <f t="shared" si="152"/>
        <v>-623804.96499999985</v>
      </c>
      <c r="I1695" s="402">
        <f t="shared" si="153"/>
        <v>6324313.5499999998</v>
      </c>
    </row>
    <row r="1696" spans="2:9" hidden="1">
      <c r="B1696" s="156">
        <v>45849</v>
      </c>
      <c r="C1696" s="255" t="s">
        <v>2775</v>
      </c>
      <c r="D1696" s="402">
        <f t="shared" si="150"/>
        <v>1106110.4339999999</v>
      </c>
      <c r="E1696" s="376">
        <v>950.43</v>
      </c>
      <c r="F1696" s="401">
        <v>1163.8</v>
      </c>
      <c r="G1696" s="401">
        <f t="shared" si="151"/>
        <v>865.1</v>
      </c>
      <c r="H1696" s="402">
        <f t="shared" si="152"/>
        <v>-99307.053999999887</v>
      </c>
      <c r="I1696" s="402">
        <f t="shared" si="153"/>
        <v>1006803.38</v>
      </c>
    </row>
    <row r="1697" spans="2:9" hidden="1">
      <c r="B1697" s="156">
        <v>45849</v>
      </c>
      <c r="C1697" s="255" t="s">
        <v>2776</v>
      </c>
      <c r="D1697" s="402">
        <f t="shared" si="150"/>
        <v>1106110.4339999999</v>
      </c>
      <c r="E1697" s="376">
        <v>950.43</v>
      </c>
      <c r="F1697" s="401">
        <v>1163.8</v>
      </c>
      <c r="G1697" s="401">
        <f t="shared" si="151"/>
        <v>865.1</v>
      </c>
      <c r="H1697" s="402">
        <f t="shared" si="152"/>
        <v>-99307.053999999887</v>
      </c>
      <c r="I1697" s="402">
        <f t="shared" si="153"/>
        <v>1006803.38</v>
      </c>
    </row>
    <row r="1698" spans="2:9" hidden="1">
      <c r="B1698" s="156">
        <v>45849</v>
      </c>
      <c r="C1698" s="255" t="s">
        <v>2777</v>
      </c>
      <c r="D1698" s="402">
        <f t="shared" si="150"/>
        <v>928950.28199999989</v>
      </c>
      <c r="E1698" s="376">
        <v>950.43</v>
      </c>
      <c r="F1698" s="401">
        <v>977.4</v>
      </c>
      <c r="G1698" s="401">
        <f t="shared" si="151"/>
        <v>865.1</v>
      </c>
      <c r="H1698" s="402">
        <f t="shared" si="152"/>
        <v>-83401.541999999899</v>
      </c>
      <c r="I1698" s="402">
        <f t="shared" si="153"/>
        <v>845548.74</v>
      </c>
    </row>
    <row r="1699" spans="2:9" hidden="1">
      <c r="B1699" s="156">
        <v>45849</v>
      </c>
      <c r="C1699" s="255" t="s">
        <v>2778</v>
      </c>
      <c r="D1699" s="402">
        <f t="shared" si="150"/>
        <v>919712.10239999986</v>
      </c>
      <c r="E1699" s="376">
        <v>950.43</v>
      </c>
      <c r="F1699" s="401">
        <v>967.68</v>
      </c>
      <c r="G1699" s="401">
        <f t="shared" si="151"/>
        <v>865.1</v>
      </c>
      <c r="H1699" s="402">
        <f t="shared" si="152"/>
        <v>-82572.134399999864</v>
      </c>
      <c r="I1699" s="402">
        <f t="shared" si="153"/>
        <v>837139.96799999999</v>
      </c>
    </row>
    <row r="1700" spans="2:9" hidden="1">
      <c r="B1700" s="156">
        <v>45849</v>
      </c>
      <c r="C1700" s="255" t="s">
        <v>2779</v>
      </c>
      <c r="D1700" s="402">
        <f t="shared" si="150"/>
        <v>619300.18799999997</v>
      </c>
      <c r="E1700" s="376">
        <v>950.43</v>
      </c>
      <c r="F1700" s="401">
        <v>651.6</v>
      </c>
      <c r="G1700" s="401">
        <f t="shared" si="151"/>
        <v>865.1</v>
      </c>
      <c r="H1700" s="402">
        <f t="shared" si="152"/>
        <v>-55601.027999999933</v>
      </c>
      <c r="I1700" s="402">
        <f t="shared" si="153"/>
        <v>563699.16</v>
      </c>
    </row>
    <row r="1701" spans="2:9" hidden="1">
      <c r="B1701" s="156">
        <v>45849</v>
      </c>
      <c r="C1701" s="255" t="s">
        <v>2780</v>
      </c>
      <c r="D1701" s="402">
        <f t="shared" si="150"/>
        <v>1981646.5499999998</v>
      </c>
      <c r="E1701" s="376">
        <v>950.43</v>
      </c>
      <c r="F1701" s="401">
        <v>2085</v>
      </c>
      <c r="G1701" s="401">
        <f t="shared" si="151"/>
        <v>865.1</v>
      </c>
      <c r="H1701" s="402">
        <f t="shared" si="152"/>
        <v>-177913.04999999981</v>
      </c>
      <c r="I1701" s="402">
        <f t="shared" si="153"/>
        <v>1803733.5</v>
      </c>
    </row>
    <row r="1702" spans="2:9" hidden="1">
      <c r="B1702" s="156">
        <v>45849</v>
      </c>
      <c r="C1702" s="255" t="s">
        <v>2781</v>
      </c>
      <c r="D1702" s="402">
        <f t="shared" si="150"/>
        <v>977802.38399999996</v>
      </c>
      <c r="E1702" s="376">
        <v>950.43</v>
      </c>
      <c r="F1702" s="401">
        <v>1028.8</v>
      </c>
      <c r="G1702" s="401">
        <f t="shared" si="151"/>
        <v>865.1</v>
      </c>
      <c r="H1702" s="402">
        <f t="shared" si="152"/>
        <v>-87787.503999999957</v>
      </c>
      <c r="I1702" s="402">
        <f t="shared" si="153"/>
        <v>890014.88</v>
      </c>
    </row>
    <row r="1703" spans="2:9" hidden="1">
      <c r="B1703" s="156">
        <v>45849</v>
      </c>
      <c r="C1703" s="255" t="s">
        <v>2782</v>
      </c>
      <c r="D1703" s="402">
        <f t="shared" si="150"/>
        <v>1106110.4339999999</v>
      </c>
      <c r="E1703" s="376">
        <v>950.43</v>
      </c>
      <c r="F1703" s="401">
        <v>1163.8</v>
      </c>
      <c r="G1703" s="401">
        <f t="shared" si="151"/>
        <v>865.1</v>
      </c>
      <c r="H1703" s="402">
        <f t="shared" si="152"/>
        <v>-99307.053999999887</v>
      </c>
      <c r="I1703" s="402">
        <f t="shared" si="153"/>
        <v>1006803.38</v>
      </c>
    </row>
    <row r="1704" spans="2:9" hidden="1">
      <c r="B1704" s="156">
        <v>45849</v>
      </c>
      <c r="C1704" s="255" t="s">
        <v>2783</v>
      </c>
      <c r="D1704" s="402">
        <f t="shared" si="150"/>
        <v>977802.38399999996</v>
      </c>
      <c r="E1704" s="376">
        <v>950.43</v>
      </c>
      <c r="F1704" s="401">
        <v>1028.8</v>
      </c>
      <c r="G1704" s="401">
        <f t="shared" si="151"/>
        <v>865.1</v>
      </c>
      <c r="H1704" s="402">
        <f t="shared" si="152"/>
        <v>-87787.503999999957</v>
      </c>
      <c r="I1704" s="402">
        <f t="shared" si="153"/>
        <v>890014.88</v>
      </c>
    </row>
    <row r="1705" spans="2:9" hidden="1">
      <c r="B1705" s="156">
        <v>45849</v>
      </c>
      <c r="C1705" s="255" t="s">
        <v>2784</v>
      </c>
      <c r="D1705" s="402">
        <f t="shared" si="150"/>
        <v>977802.38399999996</v>
      </c>
      <c r="E1705" s="376">
        <v>950.43</v>
      </c>
      <c r="F1705" s="401">
        <v>1028.8</v>
      </c>
      <c r="G1705" s="401">
        <f t="shared" si="151"/>
        <v>865.1</v>
      </c>
      <c r="H1705" s="402">
        <f t="shared" si="152"/>
        <v>-87787.503999999957</v>
      </c>
      <c r="I1705" s="402">
        <f t="shared" si="153"/>
        <v>890014.88</v>
      </c>
    </row>
    <row r="1706" spans="2:9" hidden="1">
      <c r="B1706" s="156">
        <v>45849</v>
      </c>
      <c r="C1706" s="255" t="s">
        <v>2785</v>
      </c>
      <c r="D1706" s="402">
        <f t="shared" si="150"/>
        <v>977802.38399999996</v>
      </c>
      <c r="E1706" s="376">
        <v>950.43</v>
      </c>
      <c r="F1706" s="401">
        <v>1028.8</v>
      </c>
      <c r="G1706" s="401">
        <f t="shared" si="151"/>
        <v>865.1</v>
      </c>
      <c r="H1706" s="402">
        <f t="shared" si="152"/>
        <v>-87787.503999999957</v>
      </c>
      <c r="I1706" s="402">
        <f t="shared" si="153"/>
        <v>890014.88</v>
      </c>
    </row>
    <row r="1707" spans="2:9" hidden="1">
      <c r="B1707" s="156">
        <v>45849</v>
      </c>
      <c r="C1707" s="255" t="s">
        <v>2786</v>
      </c>
      <c r="D1707" s="402">
        <f t="shared" si="150"/>
        <v>2873625.105</v>
      </c>
      <c r="E1707" s="376">
        <v>950.43</v>
      </c>
      <c r="F1707" s="401">
        <v>3023.5</v>
      </c>
      <c r="G1707" s="401">
        <f t="shared" si="151"/>
        <v>865.1</v>
      </c>
      <c r="H1707" s="402">
        <f t="shared" si="152"/>
        <v>-257995.25499999989</v>
      </c>
      <c r="I1707" s="402">
        <f t="shared" si="153"/>
        <v>2615629.85</v>
      </c>
    </row>
    <row r="1708" spans="2:9" hidden="1">
      <c r="B1708" s="156">
        <v>45849</v>
      </c>
      <c r="C1708" s="255" t="s">
        <v>2787</v>
      </c>
      <c r="D1708" s="402">
        <f t="shared" si="150"/>
        <v>7044111.9449999994</v>
      </c>
      <c r="E1708" s="376">
        <v>950.43</v>
      </c>
      <c r="F1708" s="401">
        <v>7411.5</v>
      </c>
      <c r="G1708" s="401">
        <f t="shared" si="151"/>
        <v>865.1</v>
      </c>
      <c r="H1708" s="402">
        <f t="shared" si="152"/>
        <v>-632423.29499999899</v>
      </c>
      <c r="I1708" s="402">
        <f t="shared" si="153"/>
        <v>6411688.6500000004</v>
      </c>
    </row>
    <row r="1709" spans="2:9" hidden="1">
      <c r="B1709" s="156">
        <v>45849</v>
      </c>
      <c r="C1709" s="255" t="s">
        <v>2788</v>
      </c>
      <c r="D1709" s="402">
        <f t="shared" si="150"/>
        <v>135436.27499999999</v>
      </c>
      <c r="E1709" s="376">
        <v>950.43</v>
      </c>
      <c r="F1709" s="401">
        <v>142.5</v>
      </c>
      <c r="G1709" s="401">
        <f t="shared" si="151"/>
        <v>865.1</v>
      </c>
      <c r="H1709" s="402">
        <f t="shared" si="152"/>
        <v>-12159.524999999994</v>
      </c>
      <c r="I1709" s="402">
        <f t="shared" si="153"/>
        <v>123276.75</v>
      </c>
    </row>
    <row r="1710" spans="2:9" hidden="1">
      <c r="B1710" s="156">
        <v>45849</v>
      </c>
      <c r="C1710" s="255" t="s">
        <v>2789</v>
      </c>
      <c r="D1710" s="402">
        <f t="shared" si="150"/>
        <v>5932679.1030000001</v>
      </c>
      <c r="E1710" s="376">
        <v>950.43</v>
      </c>
      <c r="F1710" s="401">
        <v>6242.1</v>
      </c>
      <c r="G1710" s="401">
        <f t="shared" si="151"/>
        <v>865.1</v>
      </c>
      <c r="H1710" s="402">
        <f t="shared" si="152"/>
        <v>-532638.39299999923</v>
      </c>
      <c r="I1710" s="402">
        <f t="shared" si="153"/>
        <v>5400040.7100000009</v>
      </c>
    </row>
    <row r="1711" spans="2:9" hidden="1">
      <c r="B1711" s="156">
        <v>45849</v>
      </c>
      <c r="C1711" s="255" t="s">
        <v>2790</v>
      </c>
      <c r="D1711" s="402">
        <f t="shared" si="150"/>
        <v>10030838.219999999</v>
      </c>
      <c r="E1711" s="376">
        <v>950.43</v>
      </c>
      <c r="F1711" s="401">
        <v>10554</v>
      </c>
      <c r="G1711" s="401">
        <f t="shared" si="151"/>
        <v>865.1</v>
      </c>
      <c r="H1711" s="402">
        <f t="shared" si="152"/>
        <v>-900572.81999999844</v>
      </c>
      <c r="I1711" s="402">
        <f t="shared" si="153"/>
        <v>9130265.4000000004</v>
      </c>
    </row>
    <row r="1712" spans="2:9" hidden="1">
      <c r="B1712" s="156">
        <v>45849</v>
      </c>
      <c r="C1712" s="255" t="s">
        <v>2791</v>
      </c>
      <c r="D1712" s="402">
        <f t="shared" si="150"/>
        <v>138287.565</v>
      </c>
      <c r="E1712" s="376">
        <v>950.43</v>
      </c>
      <c r="F1712" s="401">
        <v>145.5</v>
      </c>
      <c r="G1712" s="401">
        <f t="shared" si="151"/>
        <v>865.1</v>
      </c>
      <c r="H1712" s="402">
        <f t="shared" si="152"/>
        <v>-12415.514999999999</v>
      </c>
      <c r="I1712" s="402">
        <f t="shared" si="153"/>
        <v>125872.05</v>
      </c>
    </row>
    <row r="1713" spans="2:9" hidden="1">
      <c r="B1713" s="156">
        <v>45849</v>
      </c>
      <c r="C1713" s="255" t="s">
        <v>2792</v>
      </c>
      <c r="D1713" s="402">
        <f t="shared" si="150"/>
        <v>3045291.7715999996</v>
      </c>
      <c r="E1713" s="376">
        <v>950.43</v>
      </c>
      <c r="F1713" s="401">
        <v>3204.12</v>
      </c>
      <c r="G1713" s="401">
        <f t="shared" si="151"/>
        <v>865.1</v>
      </c>
      <c r="H1713" s="402">
        <f t="shared" si="152"/>
        <v>-273407.5595999998</v>
      </c>
      <c r="I1713" s="402">
        <f t="shared" si="153"/>
        <v>2771884.2119999998</v>
      </c>
    </row>
    <row r="1714" spans="2:9" hidden="1">
      <c r="B1714" s="156">
        <v>45849</v>
      </c>
      <c r="C1714" s="255" t="s">
        <v>2793</v>
      </c>
      <c r="D1714" s="402">
        <f t="shared" si="150"/>
        <v>4362473.7</v>
      </c>
      <c r="E1714" s="376">
        <v>950.43</v>
      </c>
      <c r="F1714" s="401">
        <v>4590</v>
      </c>
      <c r="G1714" s="401">
        <f t="shared" si="151"/>
        <v>865.1</v>
      </c>
      <c r="H1714" s="402">
        <f t="shared" si="152"/>
        <v>-391664.70000000019</v>
      </c>
      <c r="I1714" s="402">
        <f t="shared" si="153"/>
        <v>3970809</v>
      </c>
    </row>
    <row r="1715" spans="2:9" hidden="1">
      <c r="B1715" s="156">
        <v>45849</v>
      </c>
      <c r="C1715" s="255" t="s">
        <v>2794</v>
      </c>
      <c r="D1715" s="402">
        <f t="shared" si="150"/>
        <v>13306970.43</v>
      </c>
      <c r="E1715" s="376">
        <v>950.43</v>
      </c>
      <c r="F1715" s="401">
        <v>14001</v>
      </c>
      <c r="G1715" s="401">
        <f t="shared" si="151"/>
        <v>865.1</v>
      </c>
      <c r="H1715" s="402">
        <f t="shared" si="152"/>
        <v>-1194705.33</v>
      </c>
      <c r="I1715" s="402">
        <f t="shared" si="153"/>
        <v>12112265.1</v>
      </c>
    </row>
    <row r="1716" spans="2:9" hidden="1">
      <c r="B1716" s="156">
        <v>45849</v>
      </c>
      <c r="C1716" s="255" t="s">
        <v>2795</v>
      </c>
      <c r="D1716" s="402">
        <f t="shared" si="150"/>
        <v>8244505.0349999992</v>
      </c>
      <c r="E1716" s="376">
        <v>950.43</v>
      </c>
      <c r="F1716" s="401">
        <v>8674.5</v>
      </c>
      <c r="G1716" s="401">
        <f t="shared" si="151"/>
        <v>865.1</v>
      </c>
      <c r="H1716" s="402">
        <f t="shared" si="152"/>
        <v>-740195.08499999903</v>
      </c>
      <c r="I1716" s="402">
        <f t="shared" si="153"/>
        <v>7504309.9500000002</v>
      </c>
    </row>
    <row r="1717" spans="2:9" hidden="1">
      <c r="B1717" s="156">
        <v>45849</v>
      </c>
      <c r="C1717" s="255" t="s">
        <v>2796</v>
      </c>
      <c r="D1717" s="402">
        <f t="shared" si="150"/>
        <v>2418844.35</v>
      </c>
      <c r="E1717" s="376">
        <v>950.43</v>
      </c>
      <c r="F1717" s="401">
        <v>2545</v>
      </c>
      <c r="G1717" s="401">
        <f t="shared" si="151"/>
        <v>865.1</v>
      </c>
      <c r="H1717" s="402">
        <f t="shared" si="152"/>
        <v>-217164.85000000009</v>
      </c>
      <c r="I1717" s="402">
        <f t="shared" si="153"/>
        <v>2201679.5</v>
      </c>
    </row>
    <row r="1718" spans="2:9" hidden="1">
      <c r="B1718" s="156">
        <v>45849</v>
      </c>
      <c r="C1718" s="255" t="s">
        <v>2797</v>
      </c>
      <c r="D1718" s="402">
        <f t="shared" si="150"/>
        <v>6272838</v>
      </c>
      <c r="E1718" s="376">
        <v>950.43</v>
      </c>
      <c r="F1718" s="401">
        <v>6600</v>
      </c>
      <c r="G1718" s="401">
        <f t="shared" si="151"/>
        <v>865.1</v>
      </c>
      <c r="H1718" s="402">
        <f t="shared" si="152"/>
        <v>-563178</v>
      </c>
      <c r="I1718" s="402">
        <f t="shared" si="153"/>
        <v>5709660</v>
      </c>
    </row>
    <row r="1719" spans="2:9" hidden="1">
      <c r="B1719" s="156">
        <v>45849</v>
      </c>
      <c r="C1719" s="255" t="s">
        <v>2798</v>
      </c>
      <c r="D1719" s="402">
        <f t="shared" si="150"/>
        <v>2991478.4249999998</v>
      </c>
      <c r="E1719" s="376">
        <v>950.43</v>
      </c>
      <c r="F1719" s="401">
        <v>3147.5</v>
      </c>
      <c r="G1719" s="401">
        <f t="shared" si="151"/>
        <v>865.1</v>
      </c>
      <c r="H1719" s="402">
        <f t="shared" si="152"/>
        <v>-268576.17499999981</v>
      </c>
      <c r="I1719" s="402">
        <f t="shared" si="153"/>
        <v>2722902.25</v>
      </c>
    </row>
    <row r="1720" spans="2:9" hidden="1">
      <c r="B1720" s="156">
        <v>45849</v>
      </c>
      <c r="C1720" s="255" t="s">
        <v>2799</v>
      </c>
      <c r="D1720" s="402">
        <f t="shared" si="150"/>
        <v>7044111.9449999994</v>
      </c>
      <c r="E1720" s="376">
        <v>950.43</v>
      </c>
      <c r="F1720" s="401">
        <v>7411.5</v>
      </c>
      <c r="G1720" s="401">
        <f t="shared" si="151"/>
        <v>865.1</v>
      </c>
      <c r="H1720" s="402">
        <f t="shared" si="152"/>
        <v>-632423.29499999899</v>
      </c>
      <c r="I1720" s="402">
        <f t="shared" si="153"/>
        <v>6411688.6500000004</v>
      </c>
    </row>
    <row r="1721" spans="2:9" hidden="1">
      <c r="B1721" s="156">
        <v>45849</v>
      </c>
      <c r="C1721" s="255" t="s">
        <v>2800</v>
      </c>
      <c r="D1721" s="402">
        <f t="shared" si="150"/>
        <v>4183792.86</v>
      </c>
      <c r="E1721" s="376">
        <v>950.43</v>
      </c>
      <c r="F1721" s="401">
        <v>4402</v>
      </c>
      <c r="G1721" s="401">
        <f t="shared" si="151"/>
        <v>865.1</v>
      </c>
      <c r="H1721" s="402">
        <f t="shared" si="152"/>
        <v>-375622.65999999968</v>
      </c>
      <c r="I1721" s="402">
        <f t="shared" si="153"/>
        <v>3808170.2</v>
      </c>
    </row>
    <row r="1722" spans="2:9" hidden="1">
      <c r="B1722" s="156">
        <v>45849</v>
      </c>
      <c r="C1722" s="255" t="s">
        <v>2801</v>
      </c>
      <c r="D1722" s="402">
        <f t="shared" si="150"/>
        <v>6272838</v>
      </c>
      <c r="E1722" s="376">
        <v>950.43</v>
      </c>
      <c r="F1722" s="401">
        <v>6600</v>
      </c>
      <c r="G1722" s="401">
        <f t="shared" si="151"/>
        <v>865.1</v>
      </c>
      <c r="H1722" s="402">
        <f t="shared" si="152"/>
        <v>-563178</v>
      </c>
      <c r="I1722" s="402">
        <f t="shared" si="153"/>
        <v>5709660</v>
      </c>
    </row>
    <row r="1723" spans="2:9" hidden="1">
      <c r="B1723" s="156">
        <v>45849</v>
      </c>
      <c r="C1723" s="255" t="s">
        <v>2802</v>
      </c>
      <c r="D1723" s="402">
        <f t="shared" si="150"/>
        <v>2776681.2449999996</v>
      </c>
      <c r="E1723" s="376">
        <v>950.43</v>
      </c>
      <c r="F1723" s="401">
        <v>2921.5</v>
      </c>
      <c r="G1723" s="401">
        <f t="shared" si="151"/>
        <v>865.1</v>
      </c>
      <c r="H1723" s="402">
        <f t="shared" si="152"/>
        <v>-249291.59499999974</v>
      </c>
      <c r="I1723" s="402">
        <f t="shared" si="153"/>
        <v>2527389.65</v>
      </c>
    </row>
    <row r="1724" spans="2:9" hidden="1">
      <c r="B1724" s="156">
        <v>45849</v>
      </c>
      <c r="C1724" s="255" t="s">
        <v>2803</v>
      </c>
      <c r="D1724" s="402">
        <f t="shared" si="150"/>
        <v>6847372.9349999996</v>
      </c>
      <c r="E1724" s="376">
        <v>950.43</v>
      </c>
      <c r="F1724" s="401">
        <v>7204.5</v>
      </c>
      <c r="G1724" s="401">
        <f t="shared" si="151"/>
        <v>865.1</v>
      </c>
      <c r="H1724" s="402">
        <f t="shared" si="152"/>
        <v>-614759.9849999994</v>
      </c>
      <c r="I1724" s="402">
        <f t="shared" si="153"/>
        <v>6232612.9500000002</v>
      </c>
    </row>
    <row r="1725" spans="2:9" hidden="1">
      <c r="B1725" s="156">
        <v>45849</v>
      </c>
      <c r="C1725" s="255" t="s">
        <v>2804</v>
      </c>
      <c r="D1725" s="402">
        <f t="shared" si="150"/>
        <v>1082159.5979999998</v>
      </c>
      <c r="E1725" s="376">
        <v>950.43</v>
      </c>
      <c r="F1725" s="401">
        <v>1138.5999999999999</v>
      </c>
      <c r="G1725" s="401">
        <f t="shared" si="151"/>
        <v>865.1</v>
      </c>
      <c r="H1725" s="402">
        <f t="shared" si="152"/>
        <v>-97156.737999999779</v>
      </c>
      <c r="I1725" s="402">
        <f t="shared" si="153"/>
        <v>985002.86</v>
      </c>
    </row>
    <row r="1726" spans="2:9" hidden="1">
      <c r="B1726" s="156">
        <v>45849</v>
      </c>
      <c r="C1726" s="255" t="s">
        <v>2805</v>
      </c>
      <c r="D1726" s="402">
        <f t="shared" si="150"/>
        <v>831816.33600000001</v>
      </c>
      <c r="E1726" s="376">
        <v>950.43</v>
      </c>
      <c r="F1726" s="401">
        <v>875.2</v>
      </c>
      <c r="G1726" s="401">
        <f t="shared" si="151"/>
        <v>865.1</v>
      </c>
      <c r="H1726" s="402">
        <f t="shared" si="152"/>
        <v>-74680.815999999992</v>
      </c>
      <c r="I1726" s="402">
        <f t="shared" si="153"/>
        <v>757135.52</v>
      </c>
    </row>
    <row r="1727" spans="2:9" hidden="1">
      <c r="B1727" s="156">
        <v>45849</v>
      </c>
      <c r="C1727" s="255" t="s">
        <v>2806</v>
      </c>
      <c r="D1727" s="402">
        <f t="shared" si="150"/>
        <v>311931.12599999999</v>
      </c>
      <c r="E1727" s="376">
        <v>950.43</v>
      </c>
      <c r="F1727" s="401">
        <v>328.2</v>
      </c>
      <c r="G1727" s="401">
        <f t="shared" si="151"/>
        <v>865.1</v>
      </c>
      <c r="H1727" s="402">
        <f t="shared" si="152"/>
        <v>-28005.305999999982</v>
      </c>
      <c r="I1727" s="402">
        <f t="shared" si="153"/>
        <v>283925.82</v>
      </c>
    </row>
    <row r="1728" spans="2:9" hidden="1">
      <c r="B1728" s="156">
        <v>45849</v>
      </c>
      <c r="C1728" s="255" t="s">
        <v>2807</v>
      </c>
      <c r="D1728" s="402">
        <f t="shared" si="150"/>
        <v>2321900.4899999998</v>
      </c>
      <c r="E1728" s="376">
        <v>950.43</v>
      </c>
      <c r="F1728" s="401">
        <v>2443</v>
      </c>
      <c r="G1728" s="401">
        <f t="shared" si="151"/>
        <v>865.1</v>
      </c>
      <c r="H1728" s="402">
        <f t="shared" si="152"/>
        <v>-208461.18999999948</v>
      </c>
      <c r="I1728" s="402">
        <f t="shared" si="153"/>
        <v>2113439.3000000003</v>
      </c>
    </row>
    <row r="1729" spans="2:9" hidden="1">
      <c r="B1729" s="156">
        <v>45849</v>
      </c>
      <c r="C1729" s="255" t="s">
        <v>2808</v>
      </c>
      <c r="D1729" s="402">
        <f t="shared" si="150"/>
        <v>6272838</v>
      </c>
      <c r="E1729" s="376">
        <v>950.43</v>
      </c>
      <c r="F1729" s="401">
        <v>6600</v>
      </c>
      <c r="G1729" s="401">
        <f t="shared" si="151"/>
        <v>865.1</v>
      </c>
      <c r="H1729" s="402">
        <f t="shared" si="152"/>
        <v>-563178</v>
      </c>
      <c r="I1729" s="402">
        <f t="shared" si="153"/>
        <v>5709660</v>
      </c>
    </row>
    <row r="1730" spans="2:9" hidden="1">
      <c r="B1730" s="156">
        <v>45854</v>
      </c>
      <c r="C1730" s="255" t="s">
        <v>2809</v>
      </c>
      <c r="D1730" s="402">
        <f t="shared" si="150"/>
        <v>9539961.6816000007</v>
      </c>
      <c r="E1730" s="376">
        <v>967.22</v>
      </c>
      <c r="F1730" s="401">
        <v>9863.2800000000007</v>
      </c>
      <c r="G1730" s="401">
        <f t="shared" si="151"/>
        <v>865.1</v>
      </c>
      <c r="H1730" s="402">
        <f t="shared" si="152"/>
        <v>-1007238.1535999998</v>
      </c>
      <c r="I1730" s="402">
        <f t="shared" si="153"/>
        <v>8532723.5280000009</v>
      </c>
    </row>
    <row r="1731" spans="2:9" hidden="1">
      <c r="B1731" s="156">
        <v>45869</v>
      </c>
      <c r="C1731" s="255" t="s">
        <v>2810</v>
      </c>
      <c r="D1731" s="402">
        <f t="shared" si="150"/>
        <v>548814.63840000005</v>
      </c>
      <c r="E1731" s="376">
        <v>978.07</v>
      </c>
      <c r="F1731" s="401">
        <v>561.12</v>
      </c>
      <c r="G1731" s="401">
        <f t="shared" si="151"/>
        <v>865.1</v>
      </c>
      <c r="H1731" s="402">
        <f t="shared" si="152"/>
        <v>-63389.726400000043</v>
      </c>
      <c r="I1731" s="402">
        <f t="shared" si="153"/>
        <v>485424.91200000001</v>
      </c>
    </row>
    <row r="1732" spans="2:9" hidden="1">
      <c r="B1732" s="156">
        <v>45854</v>
      </c>
      <c r="C1732" s="255" t="s">
        <v>2811</v>
      </c>
      <c r="D1732" s="402">
        <f t="shared" si="150"/>
        <v>3066938.5536000002</v>
      </c>
      <c r="E1732" s="376">
        <v>967.22</v>
      </c>
      <c r="F1732" s="401">
        <v>3170.88</v>
      </c>
      <c r="G1732" s="401">
        <f t="shared" si="151"/>
        <v>865.1</v>
      </c>
      <c r="H1732" s="402">
        <f t="shared" si="152"/>
        <v>-323810.26560000004</v>
      </c>
      <c r="I1732" s="402">
        <f t="shared" si="153"/>
        <v>2743128.2880000002</v>
      </c>
    </row>
    <row r="1733" spans="2:9" hidden="1">
      <c r="B1733" s="156">
        <v>45869</v>
      </c>
      <c r="C1733" s="255" t="s">
        <v>673</v>
      </c>
      <c r="D1733" s="402">
        <f t="shared" si="150"/>
        <v>-90615557.736000001</v>
      </c>
      <c r="E1733" s="376">
        <v>976.8</v>
      </c>
      <c r="F1733" s="401">
        <v>-92767.77</v>
      </c>
      <c r="G1733" s="401">
        <f t="shared" si="151"/>
        <v>865.1</v>
      </c>
      <c r="H1733" s="402">
        <f t="shared" si="142"/>
        <v>10362159.908999994</v>
      </c>
      <c r="I1733" s="402">
        <f t="shared" si="143"/>
        <v>-80253397.827000007</v>
      </c>
    </row>
    <row r="1734" spans="2:9" hidden="1">
      <c r="B1734" s="156">
        <v>45873</v>
      </c>
      <c r="C1734" s="255" t="s">
        <v>2842</v>
      </c>
      <c r="D1734" s="402">
        <f t="shared" si="150"/>
        <v>1268366.28</v>
      </c>
      <c r="E1734" s="376">
        <v>967.48</v>
      </c>
      <c r="F1734" s="401">
        <v>1311</v>
      </c>
      <c r="G1734" s="401">
        <f t="shared" si="151"/>
        <v>865.1</v>
      </c>
      <c r="H1734" s="402">
        <f t="shared" ref="H1734:H1773" si="154">+I1734-D1734</f>
        <v>-134220.17999999993</v>
      </c>
      <c r="I1734" s="402">
        <f t="shared" ref="I1734:I1773" si="155">+F1734*G1734</f>
        <v>1134146.1000000001</v>
      </c>
    </row>
    <row r="1735" spans="2:9" hidden="1">
      <c r="B1735" s="156">
        <v>45884</v>
      </c>
      <c r="C1735" s="255" t="s">
        <v>2843</v>
      </c>
      <c r="D1735" s="402">
        <f t="shared" si="150"/>
        <v>6948491.5200000005</v>
      </c>
      <c r="E1735" s="376">
        <v>952.37</v>
      </c>
      <c r="F1735" s="401">
        <v>7296</v>
      </c>
      <c r="G1735" s="401">
        <f t="shared" si="151"/>
        <v>865.1</v>
      </c>
      <c r="H1735" s="402">
        <f t="shared" si="154"/>
        <v>-636721.91999999993</v>
      </c>
      <c r="I1735" s="402">
        <f t="shared" si="155"/>
        <v>6311769.6000000006</v>
      </c>
    </row>
    <row r="1736" spans="2:9" hidden="1">
      <c r="B1736" s="156">
        <v>45884</v>
      </c>
      <c r="C1736" s="255" t="s">
        <v>2844</v>
      </c>
      <c r="D1736" s="402">
        <f t="shared" si="150"/>
        <v>184759.78</v>
      </c>
      <c r="E1736" s="376">
        <v>952.37</v>
      </c>
      <c r="F1736" s="401">
        <v>194</v>
      </c>
      <c r="G1736" s="401">
        <f t="shared" si="151"/>
        <v>865.1</v>
      </c>
      <c r="H1736" s="402">
        <f t="shared" si="154"/>
        <v>-16930.380000000005</v>
      </c>
      <c r="I1736" s="402">
        <f t="shared" si="155"/>
        <v>167829.4</v>
      </c>
    </row>
    <row r="1737" spans="2:9" hidden="1">
      <c r="B1737" s="156">
        <v>45887</v>
      </c>
      <c r="C1737" s="255" t="s">
        <v>2845</v>
      </c>
      <c r="D1737" s="402">
        <f t="shared" si="150"/>
        <v>941641.36</v>
      </c>
      <c r="E1737" s="376">
        <v>961.84</v>
      </c>
      <c r="F1737" s="401">
        <v>979</v>
      </c>
      <c r="G1737" s="401">
        <f t="shared" si="151"/>
        <v>865.1</v>
      </c>
      <c r="H1737" s="402">
        <f t="shared" si="154"/>
        <v>-94708.459999999963</v>
      </c>
      <c r="I1737" s="402">
        <f t="shared" si="155"/>
        <v>846932.9</v>
      </c>
    </row>
    <row r="1738" spans="2:9" hidden="1">
      <c r="B1738" s="156">
        <v>45887</v>
      </c>
      <c r="C1738" s="255" t="s">
        <v>2846</v>
      </c>
      <c r="D1738" s="402">
        <f t="shared" si="150"/>
        <v>11512743.880000001</v>
      </c>
      <c r="E1738" s="376">
        <v>961.84</v>
      </c>
      <c r="F1738" s="401">
        <v>11969.5</v>
      </c>
      <c r="G1738" s="401">
        <f t="shared" si="151"/>
        <v>865.1</v>
      </c>
      <c r="H1738" s="402">
        <f t="shared" si="154"/>
        <v>-1157929.4299999997</v>
      </c>
      <c r="I1738" s="402">
        <f t="shared" si="155"/>
        <v>10354814.450000001</v>
      </c>
    </row>
    <row r="1739" spans="2:9" hidden="1">
      <c r="B1739" s="156">
        <v>45887</v>
      </c>
      <c r="C1739" s="255" t="s">
        <v>2847</v>
      </c>
      <c r="D1739" s="402">
        <f t="shared" si="150"/>
        <v>990214.28</v>
      </c>
      <c r="E1739" s="376">
        <v>961.84</v>
      </c>
      <c r="F1739" s="401">
        <v>1029.5</v>
      </c>
      <c r="G1739" s="401">
        <f t="shared" si="151"/>
        <v>865.1</v>
      </c>
      <c r="H1739" s="402">
        <f t="shared" si="154"/>
        <v>-99593.829999999958</v>
      </c>
      <c r="I1739" s="402">
        <f t="shared" si="155"/>
        <v>890620.45000000007</v>
      </c>
    </row>
    <row r="1740" spans="2:9" hidden="1">
      <c r="B1740" s="156">
        <v>45887</v>
      </c>
      <c r="C1740" s="255" t="s">
        <v>2848</v>
      </c>
      <c r="D1740" s="402">
        <f t="shared" si="150"/>
        <v>11729157.880000001</v>
      </c>
      <c r="E1740" s="376">
        <v>961.84</v>
      </c>
      <c r="F1740" s="401">
        <v>12194.5</v>
      </c>
      <c r="G1740" s="401">
        <f t="shared" si="151"/>
        <v>865.1</v>
      </c>
      <c r="H1740" s="402">
        <f t="shared" si="154"/>
        <v>-1179695.9299999997</v>
      </c>
      <c r="I1740" s="402">
        <f t="shared" si="155"/>
        <v>10549461.950000001</v>
      </c>
    </row>
    <row r="1741" spans="2:9" hidden="1">
      <c r="B1741" s="156">
        <v>45887</v>
      </c>
      <c r="C1741" s="255" t="s">
        <v>2849</v>
      </c>
      <c r="D1741" s="402">
        <f t="shared" si="150"/>
        <v>1457187.6</v>
      </c>
      <c r="E1741" s="376">
        <v>961.84</v>
      </c>
      <c r="F1741" s="401">
        <v>1515</v>
      </c>
      <c r="G1741" s="401">
        <f t="shared" si="151"/>
        <v>865.1</v>
      </c>
      <c r="H1741" s="402">
        <f t="shared" si="154"/>
        <v>-146561.10000000009</v>
      </c>
      <c r="I1741" s="402">
        <f t="shared" si="155"/>
        <v>1310626.5</v>
      </c>
    </row>
    <row r="1742" spans="2:9" hidden="1">
      <c r="B1742" s="156">
        <v>45887</v>
      </c>
      <c r="C1742" s="255" t="s">
        <v>2850</v>
      </c>
      <c r="D1742" s="402">
        <f t="shared" si="150"/>
        <v>781495</v>
      </c>
      <c r="E1742" s="376">
        <v>961.84</v>
      </c>
      <c r="F1742" s="401">
        <v>812.5</v>
      </c>
      <c r="G1742" s="401">
        <f t="shared" si="151"/>
        <v>865.1</v>
      </c>
      <c r="H1742" s="402">
        <f t="shared" si="154"/>
        <v>-78601.25</v>
      </c>
      <c r="I1742" s="402">
        <f t="shared" si="155"/>
        <v>702893.75</v>
      </c>
    </row>
    <row r="1743" spans="2:9" hidden="1">
      <c r="B1743" s="156">
        <v>45887</v>
      </c>
      <c r="C1743" s="255" t="s">
        <v>2851</v>
      </c>
      <c r="D1743" s="402">
        <f t="shared" si="150"/>
        <v>9774218.0800000001</v>
      </c>
      <c r="E1743" s="376">
        <v>961.84</v>
      </c>
      <c r="F1743" s="401">
        <v>10162</v>
      </c>
      <c r="G1743" s="401">
        <f t="shared" si="151"/>
        <v>865.1</v>
      </c>
      <c r="H1743" s="402">
        <f t="shared" si="154"/>
        <v>-983071.87999999896</v>
      </c>
      <c r="I1743" s="402">
        <f t="shared" si="155"/>
        <v>8791146.2000000011</v>
      </c>
    </row>
    <row r="1744" spans="2:9" hidden="1">
      <c r="B1744" s="156">
        <v>45887</v>
      </c>
      <c r="C1744" s="255" t="s">
        <v>2852</v>
      </c>
      <c r="D1744" s="402">
        <f t="shared" si="150"/>
        <v>990214.28</v>
      </c>
      <c r="E1744" s="376">
        <v>961.84</v>
      </c>
      <c r="F1744" s="401">
        <v>1029.5</v>
      </c>
      <c r="G1744" s="401">
        <f t="shared" si="151"/>
        <v>865.1</v>
      </c>
      <c r="H1744" s="402">
        <f t="shared" si="154"/>
        <v>-99593.829999999958</v>
      </c>
      <c r="I1744" s="402">
        <f t="shared" si="155"/>
        <v>890620.45000000007</v>
      </c>
    </row>
    <row r="1745" spans="2:9" hidden="1">
      <c r="B1745" s="156">
        <v>45887</v>
      </c>
      <c r="C1745" s="255" t="s">
        <v>2853</v>
      </c>
      <c r="D1745" s="402">
        <f t="shared" si="150"/>
        <v>11488697.880000001</v>
      </c>
      <c r="E1745" s="376">
        <v>961.84</v>
      </c>
      <c r="F1745" s="401">
        <v>11944.5</v>
      </c>
      <c r="G1745" s="401">
        <f t="shared" si="151"/>
        <v>865.1</v>
      </c>
      <c r="H1745" s="402">
        <f t="shared" si="154"/>
        <v>-1155510.9299999997</v>
      </c>
      <c r="I1745" s="402">
        <f t="shared" si="155"/>
        <v>10333186.950000001</v>
      </c>
    </row>
    <row r="1746" spans="2:9" hidden="1">
      <c r="B1746" s="156">
        <v>45887</v>
      </c>
      <c r="C1746" s="255" t="s">
        <v>2854</v>
      </c>
      <c r="D1746" s="402">
        <f t="shared" ref="D1746:D1881" si="156">F1746*E1746</f>
        <v>388583.36</v>
      </c>
      <c r="E1746" s="376">
        <v>961.84</v>
      </c>
      <c r="F1746" s="401">
        <v>404</v>
      </c>
      <c r="G1746" s="401">
        <f t="shared" ref="G1746:G1773" si="157">+G1480</f>
        <v>865.1</v>
      </c>
      <c r="H1746" s="402">
        <f t="shared" si="154"/>
        <v>-39082.959999999963</v>
      </c>
      <c r="I1746" s="402">
        <f t="shared" si="155"/>
        <v>349500.4</v>
      </c>
    </row>
    <row r="1747" spans="2:9" hidden="1">
      <c r="B1747" s="156">
        <v>45887</v>
      </c>
      <c r="C1747" s="255" t="s">
        <v>2855</v>
      </c>
      <c r="D1747" s="402">
        <f t="shared" si="156"/>
        <v>9774218.0800000001</v>
      </c>
      <c r="E1747" s="376">
        <v>961.84</v>
      </c>
      <c r="F1747" s="401">
        <v>10162</v>
      </c>
      <c r="G1747" s="401">
        <f t="shared" si="157"/>
        <v>865.1</v>
      </c>
      <c r="H1747" s="402">
        <f t="shared" si="154"/>
        <v>-983071.87999999896</v>
      </c>
      <c r="I1747" s="402">
        <f t="shared" si="155"/>
        <v>8791146.2000000011</v>
      </c>
    </row>
    <row r="1748" spans="2:9" hidden="1">
      <c r="B1748" s="156">
        <v>45887</v>
      </c>
      <c r="C1748" s="255" t="s">
        <v>2856</v>
      </c>
      <c r="D1748" s="402">
        <f t="shared" si="156"/>
        <v>941641.36</v>
      </c>
      <c r="E1748" s="376">
        <v>961.84</v>
      </c>
      <c r="F1748" s="401">
        <v>979</v>
      </c>
      <c r="G1748" s="401">
        <f t="shared" si="157"/>
        <v>865.1</v>
      </c>
      <c r="H1748" s="402">
        <f t="shared" si="154"/>
        <v>-94708.459999999963</v>
      </c>
      <c r="I1748" s="402">
        <f t="shared" si="155"/>
        <v>846932.9</v>
      </c>
    </row>
    <row r="1749" spans="2:9" hidden="1">
      <c r="B1749" s="156">
        <v>45887</v>
      </c>
      <c r="C1749" s="255" t="s">
        <v>2857</v>
      </c>
      <c r="D1749" s="402">
        <f t="shared" si="156"/>
        <v>10381139.120000001</v>
      </c>
      <c r="E1749" s="376">
        <v>961.84</v>
      </c>
      <c r="F1749" s="401">
        <v>10793</v>
      </c>
      <c r="G1749" s="401">
        <f t="shared" si="157"/>
        <v>865.1</v>
      </c>
      <c r="H1749" s="402">
        <f t="shared" si="154"/>
        <v>-1044114.8200000003</v>
      </c>
      <c r="I1749" s="402">
        <f t="shared" si="155"/>
        <v>9337024.3000000007</v>
      </c>
    </row>
    <row r="1750" spans="2:9" hidden="1">
      <c r="B1750" s="156">
        <v>45887</v>
      </c>
      <c r="C1750" s="255" t="s">
        <v>2858</v>
      </c>
      <c r="D1750" s="402">
        <f t="shared" si="156"/>
        <v>781495</v>
      </c>
      <c r="E1750" s="376">
        <v>961.84</v>
      </c>
      <c r="F1750" s="401">
        <v>812.5</v>
      </c>
      <c r="G1750" s="401">
        <f t="shared" si="157"/>
        <v>865.1</v>
      </c>
      <c r="H1750" s="402">
        <f t="shared" si="154"/>
        <v>-78601.25</v>
      </c>
      <c r="I1750" s="402">
        <f t="shared" si="155"/>
        <v>702893.75</v>
      </c>
    </row>
    <row r="1751" spans="2:9" hidden="1">
      <c r="B1751" s="156">
        <v>45887</v>
      </c>
      <c r="C1751" s="255" t="s">
        <v>2859</v>
      </c>
      <c r="D1751" s="402">
        <f t="shared" si="156"/>
        <v>9774218.0800000001</v>
      </c>
      <c r="E1751" s="376">
        <v>961.84</v>
      </c>
      <c r="F1751" s="401">
        <v>10162</v>
      </c>
      <c r="G1751" s="401">
        <f t="shared" si="157"/>
        <v>865.1</v>
      </c>
      <c r="H1751" s="402">
        <f t="shared" si="154"/>
        <v>-983071.87999999896</v>
      </c>
      <c r="I1751" s="402">
        <f t="shared" si="155"/>
        <v>8791146.2000000011</v>
      </c>
    </row>
    <row r="1752" spans="2:9" hidden="1">
      <c r="B1752" s="156">
        <v>45887</v>
      </c>
      <c r="C1752" s="255" t="s">
        <v>2860</v>
      </c>
      <c r="D1752" s="402">
        <f t="shared" si="156"/>
        <v>941641.36</v>
      </c>
      <c r="E1752" s="376">
        <v>961.84</v>
      </c>
      <c r="F1752" s="401">
        <v>979</v>
      </c>
      <c r="G1752" s="401">
        <f t="shared" si="157"/>
        <v>865.1</v>
      </c>
      <c r="H1752" s="402">
        <f t="shared" si="154"/>
        <v>-94708.459999999963</v>
      </c>
      <c r="I1752" s="402">
        <f t="shared" si="155"/>
        <v>846932.9</v>
      </c>
    </row>
    <row r="1753" spans="2:9" hidden="1">
      <c r="B1753" s="156">
        <v>45887</v>
      </c>
      <c r="C1753" s="255" t="s">
        <v>2861</v>
      </c>
      <c r="D1753" s="402">
        <f t="shared" si="156"/>
        <v>11488697.880000001</v>
      </c>
      <c r="E1753" s="376">
        <v>961.84</v>
      </c>
      <c r="F1753" s="401">
        <v>11944.5</v>
      </c>
      <c r="G1753" s="401">
        <f t="shared" si="157"/>
        <v>865.1</v>
      </c>
      <c r="H1753" s="402">
        <f t="shared" si="154"/>
        <v>-1155510.9299999997</v>
      </c>
      <c r="I1753" s="402">
        <f t="shared" si="155"/>
        <v>10333186.950000001</v>
      </c>
    </row>
    <row r="1754" spans="2:9" hidden="1">
      <c r="B1754" s="156">
        <v>45887</v>
      </c>
      <c r="C1754" s="255" t="s">
        <v>2862</v>
      </c>
      <c r="D1754" s="402">
        <f t="shared" si="156"/>
        <v>9822791</v>
      </c>
      <c r="E1754" s="376">
        <v>961.84</v>
      </c>
      <c r="F1754" s="401">
        <v>10212.5</v>
      </c>
      <c r="G1754" s="401">
        <f t="shared" si="157"/>
        <v>865.1</v>
      </c>
      <c r="H1754" s="402">
        <f t="shared" si="154"/>
        <v>-987957.25</v>
      </c>
      <c r="I1754" s="402">
        <f t="shared" si="155"/>
        <v>8834833.75</v>
      </c>
    </row>
    <row r="1755" spans="2:9" hidden="1">
      <c r="B1755" s="156">
        <v>45887</v>
      </c>
      <c r="C1755" s="255" t="s">
        <v>2863</v>
      </c>
      <c r="D1755" s="402">
        <f t="shared" si="156"/>
        <v>786304.20000000007</v>
      </c>
      <c r="E1755" s="376">
        <v>961.84</v>
      </c>
      <c r="F1755" s="401">
        <v>817.5</v>
      </c>
      <c r="G1755" s="401">
        <f t="shared" si="157"/>
        <v>865.1</v>
      </c>
      <c r="H1755" s="402">
        <f t="shared" si="154"/>
        <v>-79084.95000000007</v>
      </c>
      <c r="I1755" s="402">
        <f t="shared" si="155"/>
        <v>707219.25</v>
      </c>
    </row>
    <row r="1756" spans="2:9" hidden="1">
      <c r="B1756" s="156">
        <v>45887</v>
      </c>
      <c r="C1756" s="255" t="s">
        <v>2864</v>
      </c>
      <c r="D1756" s="402">
        <f t="shared" si="156"/>
        <v>541035</v>
      </c>
      <c r="E1756" s="376">
        <v>961.84</v>
      </c>
      <c r="F1756" s="401">
        <v>562.5</v>
      </c>
      <c r="G1756" s="401">
        <f t="shared" si="157"/>
        <v>865.1</v>
      </c>
      <c r="H1756" s="402">
        <f t="shared" si="154"/>
        <v>-54416.25</v>
      </c>
      <c r="I1756" s="402">
        <f t="shared" si="155"/>
        <v>486618.75</v>
      </c>
    </row>
    <row r="1757" spans="2:9" hidden="1">
      <c r="B1757" s="156">
        <v>45887</v>
      </c>
      <c r="C1757" s="255" t="s">
        <v>2865</v>
      </c>
      <c r="D1757" s="402">
        <f t="shared" si="156"/>
        <v>786304.20000000007</v>
      </c>
      <c r="E1757" s="376">
        <v>961.84</v>
      </c>
      <c r="F1757" s="401">
        <v>817.5</v>
      </c>
      <c r="G1757" s="401">
        <f t="shared" si="157"/>
        <v>865.1</v>
      </c>
      <c r="H1757" s="402">
        <f t="shared" si="154"/>
        <v>-79084.95000000007</v>
      </c>
      <c r="I1757" s="402">
        <f t="shared" si="155"/>
        <v>707219.25</v>
      </c>
    </row>
    <row r="1758" spans="2:9" hidden="1">
      <c r="B1758" s="156">
        <v>45887</v>
      </c>
      <c r="C1758" s="255" t="s">
        <v>2866</v>
      </c>
      <c r="D1758" s="402">
        <f t="shared" si="156"/>
        <v>541035</v>
      </c>
      <c r="E1758" s="376">
        <v>961.84</v>
      </c>
      <c r="F1758" s="401">
        <v>562.5</v>
      </c>
      <c r="G1758" s="401">
        <f t="shared" si="157"/>
        <v>865.1</v>
      </c>
      <c r="H1758" s="402">
        <f t="shared" si="154"/>
        <v>-54416.25</v>
      </c>
      <c r="I1758" s="402">
        <f t="shared" si="155"/>
        <v>486618.75</v>
      </c>
    </row>
    <row r="1759" spans="2:9" hidden="1">
      <c r="B1759" s="156">
        <v>45887</v>
      </c>
      <c r="C1759" s="255" t="s">
        <v>2867</v>
      </c>
      <c r="D1759" s="402">
        <f t="shared" si="156"/>
        <v>320292.72000000003</v>
      </c>
      <c r="E1759" s="376">
        <v>961.84</v>
      </c>
      <c r="F1759" s="401">
        <v>333</v>
      </c>
      <c r="G1759" s="401">
        <f t="shared" si="157"/>
        <v>865.1</v>
      </c>
      <c r="H1759" s="402">
        <f t="shared" si="154"/>
        <v>-32214.420000000042</v>
      </c>
      <c r="I1759" s="402">
        <f t="shared" si="155"/>
        <v>288078.3</v>
      </c>
    </row>
    <row r="1760" spans="2:9" hidden="1">
      <c r="B1760" s="156">
        <v>45887</v>
      </c>
      <c r="C1760" s="255" t="s">
        <v>2868</v>
      </c>
      <c r="D1760" s="402">
        <f t="shared" si="156"/>
        <v>629043.36</v>
      </c>
      <c r="E1760" s="376">
        <v>961.84</v>
      </c>
      <c r="F1760" s="401">
        <v>654</v>
      </c>
      <c r="G1760" s="401">
        <f t="shared" si="157"/>
        <v>865.1</v>
      </c>
      <c r="H1760" s="402">
        <f t="shared" si="154"/>
        <v>-63267.959999999963</v>
      </c>
      <c r="I1760" s="402">
        <f t="shared" si="155"/>
        <v>565775.4</v>
      </c>
    </row>
    <row r="1761" spans="2:9" hidden="1">
      <c r="B1761" s="156">
        <v>45887</v>
      </c>
      <c r="C1761" s="255" t="s">
        <v>2869</v>
      </c>
      <c r="D1761" s="402">
        <f t="shared" si="156"/>
        <v>721380</v>
      </c>
      <c r="E1761" s="376">
        <v>961.84</v>
      </c>
      <c r="F1761" s="401">
        <v>750</v>
      </c>
      <c r="G1761" s="401">
        <f t="shared" si="157"/>
        <v>865.1</v>
      </c>
      <c r="H1761" s="402">
        <f t="shared" si="154"/>
        <v>-72555</v>
      </c>
      <c r="I1761" s="402">
        <f t="shared" si="155"/>
        <v>648825</v>
      </c>
    </row>
    <row r="1762" spans="2:9" hidden="1">
      <c r="B1762" s="156">
        <v>45887</v>
      </c>
      <c r="C1762" s="255" t="s">
        <v>2870</v>
      </c>
      <c r="D1762" s="402">
        <f t="shared" si="156"/>
        <v>786304.20000000007</v>
      </c>
      <c r="E1762" s="376">
        <v>961.84</v>
      </c>
      <c r="F1762" s="401">
        <v>817.5</v>
      </c>
      <c r="G1762" s="401">
        <f t="shared" si="157"/>
        <v>865.1</v>
      </c>
      <c r="H1762" s="402">
        <f t="shared" si="154"/>
        <v>-79084.95000000007</v>
      </c>
      <c r="I1762" s="402">
        <f t="shared" si="155"/>
        <v>707219.25</v>
      </c>
    </row>
    <row r="1763" spans="2:9" hidden="1">
      <c r="B1763" s="156">
        <v>45887</v>
      </c>
      <c r="C1763" s="255" t="s">
        <v>2871</v>
      </c>
      <c r="D1763" s="402">
        <f t="shared" si="156"/>
        <v>781495</v>
      </c>
      <c r="E1763" s="376">
        <v>961.84</v>
      </c>
      <c r="F1763" s="401">
        <v>812.5</v>
      </c>
      <c r="G1763" s="401">
        <f t="shared" si="157"/>
        <v>865.1</v>
      </c>
      <c r="H1763" s="402">
        <f t="shared" si="154"/>
        <v>-78601.25</v>
      </c>
      <c r="I1763" s="402">
        <f t="shared" si="155"/>
        <v>702893.75</v>
      </c>
    </row>
    <row r="1764" spans="2:9" hidden="1">
      <c r="B1764" s="156">
        <v>45887</v>
      </c>
      <c r="C1764" s="255" t="s">
        <v>2872</v>
      </c>
      <c r="D1764" s="402">
        <f t="shared" si="156"/>
        <v>2245896.4</v>
      </c>
      <c r="E1764" s="376">
        <v>961.84</v>
      </c>
      <c r="F1764" s="401">
        <v>2335</v>
      </c>
      <c r="G1764" s="401">
        <f t="shared" si="157"/>
        <v>865.1</v>
      </c>
      <c r="H1764" s="402">
        <f t="shared" si="154"/>
        <v>-225887.89999999991</v>
      </c>
      <c r="I1764" s="402">
        <f t="shared" si="155"/>
        <v>2020008.5</v>
      </c>
    </row>
    <row r="1765" spans="2:9" hidden="1">
      <c r="B1765" s="156">
        <v>45887</v>
      </c>
      <c r="C1765" s="255" t="s">
        <v>2873</v>
      </c>
      <c r="D1765" s="402">
        <f t="shared" si="156"/>
        <v>721380</v>
      </c>
      <c r="E1765" s="376">
        <v>961.84</v>
      </c>
      <c r="F1765" s="401">
        <v>750</v>
      </c>
      <c r="G1765" s="401">
        <f t="shared" si="157"/>
        <v>865.1</v>
      </c>
      <c r="H1765" s="402">
        <f t="shared" si="154"/>
        <v>-72555</v>
      </c>
      <c r="I1765" s="402">
        <f t="shared" si="155"/>
        <v>648825</v>
      </c>
    </row>
    <row r="1766" spans="2:9" hidden="1">
      <c r="B1766" s="156">
        <v>45887</v>
      </c>
      <c r="C1766" s="255" t="s">
        <v>2874</v>
      </c>
      <c r="D1766" s="402">
        <f t="shared" si="156"/>
        <v>786304.20000000007</v>
      </c>
      <c r="E1766" s="376">
        <v>961.84</v>
      </c>
      <c r="F1766" s="401">
        <v>817.5</v>
      </c>
      <c r="G1766" s="401">
        <f t="shared" si="157"/>
        <v>865.1</v>
      </c>
      <c r="H1766" s="402">
        <f t="shared" si="154"/>
        <v>-79084.95000000007</v>
      </c>
      <c r="I1766" s="402">
        <f t="shared" si="155"/>
        <v>707219.25</v>
      </c>
    </row>
    <row r="1767" spans="2:9" hidden="1">
      <c r="B1767" s="156">
        <v>45887</v>
      </c>
      <c r="C1767" s="255" t="s">
        <v>2875</v>
      </c>
      <c r="D1767" s="402">
        <f t="shared" si="156"/>
        <v>721380</v>
      </c>
      <c r="E1767" s="376">
        <v>961.84</v>
      </c>
      <c r="F1767" s="401">
        <v>750</v>
      </c>
      <c r="G1767" s="401">
        <f t="shared" si="157"/>
        <v>865.1</v>
      </c>
      <c r="H1767" s="402">
        <f t="shared" si="154"/>
        <v>-72555</v>
      </c>
      <c r="I1767" s="402">
        <f t="shared" si="155"/>
        <v>648825</v>
      </c>
    </row>
    <row r="1768" spans="2:9" hidden="1">
      <c r="B1768" s="156">
        <v>45887</v>
      </c>
      <c r="C1768" s="255" t="s">
        <v>2876</v>
      </c>
      <c r="D1768" s="402">
        <f t="shared" si="156"/>
        <v>629043.36</v>
      </c>
      <c r="E1768" s="376">
        <v>961.84</v>
      </c>
      <c r="F1768" s="401">
        <v>654</v>
      </c>
      <c r="G1768" s="401">
        <f t="shared" si="157"/>
        <v>865.1</v>
      </c>
      <c r="H1768" s="402">
        <f t="shared" si="154"/>
        <v>-63267.959999999963</v>
      </c>
      <c r="I1768" s="402">
        <f t="shared" si="155"/>
        <v>565775.4</v>
      </c>
    </row>
    <row r="1769" spans="2:9" hidden="1">
      <c r="B1769" s="156">
        <v>45887</v>
      </c>
      <c r="C1769" s="255" t="s">
        <v>2877</v>
      </c>
      <c r="D1769" s="402">
        <f t="shared" si="156"/>
        <v>721380</v>
      </c>
      <c r="E1769" s="376">
        <v>961.84</v>
      </c>
      <c r="F1769" s="401">
        <v>750</v>
      </c>
      <c r="G1769" s="401">
        <f t="shared" si="157"/>
        <v>865.1</v>
      </c>
      <c r="H1769" s="402">
        <f t="shared" si="154"/>
        <v>-72555</v>
      </c>
      <c r="I1769" s="402">
        <f t="shared" si="155"/>
        <v>648825</v>
      </c>
    </row>
    <row r="1770" spans="2:9" hidden="1">
      <c r="B1770" s="156">
        <v>45887</v>
      </c>
      <c r="C1770" s="255" t="s">
        <v>2878</v>
      </c>
      <c r="D1770" s="402">
        <f t="shared" si="156"/>
        <v>786304.20000000007</v>
      </c>
      <c r="E1770" s="376">
        <v>961.84</v>
      </c>
      <c r="F1770" s="401">
        <v>817.5</v>
      </c>
      <c r="G1770" s="401">
        <f t="shared" si="157"/>
        <v>865.1</v>
      </c>
      <c r="H1770" s="402">
        <f t="shared" si="154"/>
        <v>-79084.95000000007</v>
      </c>
      <c r="I1770" s="402">
        <f t="shared" si="155"/>
        <v>707219.25</v>
      </c>
    </row>
    <row r="1771" spans="2:9" hidden="1">
      <c r="B1771" s="156">
        <v>45887</v>
      </c>
      <c r="C1771" s="255" t="s">
        <v>2879</v>
      </c>
      <c r="D1771" s="402">
        <f t="shared" si="156"/>
        <v>781495</v>
      </c>
      <c r="E1771" s="376">
        <v>961.84</v>
      </c>
      <c r="F1771" s="401">
        <v>812.5</v>
      </c>
      <c r="G1771" s="401">
        <f t="shared" si="157"/>
        <v>865.1</v>
      </c>
      <c r="H1771" s="402">
        <f t="shared" si="154"/>
        <v>-78601.25</v>
      </c>
      <c r="I1771" s="402">
        <f t="shared" si="155"/>
        <v>702893.75</v>
      </c>
    </row>
    <row r="1772" spans="2:9" hidden="1">
      <c r="B1772" s="156">
        <v>45887</v>
      </c>
      <c r="C1772" s="255" t="s">
        <v>2880</v>
      </c>
      <c r="D1772" s="402">
        <f t="shared" si="156"/>
        <v>721380</v>
      </c>
      <c r="E1772" s="376">
        <v>961.84</v>
      </c>
      <c r="F1772" s="401">
        <v>750</v>
      </c>
      <c r="G1772" s="401">
        <f t="shared" si="157"/>
        <v>865.1</v>
      </c>
      <c r="H1772" s="402">
        <f t="shared" si="154"/>
        <v>-72555</v>
      </c>
      <c r="I1772" s="402">
        <f t="shared" si="155"/>
        <v>648825</v>
      </c>
    </row>
    <row r="1773" spans="2:9" hidden="1">
      <c r="B1773" s="156">
        <v>45887</v>
      </c>
      <c r="C1773" s="255" t="s">
        <v>2881</v>
      </c>
      <c r="D1773" s="402">
        <f t="shared" si="156"/>
        <v>5737500.6392000001</v>
      </c>
      <c r="E1773" s="376">
        <v>961.84</v>
      </c>
      <c r="F1773" s="401">
        <v>5965.13</v>
      </c>
      <c r="G1773" s="401">
        <f t="shared" si="157"/>
        <v>865.1</v>
      </c>
      <c r="H1773" s="402">
        <f t="shared" si="154"/>
        <v>-577066.67619999964</v>
      </c>
      <c r="I1773" s="402">
        <f t="shared" si="155"/>
        <v>5160433.9630000005</v>
      </c>
    </row>
    <row r="1774" spans="2:9" hidden="1">
      <c r="B1774" s="156">
        <v>45900</v>
      </c>
      <c r="C1774" s="255" t="s">
        <v>673</v>
      </c>
      <c r="D1774" s="402">
        <f t="shared" ref="D1774:D1837" si="158">F1774*E1774</f>
        <v>-173175488.88479999</v>
      </c>
      <c r="E1774" s="376">
        <v>965.28</v>
      </c>
      <c r="F1774" s="401">
        <v>-179404.41</v>
      </c>
      <c r="G1774" s="401">
        <f>+G1507</f>
        <v>865.1</v>
      </c>
      <c r="H1774" s="402">
        <f t="shared" ref="H1774" si="159">+I1774-D1774</f>
        <v>17972733.793799967</v>
      </c>
      <c r="I1774" s="402">
        <f t="shared" ref="I1774" si="160">+F1774*G1774</f>
        <v>-155202755.09100002</v>
      </c>
    </row>
    <row r="1775" spans="2:9" hidden="1">
      <c r="B1775" s="156">
        <v>45902</v>
      </c>
      <c r="C1775" s="255" t="s">
        <v>2915</v>
      </c>
      <c r="D1775" s="402">
        <f t="shared" si="158"/>
        <v>1220121</v>
      </c>
      <c r="E1775" s="376">
        <v>968.35</v>
      </c>
      <c r="F1775" s="401">
        <v>1260</v>
      </c>
      <c r="G1775" s="401">
        <f t="shared" ref="G1775:G1819" si="161">+G1508</f>
        <v>865.1</v>
      </c>
      <c r="H1775" s="402">
        <f t="shared" ref="H1775:H1820" si="162">+I1775-D1775</f>
        <v>-130095</v>
      </c>
      <c r="I1775" s="402">
        <f t="shared" ref="I1775:I1820" si="163">+F1775*G1775</f>
        <v>1090026</v>
      </c>
    </row>
    <row r="1776" spans="2:9" hidden="1">
      <c r="B1776" s="156">
        <v>45909</v>
      </c>
      <c r="C1776" s="255" t="s">
        <v>2916</v>
      </c>
      <c r="D1776" s="402">
        <f t="shared" si="158"/>
        <v>792997.4</v>
      </c>
      <c r="E1776" s="376">
        <v>967.07</v>
      </c>
      <c r="F1776" s="401">
        <v>820</v>
      </c>
      <c r="G1776" s="401">
        <f t="shared" si="161"/>
        <v>865.1</v>
      </c>
      <c r="H1776" s="402">
        <f t="shared" si="162"/>
        <v>-83615.400000000023</v>
      </c>
      <c r="I1776" s="402">
        <f t="shared" si="163"/>
        <v>709382</v>
      </c>
    </row>
    <row r="1777" spans="2:9" hidden="1">
      <c r="B1777" s="156">
        <v>45909</v>
      </c>
      <c r="C1777" s="255" t="s">
        <v>2917</v>
      </c>
      <c r="D1777" s="402">
        <f t="shared" si="158"/>
        <v>1979882.4110000001</v>
      </c>
      <c r="E1777" s="376">
        <v>967.07</v>
      </c>
      <c r="F1777" s="401">
        <v>2047.3</v>
      </c>
      <c r="G1777" s="401">
        <f t="shared" si="161"/>
        <v>865.1</v>
      </c>
      <c r="H1777" s="402">
        <f t="shared" si="162"/>
        <v>-208763.1810000001</v>
      </c>
      <c r="I1777" s="402">
        <f t="shared" si="163"/>
        <v>1771119.23</v>
      </c>
    </row>
    <row r="1778" spans="2:9" hidden="1">
      <c r="B1778" s="156">
        <v>45909</v>
      </c>
      <c r="C1778" s="255" t="s">
        <v>2918</v>
      </c>
      <c r="D1778" s="402">
        <f t="shared" si="158"/>
        <v>792997.4</v>
      </c>
      <c r="E1778" s="376">
        <v>967.07</v>
      </c>
      <c r="F1778" s="401">
        <v>820</v>
      </c>
      <c r="G1778" s="401">
        <f t="shared" si="161"/>
        <v>865.1</v>
      </c>
      <c r="H1778" s="402">
        <f t="shared" si="162"/>
        <v>-83615.400000000023</v>
      </c>
      <c r="I1778" s="402">
        <f t="shared" si="163"/>
        <v>709382</v>
      </c>
    </row>
    <row r="1779" spans="2:9" hidden="1">
      <c r="B1779" s="156">
        <v>45909</v>
      </c>
      <c r="C1779" s="255" t="s">
        <v>2919</v>
      </c>
      <c r="D1779" s="402">
        <f t="shared" si="158"/>
        <v>528020.22</v>
      </c>
      <c r="E1779" s="376">
        <v>967.07</v>
      </c>
      <c r="F1779" s="401">
        <v>546</v>
      </c>
      <c r="G1779" s="401">
        <f t="shared" si="161"/>
        <v>865.1</v>
      </c>
      <c r="H1779" s="402">
        <f t="shared" si="162"/>
        <v>-55675.619999999937</v>
      </c>
      <c r="I1779" s="402">
        <f t="shared" si="163"/>
        <v>472344.60000000003</v>
      </c>
    </row>
    <row r="1780" spans="2:9" hidden="1">
      <c r="B1780" s="156">
        <v>45909</v>
      </c>
      <c r="C1780" s="255" t="s">
        <v>2920</v>
      </c>
      <c r="D1780" s="402">
        <f t="shared" si="158"/>
        <v>792997.4</v>
      </c>
      <c r="E1780" s="376">
        <v>967.07</v>
      </c>
      <c r="F1780" s="401">
        <v>820</v>
      </c>
      <c r="G1780" s="401">
        <f t="shared" si="161"/>
        <v>865.1</v>
      </c>
      <c r="H1780" s="402">
        <f t="shared" si="162"/>
        <v>-83615.400000000023</v>
      </c>
      <c r="I1780" s="402">
        <f t="shared" si="163"/>
        <v>709382</v>
      </c>
    </row>
    <row r="1781" spans="2:9" hidden="1">
      <c r="B1781" s="156">
        <v>45909</v>
      </c>
      <c r="C1781" s="255" t="s">
        <v>2921</v>
      </c>
      <c r="D1781" s="402">
        <f t="shared" si="158"/>
        <v>528020.22</v>
      </c>
      <c r="E1781" s="376">
        <v>967.07</v>
      </c>
      <c r="F1781" s="401">
        <v>546</v>
      </c>
      <c r="G1781" s="401">
        <f t="shared" si="161"/>
        <v>865.1</v>
      </c>
      <c r="H1781" s="402">
        <f t="shared" si="162"/>
        <v>-55675.619999999937</v>
      </c>
      <c r="I1781" s="402">
        <f t="shared" si="163"/>
        <v>472344.60000000003</v>
      </c>
    </row>
    <row r="1782" spans="2:9" hidden="1">
      <c r="B1782" s="156">
        <v>45909</v>
      </c>
      <c r="C1782" s="255" t="s">
        <v>2922</v>
      </c>
      <c r="D1782" s="402">
        <f t="shared" si="158"/>
        <v>1485419.52</v>
      </c>
      <c r="E1782" s="376">
        <v>967.07</v>
      </c>
      <c r="F1782" s="401">
        <v>1536</v>
      </c>
      <c r="G1782" s="401">
        <f t="shared" si="161"/>
        <v>865.1</v>
      </c>
      <c r="H1782" s="402">
        <f t="shared" si="162"/>
        <v>-156625.91999999993</v>
      </c>
      <c r="I1782" s="402">
        <f t="shared" si="163"/>
        <v>1328793.6000000001</v>
      </c>
    </row>
    <row r="1783" spans="2:9" hidden="1">
      <c r="B1783" s="156">
        <v>45909</v>
      </c>
      <c r="C1783" s="255" t="s">
        <v>2923</v>
      </c>
      <c r="D1783" s="402">
        <f t="shared" si="158"/>
        <v>132005.05499999999</v>
      </c>
      <c r="E1783" s="376">
        <v>967.07</v>
      </c>
      <c r="F1783" s="401">
        <v>136.5</v>
      </c>
      <c r="G1783" s="401">
        <f t="shared" si="161"/>
        <v>865.1</v>
      </c>
      <c r="H1783" s="402">
        <f t="shared" si="162"/>
        <v>-13918.904999999984</v>
      </c>
      <c r="I1783" s="402">
        <f t="shared" si="163"/>
        <v>118086.15000000001</v>
      </c>
    </row>
    <row r="1784" spans="2:9" hidden="1">
      <c r="B1784" s="156">
        <v>45909</v>
      </c>
      <c r="C1784" s="255" t="s">
        <v>2924</v>
      </c>
      <c r="D1784" s="402">
        <f t="shared" si="158"/>
        <v>787194.9800000001</v>
      </c>
      <c r="E1784" s="376">
        <v>967.07</v>
      </c>
      <c r="F1784" s="401">
        <v>814</v>
      </c>
      <c r="G1784" s="401">
        <f t="shared" si="161"/>
        <v>865.1</v>
      </c>
      <c r="H1784" s="402">
        <f t="shared" si="162"/>
        <v>-83003.580000000075</v>
      </c>
      <c r="I1784" s="402">
        <f t="shared" si="163"/>
        <v>704191.4</v>
      </c>
    </row>
    <row r="1785" spans="2:9" hidden="1">
      <c r="B1785" s="156">
        <v>45909</v>
      </c>
      <c r="C1785" s="255" t="s">
        <v>2925</v>
      </c>
      <c r="D1785" s="402">
        <f t="shared" si="158"/>
        <v>528020.22</v>
      </c>
      <c r="E1785" s="376">
        <v>967.07</v>
      </c>
      <c r="F1785" s="401">
        <v>546</v>
      </c>
      <c r="G1785" s="401">
        <f t="shared" si="161"/>
        <v>865.1</v>
      </c>
      <c r="H1785" s="402">
        <f t="shared" si="162"/>
        <v>-55675.619999999937</v>
      </c>
      <c r="I1785" s="402">
        <f t="shared" si="163"/>
        <v>472344.60000000003</v>
      </c>
    </row>
    <row r="1786" spans="2:9" hidden="1">
      <c r="B1786" s="156">
        <v>45909</v>
      </c>
      <c r="C1786" s="255" t="s">
        <v>2926</v>
      </c>
      <c r="D1786" s="402">
        <f t="shared" si="158"/>
        <v>792997.4</v>
      </c>
      <c r="E1786" s="376">
        <v>967.07</v>
      </c>
      <c r="F1786" s="401">
        <v>820</v>
      </c>
      <c r="G1786" s="401">
        <f t="shared" si="161"/>
        <v>865.1</v>
      </c>
      <c r="H1786" s="402">
        <f t="shared" si="162"/>
        <v>-83615.400000000023</v>
      </c>
      <c r="I1786" s="402">
        <f t="shared" si="163"/>
        <v>709382</v>
      </c>
    </row>
    <row r="1787" spans="2:9" hidden="1">
      <c r="B1787" s="156">
        <v>45909</v>
      </c>
      <c r="C1787" s="255" t="s">
        <v>2927</v>
      </c>
      <c r="D1787" s="402">
        <f t="shared" si="158"/>
        <v>528020.22</v>
      </c>
      <c r="E1787" s="376">
        <v>967.07</v>
      </c>
      <c r="F1787" s="401">
        <v>546</v>
      </c>
      <c r="G1787" s="401">
        <f t="shared" si="161"/>
        <v>865.1</v>
      </c>
      <c r="H1787" s="402">
        <f t="shared" si="162"/>
        <v>-55675.619999999937</v>
      </c>
      <c r="I1787" s="402">
        <f t="shared" si="163"/>
        <v>472344.60000000003</v>
      </c>
    </row>
    <row r="1788" spans="2:9" hidden="1">
      <c r="B1788" s="156">
        <v>45909</v>
      </c>
      <c r="C1788" s="255" t="s">
        <v>2928</v>
      </c>
      <c r="D1788" s="402">
        <f t="shared" si="158"/>
        <v>1574389.9600000002</v>
      </c>
      <c r="E1788" s="376">
        <v>967.07</v>
      </c>
      <c r="F1788" s="401">
        <v>1628</v>
      </c>
      <c r="G1788" s="401">
        <f t="shared" si="161"/>
        <v>865.1</v>
      </c>
      <c r="H1788" s="402">
        <f t="shared" si="162"/>
        <v>-166007.16000000015</v>
      </c>
      <c r="I1788" s="402">
        <f t="shared" si="163"/>
        <v>1408382.8</v>
      </c>
    </row>
    <row r="1789" spans="2:9" hidden="1">
      <c r="B1789" s="156">
        <v>45909</v>
      </c>
      <c r="C1789" s="255" t="s">
        <v>2929</v>
      </c>
      <c r="D1789" s="402">
        <f t="shared" si="158"/>
        <v>528020.22</v>
      </c>
      <c r="E1789" s="376">
        <v>967.07</v>
      </c>
      <c r="F1789" s="401">
        <v>546</v>
      </c>
      <c r="G1789" s="401">
        <f t="shared" si="161"/>
        <v>865.1</v>
      </c>
      <c r="H1789" s="402">
        <f t="shared" si="162"/>
        <v>-55675.619999999937</v>
      </c>
      <c r="I1789" s="402">
        <f t="shared" si="163"/>
        <v>472344.60000000003</v>
      </c>
    </row>
    <row r="1790" spans="2:9" hidden="1">
      <c r="B1790" s="156">
        <v>45909</v>
      </c>
      <c r="C1790" s="255" t="s">
        <v>2930</v>
      </c>
      <c r="D1790" s="402">
        <f t="shared" si="158"/>
        <v>731104.92</v>
      </c>
      <c r="E1790" s="376">
        <v>967.07</v>
      </c>
      <c r="F1790" s="401">
        <v>756</v>
      </c>
      <c r="G1790" s="401">
        <f t="shared" si="161"/>
        <v>865.1</v>
      </c>
      <c r="H1790" s="402">
        <f t="shared" si="162"/>
        <v>-77089.320000000065</v>
      </c>
      <c r="I1790" s="402">
        <f t="shared" si="163"/>
        <v>654015.6</v>
      </c>
    </row>
    <row r="1791" spans="2:9" hidden="1">
      <c r="B1791" s="156">
        <v>45909</v>
      </c>
      <c r="C1791" s="255" t="s">
        <v>2931</v>
      </c>
      <c r="D1791" s="402">
        <f t="shared" si="158"/>
        <v>528020.22</v>
      </c>
      <c r="E1791" s="376">
        <v>967.07</v>
      </c>
      <c r="F1791" s="401">
        <v>546</v>
      </c>
      <c r="G1791" s="401">
        <f t="shared" si="161"/>
        <v>865.1</v>
      </c>
      <c r="H1791" s="402">
        <f t="shared" si="162"/>
        <v>-55675.619999999937</v>
      </c>
      <c r="I1791" s="402">
        <f t="shared" si="163"/>
        <v>472344.60000000003</v>
      </c>
    </row>
    <row r="1792" spans="2:9" hidden="1">
      <c r="B1792" s="156">
        <v>45909</v>
      </c>
      <c r="C1792" s="255" t="s">
        <v>2932</v>
      </c>
      <c r="D1792" s="402">
        <f t="shared" si="158"/>
        <v>787194.9800000001</v>
      </c>
      <c r="E1792" s="376">
        <v>967.07</v>
      </c>
      <c r="F1792" s="401">
        <v>814</v>
      </c>
      <c r="G1792" s="401">
        <f t="shared" si="161"/>
        <v>865.1</v>
      </c>
      <c r="H1792" s="402">
        <f t="shared" si="162"/>
        <v>-83003.580000000075</v>
      </c>
      <c r="I1792" s="402">
        <f t="shared" si="163"/>
        <v>704191.4</v>
      </c>
    </row>
    <row r="1793" spans="2:9" hidden="1">
      <c r="B1793" s="156">
        <v>45909</v>
      </c>
      <c r="C1793" s="255" t="s">
        <v>2933</v>
      </c>
      <c r="D1793" s="402">
        <f t="shared" si="158"/>
        <v>528020.22</v>
      </c>
      <c r="E1793" s="376">
        <v>967.07</v>
      </c>
      <c r="F1793" s="401">
        <v>546</v>
      </c>
      <c r="G1793" s="401">
        <f t="shared" si="161"/>
        <v>865.1</v>
      </c>
      <c r="H1793" s="402">
        <f t="shared" si="162"/>
        <v>-55675.619999999937</v>
      </c>
      <c r="I1793" s="402">
        <f t="shared" si="163"/>
        <v>472344.60000000003</v>
      </c>
    </row>
    <row r="1794" spans="2:9" hidden="1">
      <c r="B1794" s="156">
        <v>45909</v>
      </c>
      <c r="C1794" s="255" t="s">
        <v>2934</v>
      </c>
      <c r="D1794" s="402">
        <f t="shared" si="158"/>
        <v>792997.4</v>
      </c>
      <c r="E1794" s="376">
        <v>967.07</v>
      </c>
      <c r="F1794" s="401">
        <v>820</v>
      </c>
      <c r="G1794" s="401">
        <f t="shared" si="161"/>
        <v>865.1</v>
      </c>
      <c r="H1794" s="402">
        <f t="shared" si="162"/>
        <v>-83615.400000000023</v>
      </c>
      <c r="I1794" s="402">
        <f t="shared" si="163"/>
        <v>709382</v>
      </c>
    </row>
    <row r="1795" spans="2:9" hidden="1">
      <c r="B1795" s="156">
        <v>45909</v>
      </c>
      <c r="C1795" s="255" t="s">
        <v>2935</v>
      </c>
      <c r="D1795" s="402">
        <f t="shared" si="158"/>
        <v>528020.22</v>
      </c>
      <c r="E1795" s="376">
        <v>967.07</v>
      </c>
      <c r="F1795" s="401">
        <v>546</v>
      </c>
      <c r="G1795" s="401">
        <f t="shared" si="161"/>
        <v>865.1</v>
      </c>
      <c r="H1795" s="402">
        <f t="shared" si="162"/>
        <v>-55675.619999999937</v>
      </c>
      <c r="I1795" s="402">
        <f t="shared" si="163"/>
        <v>472344.60000000003</v>
      </c>
    </row>
    <row r="1796" spans="2:9" hidden="1">
      <c r="B1796" s="156">
        <v>45909</v>
      </c>
      <c r="C1796" s="255" t="s">
        <v>2936</v>
      </c>
      <c r="D1796" s="402">
        <f t="shared" si="158"/>
        <v>528020.22</v>
      </c>
      <c r="E1796" s="376">
        <v>967.07</v>
      </c>
      <c r="F1796" s="401">
        <v>546</v>
      </c>
      <c r="G1796" s="401">
        <f t="shared" si="161"/>
        <v>865.1</v>
      </c>
      <c r="H1796" s="402">
        <f t="shared" si="162"/>
        <v>-55675.619999999937</v>
      </c>
      <c r="I1796" s="402">
        <f t="shared" si="163"/>
        <v>472344.60000000003</v>
      </c>
    </row>
    <row r="1797" spans="2:9" hidden="1">
      <c r="B1797" s="156">
        <v>45909</v>
      </c>
      <c r="C1797" s="255" t="s">
        <v>2937</v>
      </c>
      <c r="D1797" s="402">
        <f t="shared" si="158"/>
        <v>6922770.5950000007</v>
      </c>
      <c r="E1797" s="376">
        <v>967.07</v>
      </c>
      <c r="F1797" s="401">
        <v>7158.5</v>
      </c>
      <c r="G1797" s="401">
        <f t="shared" si="161"/>
        <v>865.1</v>
      </c>
      <c r="H1797" s="402">
        <f t="shared" si="162"/>
        <v>-729952.24500000011</v>
      </c>
      <c r="I1797" s="402">
        <f t="shared" si="163"/>
        <v>6192818.3500000006</v>
      </c>
    </row>
    <row r="1798" spans="2:9" hidden="1">
      <c r="B1798" s="156">
        <v>45909</v>
      </c>
      <c r="C1798" s="255" t="s">
        <v>2938</v>
      </c>
      <c r="D1798" s="402">
        <f t="shared" si="158"/>
        <v>21160458.670000002</v>
      </c>
      <c r="E1798" s="376">
        <v>967.07</v>
      </c>
      <c r="F1798" s="401">
        <v>21881</v>
      </c>
      <c r="G1798" s="401">
        <f t="shared" si="161"/>
        <v>865.1</v>
      </c>
      <c r="H1798" s="402">
        <f t="shared" si="162"/>
        <v>-2231205.5700000003</v>
      </c>
      <c r="I1798" s="402">
        <f t="shared" si="163"/>
        <v>18929253.100000001</v>
      </c>
    </row>
    <row r="1799" spans="2:9" hidden="1">
      <c r="B1799" s="156">
        <v>45909</v>
      </c>
      <c r="C1799" s="255" t="s">
        <v>2939</v>
      </c>
      <c r="D1799" s="402">
        <f t="shared" si="158"/>
        <v>1620809.32</v>
      </c>
      <c r="E1799" s="376">
        <v>967.07</v>
      </c>
      <c r="F1799" s="401">
        <v>1676</v>
      </c>
      <c r="G1799" s="401">
        <f t="shared" si="161"/>
        <v>865.1</v>
      </c>
      <c r="H1799" s="402">
        <f t="shared" si="162"/>
        <v>-170901.71999999997</v>
      </c>
      <c r="I1799" s="402">
        <f t="shared" si="163"/>
        <v>1449907.6</v>
      </c>
    </row>
    <row r="1800" spans="2:9" hidden="1">
      <c r="B1800" s="156">
        <v>45909</v>
      </c>
      <c r="C1800" s="255" t="s">
        <v>2940</v>
      </c>
      <c r="D1800" s="402">
        <f t="shared" si="158"/>
        <v>1831630.58</v>
      </c>
      <c r="E1800" s="376">
        <v>967.07</v>
      </c>
      <c r="F1800" s="401">
        <v>1894</v>
      </c>
      <c r="G1800" s="401">
        <f t="shared" si="161"/>
        <v>865.1</v>
      </c>
      <c r="H1800" s="402">
        <f t="shared" si="162"/>
        <v>-193131.17999999993</v>
      </c>
      <c r="I1800" s="402">
        <f t="shared" si="163"/>
        <v>1638499.4000000001</v>
      </c>
    </row>
    <row r="1801" spans="2:9" hidden="1">
      <c r="B1801" s="156">
        <v>45909</v>
      </c>
      <c r="C1801" s="255" t="s">
        <v>2941</v>
      </c>
      <c r="D1801" s="402">
        <f t="shared" si="158"/>
        <v>609254.1</v>
      </c>
      <c r="E1801" s="376">
        <v>967.07</v>
      </c>
      <c r="F1801" s="401">
        <v>630</v>
      </c>
      <c r="G1801" s="401">
        <f t="shared" si="161"/>
        <v>865.1</v>
      </c>
      <c r="H1801" s="402">
        <f t="shared" si="162"/>
        <v>-64241.099999999977</v>
      </c>
      <c r="I1801" s="402">
        <f t="shared" si="163"/>
        <v>545013</v>
      </c>
    </row>
    <row r="1802" spans="2:9" hidden="1">
      <c r="B1802" s="156">
        <v>45909</v>
      </c>
      <c r="C1802" s="255" t="s">
        <v>2942</v>
      </c>
      <c r="D1802" s="402">
        <f t="shared" si="158"/>
        <v>732555.52500000002</v>
      </c>
      <c r="E1802" s="376">
        <v>967.07</v>
      </c>
      <c r="F1802" s="401">
        <v>757.5</v>
      </c>
      <c r="G1802" s="401">
        <f t="shared" si="161"/>
        <v>865.1</v>
      </c>
      <c r="H1802" s="402">
        <f t="shared" si="162"/>
        <v>-77242.275000000023</v>
      </c>
      <c r="I1802" s="402">
        <f t="shared" si="163"/>
        <v>655313.25</v>
      </c>
    </row>
    <row r="1803" spans="2:9" hidden="1">
      <c r="B1803" s="156">
        <v>45909</v>
      </c>
      <c r="C1803" s="255" t="s">
        <v>2943</v>
      </c>
      <c r="D1803" s="402">
        <f t="shared" si="158"/>
        <v>58121390.535000004</v>
      </c>
      <c r="E1803" s="376">
        <v>967.07</v>
      </c>
      <c r="F1803" s="401">
        <v>60100.5</v>
      </c>
      <c r="G1803" s="401">
        <f t="shared" si="161"/>
        <v>865.1</v>
      </c>
      <c r="H1803" s="402">
        <f t="shared" si="162"/>
        <v>-6128447.9849999994</v>
      </c>
      <c r="I1803" s="402">
        <f t="shared" si="163"/>
        <v>51992942.550000004</v>
      </c>
    </row>
    <row r="1804" spans="2:9" hidden="1">
      <c r="B1804" s="156">
        <v>45909</v>
      </c>
      <c r="C1804" s="255" t="s">
        <v>2944</v>
      </c>
      <c r="D1804" s="402">
        <f t="shared" si="158"/>
        <v>2529855.12</v>
      </c>
      <c r="E1804" s="376">
        <v>967.07</v>
      </c>
      <c r="F1804" s="401">
        <v>2616</v>
      </c>
      <c r="G1804" s="401">
        <f t="shared" si="161"/>
        <v>865.1</v>
      </c>
      <c r="H1804" s="402">
        <f t="shared" si="162"/>
        <v>-266753.52</v>
      </c>
      <c r="I1804" s="402">
        <f t="shared" si="163"/>
        <v>2263101.6</v>
      </c>
    </row>
    <row r="1805" spans="2:9" hidden="1">
      <c r="B1805" s="156">
        <v>45909</v>
      </c>
      <c r="C1805" s="255" t="s">
        <v>2945</v>
      </c>
      <c r="D1805" s="402">
        <f t="shared" si="158"/>
        <v>1426428.25</v>
      </c>
      <c r="E1805" s="376">
        <v>967.07</v>
      </c>
      <c r="F1805" s="401">
        <v>1475</v>
      </c>
      <c r="G1805" s="401">
        <f t="shared" si="161"/>
        <v>865.1</v>
      </c>
      <c r="H1805" s="402">
        <f t="shared" si="162"/>
        <v>-150405.75</v>
      </c>
      <c r="I1805" s="402">
        <f t="shared" si="163"/>
        <v>1276022.5</v>
      </c>
    </row>
    <row r="1806" spans="2:9" hidden="1">
      <c r="B1806" s="156">
        <v>45909</v>
      </c>
      <c r="C1806" s="255" t="s">
        <v>2946</v>
      </c>
      <c r="D1806" s="402">
        <f t="shared" si="158"/>
        <v>1831630.58</v>
      </c>
      <c r="E1806" s="376">
        <v>967.07</v>
      </c>
      <c r="F1806" s="401">
        <v>1894</v>
      </c>
      <c r="G1806" s="401">
        <f t="shared" si="161"/>
        <v>865.1</v>
      </c>
      <c r="H1806" s="402">
        <f t="shared" si="162"/>
        <v>-193131.17999999993</v>
      </c>
      <c r="I1806" s="402">
        <f t="shared" si="163"/>
        <v>1638499.4000000001</v>
      </c>
    </row>
    <row r="1807" spans="2:9" hidden="1">
      <c r="B1807" s="156">
        <v>45909</v>
      </c>
      <c r="C1807" s="255" t="s">
        <v>2947</v>
      </c>
      <c r="D1807" s="402">
        <f t="shared" si="158"/>
        <v>2852856.5</v>
      </c>
      <c r="E1807" s="376">
        <v>967.07</v>
      </c>
      <c r="F1807" s="401">
        <v>2950</v>
      </c>
      <c r="G1807" s="401">
        <f t="shared" si="161"/>
        <v>865.1</v>
      </c>
      <c r="H1807" s="402">
        <f t="shared" si="162"/>
        <v>-300811.5</v>
      </c>
      <c r="I1807" s="402">
        <f t="shared" si="163"/>
        <v>2552045</v>
      </c>
    </row>
    <row r="1808" spans="2:9" hidden="1">
      <c r="B1808" s="156">
        <v>45909</v>
      </c>
      <c r="C1808" s="255" t="s">
        <v>2948</v>
      </c>
      <c r="D1808" s="402">
        <f t="shared" si="158"/>
        <v>1620809.32</v>
      </c>
      <c r="E1808" s="376">
        <v>967.07</v>
      </c>
      <c r="F1808" s="401">
        <v>1676</v>
      </c>
      <c r="G1808" s="401">
        <f t="shared" si="161"/>
        <v>865.1</v>
      </c>
      <c r="H1808" s="402">
        <f t="shared" si="162"/>
        <v>-170901.71999999997</v>
      </c>
      <c r="I1808" s="402">
        <f t="shared" si="163"/>
        <v>1449907.6</v>
      </c>
    </row>
    <row r="1809" spans="2:12" hidden="1">
      <c r="B1809" s="156">
        <v>45909</v>
      </c>
      <c r="C1809" s="255" t="s">
        <v>2949</v>
      </c>
      <c r="D1809" s="402">
        <f t="shared" si="158"/>
        <v>1426428.25</v>
      </c>
      <c r="E1809" s="376">
        <v>967.07</v>
      </c>
      <c r="F1809" s="401">
        <v>1475</v>
      </c>
      <c r="G1809" s="401">
        <f t="shared" si="161"/>
        <v>865.1</v>
      </c>
      <c r="H1809" s="402">
        <f t="shared" si="162"/>
        <v>-150405.75</v>
      </c>
      <c r="I1809" s="402">
        <f t="shared" si="163"/>
        <v>1276022.5</v>
      </c>
    </row>
    <row r="1810" spans="2:12" hidden="1">
      <c r="B1810" s="156">
        <v>45909</v>
      </c>
      <c r="C1810" s="255" t="s">
        <v>2950</v>
      </c>
      <c r="D1810" s="402">
        <f t="shared" si="158"/>
        <v>1620809.32</v>
      </c>
      <c r="E1810" s="376">
        <v>967.07</v>
      </c>
      <c r="F1810" s="401">
        <v>1676</v>
      </c>
      <c r="G1810" s="401">
        <f t="shared" si="161"/>
        <v>865.1</v>
      </c>
      <c r="H1810" s="402">
        <f t="shared" si="162"/>
        <v>-170901.71999999997</v>
      </c>
      <c r="I1810" s="402">
        <f t="shared" si="163"/>
        <v>1449907.6</v>
      </c>
    </row>
    <row r="1811" spans="2:12" hidden="1">
      <c r="B1811" s="156">
        <v>45909</v>
      </c>
      <c r="C1811" s="255" t="s">
        <v>2951</v>
      </c>
      <c r="D1811" s="402">
        <f t="shared" si="158"/>
        <v>290121</v>
      </c>
      <c r="E1811" s="376">
        <v>967.07</v>
      </c>
      <c r="F1811" s="401">
        <v>300</v>
      </c>
      <c r="G1811" s="401">
        <f t="shared" si="161"/>
        <v>865.1</v>
      </c>
      <c r="H1811" s="402">
        <f t="shared" si="162"/>
        <v>-30591</v>
      </c>
      <c r="I1811" s="402">
        <f t="shared" si="163"/>
        <v>259530</v>
      </c>
    </row>
    <row r="1812" spans="2:12" hidden="1">
      <c r="B1812" s="156">
        <v>45909</v>
      </c>
      <c r="C1812" s="255" t="s">
        <v>2952</v>
      </c>
      <c r="D1812" s="402">
        <f t="shared" si="158"/>
        <v>145060.5</v>
      </c>
      <c r="E1812" s="376">
        <v>967.07</v>
      </c>
      <c r="F1812" s="401">
        <v>150</v>
      </c>
      <c r="G1812" s="401">
        <f t="shared" si="161"/>
        <v>865.1</v>
      </c>
      <c r="H1812" s="402">
        <f t="shared" si="162"/>
        <v>-15295.5</v>
      </c>
      <c r="I1812" s="402">
        <f t="shared" si="163"/>
        <v>129765</v>
      </c>
    </row>
    <row r="1813" spans="2:12" hidden="1">
      <c r="B1813" s="156">
        <v>45917</v>
      </c>
      <c r="C1813" s="255" t="s">
        <v>2953</v>
      </c>
      <c r="D1813" s="402">
        <f t="shared" si="158"/>
        <v>842937.24479999999</v>
      </c>
      <c r="E1813" s="376">
        <v>948.57</v>
      </c>
      <c r="F1813" s="401">
        <v>888.64</v>
      </c>
      <c r="G1813" s="401">
        <f t="shared" si="161"/>
        <v>865.1</v>
      </c>
      <c r="H1813" s="402">
        <f t="shared" si="162"/>
        <v>-74174.78079999995</v>
      </c>
      <c r="I1813" s="402">
        <f t="shared" si="163"/>
        <v>768762.46400000004</v>
      </c>
    </row>
    <row r="1814" spans="2:12" hidden="1">
      <c r="B1814" s="156">
        <v>45918</v>
      </c>
      <c r="C1814" s="255" t="s">
        <v>2954</v>
      </c>
      <c r="D1814" s="402">
        <f t="shared" si="158"/>
        <v>4429053.5582999997</v>
      </c>
      <c r="E1814" s="376">
        <v>948.57</v>
      </c>
      <c r="F1814" s="401">
        <v>4669.1899999999996</v>
      </c>
      <c r="G1814" s="401">
        <f t="shared" si="161"/>
        <v>865.1</v>
      </c>
      <c r="H1814" s="402">
        <f t="shared" si="162"/>
        <v>-389737.28929999983</v>
      </c>
      <c r="I1814" s="402">
        <f t="shared" si="163"/>
        <v>4039316.2689999999</v>
      </c>
    </row>
    <row r="1815" spans="2:12" hidden="1">
      <c r="B1815" s="156">
        <v>45927</v>
      </c>
      <c r="C1815" s="255" t="s">
        <v>2955</v>
      </c>
      <c r="D1815" s="402">
        <f t="shared" si="158"/>
        <v>263971.92</v>
      </c>
      <c r="E1815" s="376">
        <v>956.42</v>
      </c>
      <c r="F1815" s="401">
        <v>276</v>
      </c>
      <c r="G1815" s="401">
        <f t="shared" si="161"/>
        <v>865.1</v>
      </c>
      <c r="H1815" s="402">
        <f t="shared" si="162"/>
        <v>-25204.319999999978</v>
      </c>
      <c r="I1815" s="402">
        <f t="shared" si="163"/>
        <v>238767.6</v>
      </c>
    </row>
    <row r="1816" spans="2:12" hidden="1">
      <c r="B1816" s="156">
        <v>45927</v>
      </c>
      <c r="C1816" s="255" t="s">
        <v>2956</v>
      </c>
      <c r="D1816" s="402">
        <f t="shared" si="158"/>
        <v>254407.72</v>
      </c>
      <c r="E1816" s="376">
        <v>956.42</v>
      </c>
      <c r="F1816" s="401">
        <v>266</v>
      </c>
      <c r="G1816" s="401">
        <f t="shared" si="161"/>
        <v>865.1</v>
      </c>
      <c r="H1816" s="402">
        <f t="shared" si="162"/>
        <v>-24291.119999999995</v>
      </c>
      <c r="I1816" s="402">
        <f t="shared" si="163"/>
        <v>230116.6</v>
      </c>
    </row>
    <row r="1817" spans="2:12" hidden="1">
      <c r="B1817" s="156">
        <v>45927</v>
      </c>
      <c r="C1817" s="255" t="s">
        <v>2957</v>
      </c>
      <c r="D1817" s="402">
        <f t="shared" si="158"/>
        <v>254407.72</v>
      </c>
      <c r="E1817" s="376">
        <v>956.42</v>
      </c>
      <c r="F1817" s="401">
        <v>266</v>
      </c>
      <c r="G1817" s="401">
        <f t="shared" si="161"/>
        <v>865.1</v>
      </c>
      <c r="H1817" s="402">
        <f t="shared" si="162"/>
        <v>-24291.119999999995</v>
      </c>
      <c r="I1817" s="402">
        <f t="shared" si="163"/>
        <v>230116.6</v>
      </c>
    </row>
    <row r="1818" spans="2:12" hidden="1">
      <c r="B1818" s="156">
        <v>45927</v>
      </c>
      <c r="C1818" s="255" t="s">
        <v>2958</v>
      </c>
      <c r="D1818" s="402">
        <f t="shared" si="158"/>
        <v>254407.72</v>
      </c>
      <c r="E1818" s="376">
        <v>956.42</v>
      </c>
      <c r="F1818" s="401">
        <v>266</v>
      </c>
      <c r="G1818" s="401">
        <f t="shared" si="161"/>
        <v>865.1</v>
      </c>
      <c r="H1818" s="402">
        <f t="shared" si="162"/>
        <v>-24291.119999999995</v>
      </c>
      <c r="I1818" s="402">
        <f t="shared" si="163"/>
        <v>230116.6</v>
      </c>
    </row>
    <row r="1819" spans="2:12" hidden="1">
      <c r="B1819" s="156">
        <v>45917</v>
      </c>
      <c r="C1819" s="255" t="s">
        <v>2959</v>
      </c>
      <c r="D1819" s="402">
        <f t="shared" si="158"/>
        <v>711427.5</v>
      </c>
      <c r="E1819" s="376">
        <v>948.57</v>
      </c>
      <c r="F1819" s="401">
        <v>750</v>
      </c>
      <c r="G1819" s="401">
        <f t="shared" si="161"/>
        <v>865.1</v>
      </c>
      <c r="H1819" s="402">
        <f t="shared" si="162"/>
        <v>-62602.5</v>
      </c>
      <c r="I1819" s="402">
        <f t="shared" si="163"/>
        <v>648825</v>
      </c>
    </row>
    <row r="1820" spans="2:12" hidden="1">
      <c r="B1820" s="156">
        <v>45930</v>
      </c>
      <c r="C1820" s="255" t="s">
        <v>673</v>
      </c>
      <c r="D1820" s="402">
        <f t="shared" si="158"/>
        <v>-278407243.1426</v>
      </c>
      <c r="E1820" s="376">
        <v>962.39</v>
      </c>
      <c r="F1820" s="401">
        <v>-289287.34000000003</v>
      </c>
      <c r="G1820" s="401">
        <f>+G1552</f>
        <v>865.1</v>
      </c>
      <c r="H1820" s="402">
        <f t="shared" si="162"/>
        <v>28144765.308599979</v>
      </c>
      <c r="I1820" s="402">
        <f t="shared" si="163"/>
        <v>-250262477.83400002</v>
      </c>
      <c r="J1820" s="643"/>
      <c r="K1820" s="643"/>
      <c r="L1820" s="643"/>
    </row>
    <row r="1821" spans="2:12" hidden="1">
      <c r="B1821" s="156">
        <v>45902</v>
      </c>
      <c r="C1821" s="255" t="s">
        <v>2915</v>
      </c>
      <c r="D1821" s="402">
        <f t="shared" si="158"/>
        <v>1213594.2</v>
      </c>
      <c r="E1821" s="376">
        <v>963.17</v>
      </c>
      <c r="F1821" s="401">
        <v>1260</v>
      </c>
      <c r="G1821" s="401">
        <f t="shared" ref="G1821:G1828" si="164">+G1553</f>
        <v>865.1</v>
      </c>
      <c r="H1821" s="402">
        <f t="shared" ref="H1821:H1830" si="165">+I1821-D1821</f>
        <v>-123568.19999999995</v>
      </c>
      <c r="I1821" s="402">
        <f t="shared" ref="I1821:I1830" si="166">+F1821*G1821</f>
        <v>1090026</v>
      </c>
      <c r="J1821" s="643"/>
      <c r="K1821" s="643"/>
      <c r="L1821" s="643"/>
    </row>
    <row r="1822" spans="2:12" hidden="1">
      <c r="B1822" s="156">
        <v>45909</v>
      </c>
      <c r="C1822" s="255" t="s">
        <v>2916</v>
      </c>
      <c r="D1822" s="402">
        <f t="shared" si="158"/>
        <v>9210530.7540000007</v>
      </c>
      <c r="E1822" s="376">
        <v>951.45</v>
      </c>
      <c r="F1822" s="401">
        <v>9680.52</v>
      </c>
      <c r="G1822" s="401">
        <f t="shared" si="164"/>
        <v>865.1</v>
      </c>
      <c r="H1822" s="402">
        <f t="shared" si="165"/>
        <v>-835912.90199999977</v>
      </c>
      <c r="I1822" s="402">
        <f t="shared" si="166"/>
        <v>8374617.8520000009</v>
      </c>
      <c r="J1822" s="643"/>
      <c r="K1822" s="643"/>
      <c r="L1822" s="643"/>
    </row>
    <row r="1823" spans="2:12" hidden="1">
      <c r="B1823" s="156">
        <v>45951</v>
      </c>
      <c r="C1823" s="255" t="s">
        <v>2984</v>
      </c>
      <c r="D1823" s="402">
        <f t="shared" si="158"/>
        <v>-4450718.5998999998</v>
      </c>
      <c r="E1823" s="376">
        <v>953.21</v>
      </c>
      <c r="F1823" s="401">
        <v>-4669.1899999999996</v>
      </c>
      <c r="G1823" s="401">
        <f t="shared" si="164"/>
        <v>865.1</v>
      </c>
      <c r="H1823" s="402">
        <f t="shared" si="165"/>
        <v>411402.33089999994</v>
      </c>
      <c r="I1823" s="402">
        <f t="shared" si="166"/>
        <v>-4039316.2689999999</v>
      </c>
      <c r="J1823" s="643"/>
      <c r="K1823" s="643"/>
      <c r="L1823" s="643"/>
    </row>
    <row r="1824" spans="2:12" hidden="1">
      <c r="B1824" s="156">
        <v>45961</v>
      </c>
      <c r="C1824" s="255" t="s">
        <v>2994</v>
      </c>
      <c r="D1824" s="402">
        <f t="shared" si="158"/>
        <v>28017639.584999997</v>
      </c>
      <c r="E1824" s="376">
        <v>976.42</v>
      </c>
      <c r="F1824" s="401">
        <v>28694.25</v>
      </c>
      <c r="G1824" s="401">
        <f t="shared" si="164"/>
        <v>865.1</v>
      </c>
      <c r="H1824" s="402">
        <f t="shared" si="165"/>
        <v>-3194243.9099999964</v>
      </c>
      <c r="I1824" s="402">
        <f t="shared" si="166"/>
        <v>24823395.675000001</v>
      </c>
      <c r="J1824" s="643"/>
      <c r="K1824" s="643"/>
      <c r="L1824" s="643"/>
    </row>
    <row r="1825" spans="2:12" hidden="1">
      <c r="B1825" s="156">
        <v>45961</v>
      </c>
      <c r="C1825" s="255" t="s">
        <v>2995</v>
      </c>
      <c r="D1825" s="402">
        <f t="shared" si="158"/>
        <v>7051900.5239999993</v>
      </c>
      <c r="E1825" s="376">
        <v>976.42</v>
      </c>
      <c r="F1825" s="401">
        <v>7222.2</v>
      </c>
      <c r="G1825" s="401">
        <f t="shared" si="164"/>
        <v>865.1</v>
      </c>
      <c r="H1825" s="402">
        <f t="shared" si="165"/>
        <v>-803975.30399999954</v>
      </c>
      <c r="I1825" s="402">
        <f t="shared" si="166"/>
        <v>6247925.2199999997</v>
      </c>
      <c r="J1825" s="643"/>
      <c r="K1825" s="643"/>
      <c r="L1825" s="643"/>
    </row>
    <row r="1826" spans="2:12" hidden="1">
      <c r="B1826" s="156">
        <v>45961</v>
      </c>
      <c r="C1826" s="255" t="s">
        <v>2996</v>
      </c>
      <c r="D1826" s="402">
        <f t="shared" si="158"/>
        <v>3983793.5999999996</v>
      </c>
      <c r="E1826" s="376">
        <v>976.42</v>
      </c>
      <c r="F1826" s="401">
        <v>4080</v>
      </c>
      <c r="G1826" s="401">
        <f t="shared" si="164"/>
        <v>865.1</v>
      </c>
      <c r="H1826" s="402">
        <f t="shared" si="165"/>
        <v>-454185.59999999963</v>
      </c>
      <c r="I1826" s="402">
        <f t="shared" si="166"/>
        <v>3529608</v>
      </c>
      <c r="J1826" s="643"/>
      <c r="K1826" s="643"/>
      <c r="L1826" s="643"/>
    </row>
    <row r="1827" spans="2:12" hidden="1">
      <c r="B1827" s="156">
        <v>45961</v>
      </c>
      <c r="C1827" s="255" t="s">
        <v>2997</v>
      </c>
      <c r="D1827" s="402">
        <f t="shared" si="158"/>
        <v>61687774.549999997</v>
      </c>
      <c r="E1827" s="376">
        <v>976.42</v>
      </c>
      <c r="F1827" s="401">
        <v>63177.5</v>
      </c>
      <c r="G1827" s="401">
        <f t="shared" si="164"/>
        <v>865.1</v>
      </c>
      <c r="H1827" s="402">
        <f t="shared" si="165"/>
        <v>-7032919.299999997</v>
      </c>
      <c r="I1827" s="402">
        <f t="shared" si="166"/>
        <v>54654855.25</v>
      </c>
      <c r="J1827" s="643"/>
      <c r="K1827" s="643"/>
      <c r="L1827" s="643"/>
    </row>
    <row r="1828" spans="2:12" hidden="1">
      <c r="B1828" s="156">
        <v>45961</v>
      </c>
      <c r="C1828" s="255" t="s">
        <v>2998</v>
      </c>
      <c r="D1828" s="402">
        <f t="shared" si="158"/>
        <v>34775149.478999995</v>
      </c>
      <c r="E1828" s="376">
        <v>976.42</v>
      </c>
      <c r="F1828" s="401">
        <v>35614.949999999997</v>
      </c>
      <c r="G1828" s="401">
        <f t="shared" si="164"/>
        <v>865.1</v>
      </c>
      <c r="H1828" s="402">
        <f t="shared" si="165"/>
        <v>-3964656.2339999974</v>
      </c>
      <c r="I1828" s="402">
        <f t="shared" si="166"/>
        <v>30810493.244999997</v>
      </c>
      <c r="J1828" s="643"/>
      <c r="K1828" s="643"/>
      <c r="L1828" s="643"/>
    </row>
    <row r="1829" spans="2:12" hidden="1">
      <c r="B1829" s="156">
        <v>45961</v>
      </c>
      <c r="C1829" s="255" t="s">
        <v>673</v>
      </c>
      <c r="D1829" s="402">
        <f t="shared" si="158"/>
        <v>-268327181.48637757</v>
      </c>
      <c r="E1829" s="376">
        <v>976.42</v>
      </c>
      <c r="F1829" s="401">
        <v>-274807.133699</v>
      </c>
      <c r="G1829" s="401">
        <f>+G1560</f>
        <v>865.1</v>
      </c>
      <c r="H1829" s="402">
        <f t="shared" si="165"/>
        <v>30591530.123372674</v>
      </c>
      <c r="I1829" s="402">
        <f t="shared" si="166"/>
        <v>-237735651.36300489</v>
      </c>
      <c r="J1829" s="643"/>
      <c r="K1829" s="643"/>
      <c r="L1829" s="643"/>
    </row>
    <row r="1830" spans="2:12" hidden="1">
      <c r="B1830" s="156">
        <v>45991</v>
      </c>
      <c r="C1830" s="255" t="s">
        <v>673</v>
      </c>
      <c r="D1830" s="402">
        <f t="shared" si="158"/>
        <v>-4490308.1375999991</v>
      </c>
      <c r="E1830" s="376">
        <v>928.16</v>
      </c>
      <c r="F1830" s="401">
        <v>-4837.8599999999997</v>
      </c>
      <c r="G1830" s="401">
        <f>+G1560</f>
        <v>865.1</v>
      </c>
      <c r="H1830" s="402">
        <f t="shared" si="165"/>
        <v>305075.45159999933</v>
      </c>
      <c r="I1830" s="402">
        <f t="shared" si="166"/>
        <v>-4185232.6859999998</v>
      </c>
      <c r="J1830" s="643"/>
      <c r="K1830" s="643"/>
      <c r="L1830" s="643"/>
    </row>
    <row r="1831" spans="2:12" hidden="1">
      <c r="B1831" s="156">
        <v>45993</v>
      </c>
      <c r="C1831" s="255" t="s">
        <v>3066</v>
      </c>
      <c r="D1831" s="402">
        <f t="shared" si="158"/>
        <v>384171.30000000005</v>
      </c>
      <c r="E1831" s="376">
        <v>927.95</v>
      </c>
      <c r="F1831" s="401">
        <v>414</v>
      </c>
      <c r="G1831" s="401">
        <f t="shared" ref="G1831:G1875" si="167">+G1561</f>
        <v>865.1</v>
      </c>
      <c r="H1831" s="402">
        <f t="shared" ref="H1831:H1881" si="168">+I1831-D1831</f>
        <v>-26019.900000000023</v>
      </c>
      <c r="I1831" s="402">
        <f t="shared" ref="I1831:I1881" si="169">+F1831*G1831</f>
        <v>358151.4</v>
      </c>
      <c r="J1831" s="643"/>
      <c r="K1831" s="643"/>
      <c r="L1831" s="643"/>
    </row>
    <row r="1832" spans="2:12" hidden="1">
      <c r="B1832" s="156">
        <v>45993</v>
      </c>
      <c r="C1832" s="255" t="s">
        <v>3067</v>
      </c>
      <c r="D1832" s="402">
        <f t="shared" si="158"/>
        <v>9995413.4250000007</v>
      </c>
      <c r="E1832" s="376">
        <v>927.95</v>
      </c>
      <c r="F1832" s="401">
        <v>10771.5</v>
      </c>
      <c r="G1832" s="401">
        <f t="shared" si="167"/>
        <v>865.1</v>
      </c>
      <c r="H1832" s="402">
        <f t="shared" si="168"/>
        <v>-676988.77500000037</v>
      </c>
      <c r="I1832" s="402">
        <f t="shared" si="169"/>
        <v>9318424.6500000004</v>
      </c>
      <c r="J1832" s="643"/>
      <c r="K1832" s="643"/>
      <c r="L1832" s="643"/>
    </row>
    <row r="1833" spans="2:12" hidden="1">
      <c r="B1833" s="156">
        <v>45993</v>
      </c>
      <c r="C1833" s="255" t="s">
        <v>3068</v>
      </c>
      <c r="D1833" s="402">
        <f t="shared" si="158"/>
        <v>608271.22499999998</v>
      </c>
      <c r="E1833" s="376">
        <v>927.95</v>
      </c>
      <c r="F1833" s="401">
        <v>655.5</v>
      </c>
      <c r="G1833" s="401">
        <f t="shared" si="167"/>
        <v>865.1</v>
      </c>
      <c r="H1833" s="402">
        <f t="shared" si="168"/>
        <v>-41198.17499999993</v>
      </c>
      <c r="I1833" s="402">
        <f t="shared" si="169"/>
        <v>567073.05000000005</v>
      </c>
      <c r="J1833" s="643"/>
      <c r="K1833" s="643"/>
      <c r="L1833" s="643"/>
    </row>
    <row r="1834" spans="2:12" hidden="1">
      <c r="B1834" s="156">
        <v>45995</v>
      </c>
      <c r="C1834" s="255" t="s">
        <v>3069</v>
      </c>
      <c r="D1834" s="402">
        <f t="shared" si="158"/>
        <v>19378538.960000001</v>
      </c>
      <c r="E1834" s="376">
        <v>919.46</v>
      </c>
      <c r="F1834" s="401">
        <v>21076</v>
      </c>
      <c r="G1834" s="401">
        <f t="shared" si="167"/>
        <v>865.1</v>
      </c>
      <c r="H1834" s="402">
        <f t="shared" si="168"/>
        <v>-1145691.3599999994</v>
      </c>
      <c r="I1834" s="402">
        <f t="shared" si="169"/>
        <v>18232847.600000001</v>
      </c>
      <c r="J1834" s="643"/>
      <c r="K1834" s="643"/>
      <c r="L1834" s="643"/>
    </row>
    <row r="1835" spans="2:12" hidden="1">
      <c r="B1835" s="156">
        <v>45995</v>
      </c>
      <c r="C1835" s="255" t="s">
        <v>3070</v>
      </c>
      <c r="D1835" s="402">
        <f t="shared" si="158"/>
        <v>9135754.5600000005</v>
      </c>
      <c r="E1835" s="376">
        <v>919.46</v>
      </c>
      <c r="F1835" s="401">
        <v>9936</v>
      </c>
      <c r="G1835" s="401">
        <f t="shared" si="167"/>
        <v>865.1</v>
      </c>
      <c r="H1835" s="402">
        <f t="shared" si="168"/>
        <v>-540120.96000000089</v>
      </c>
      <c r="I1835" s="402">
        <f t="shared" si="169"/>
        <v>8595633.5999999996</v>
      </c>
      <c r="J1835" s="643"/>
      <c r="K1835" s="643"/>
      <c r="L1835" s="643"/>
    </row>
    <row r="1836" spans="2:12" hidden="1">
      <c r="B1836" s="156">
        <v>45995</v>
      </c>
      <c r="C1836" s="255" t="s">
        <v>3071</v>
      </c>
      <c r="D1836" s="402">
        <f t="shared" si="158"/>
        <v>28620950.880000003</v>
      </c>
      <c r="E1836" s="376">
        <v>919.46</v>
      </c>
      <c r="F1836" s="401">
        <v>31128</v>
      </c>
      <c r="G1836" s="401">
        <f t="shared" si="167"/>
        <v>865.1</v>
      </c>
      <c r="H1836" s="402">
        <f t="shared" si="168"/>
        <v>-1692118.0800000019</v>
      </c>
      <c r="I1836" s="402">
        <f t="shared" si="169"/>
        <v>26928832.800000001</v>
      </c>
      <c r="J1836" s="643"/>
      <c r="K1836" s="643"/>
      <c r="L1836" s="643"/>
    </row>
    <row r="1837" spans="2:12" hidden="1">
      <c r="B1837" s="156">
        <v>45995</v>
      </c>
      <c r="C1837" s="255" t="s">
        <v>3072</v>
      </c>
      <c r="D1837" s="402">
        <f t="shared" si="158"/>
        <v>21346183.359999999</v>
      </c>
      <c r="E1837" s="376">
        <v>919.46</v>
      </c>
      <c r="F1837" s="401">
        <v>23216</v>
      </c>
      <c r="G1837" s="401">
        <f t="shared" si="167"/>
        <v>865.1</v>
      </c>
      <c r="H1837" s="402">
        <f t="shared" si="168"/>
        <v>-1262021.7599999979</v>
      </c>
      <c r="I1837" s="402">
        <f t="shared" si="169"/>
        <v>20084161.600000001</v>
      </c>
      <c r="J1837" s="643"/>
      <c r="K1837" s="643"/>
      <c r="L1837" s="643"/>
    </row>
    <row r="1838" spans="2:12" hidden="1">
      <c r="B1838" s="156">
        <v>45995</v>
      </c>
      <c r="C1838" s="255" t="s">
        <v>3073</v>
      </c>
      <c r="D1838" s="402">
        <f t="shared" ref="D1838:D1880" si="170">F1838*E1838</f>
        <v>5031285.12</v>
      </c>
      <c r="E1838" s="376">
        <v>919.46</v>
      </c>
      <c r="F1838" s="401">
        <v>5472</v>
      </c>
      <c r="G1838" s="401">
        <f t="shared" si="167"/>
        <v>865.1</v>
      </c>
      <c r="H1838" s="402">
        <f t="shared" si="168"/>
        <v>-297457.91999999993</v>
      </c>
      <c r="I1838" s="402">
        <f t="shared" si="169"/>
        <v>4733827.2</v>
      </c>
      <c r="J1838" s="643"/>
      <c r="K1838" s="643"/>
      <c r="L1838" s="643"/>
    </row>
    <row r="1839" spans="2:12" hidden="1">
      <c r="B1839" s="156">
        <v>45995</v>
      </c>
      <c r="C1839" s="255" t="s">
        <v>3074</v>
      </c>
      <c r="D1839" s="402">
        <f t="shared" si="170"/>
        <v>7466015.2000000002</v>
      </c>
      <c r="E1839" s="376">
        <v>919.46</v>
      </c>
      <c r="F1839" s="401">
        <v>8120</v>
      </c>
      <c r="G1839" s="401">
        <f t="shared" si="167"/>
        <v>865.1</v>
      </c>
      <c r="H1839" s="402">
        <f t="shared" si="168"/>
        <v>-441403.20000000019</v>
      </c>
      <c r="I1839" s="402">
        <f t="shared" si="169"/>
        <v>7024612</v>
      </c>
      <c r="J1839" s="643"/>
      <c r="K1839" s="643"/>
      <c r="L1839" s="643"/>
    </row>
    <row r="1840" spans="2:12" hidden="1">
      <c r="B1840" s="156">
        <v>45995</v>
      </c>
      <c r="C1840" s="255" t="s">
        <v>3075</v>
      </c>
      <c r="D1840" s="402">
        <f t="shared" si="170"/>
        <v>6914339.2000000002</v>
      </c>
      <c r="E1840" s="376">
        <v>919.46</v>
      </c>
      <c r="F1840" s="401">
        <v>7520</v>
      </c>
      <c r="G1840" s="401">
        <f t="shared" si="167"/>
        <v>865.1</v>
      </c>
      <c r="H1840" s="402">
        <f t="shared" si="168"/>
        <v>-408787.20000000019</v>
      </c>
      <c r="I1840" s="402">
        <f t="shared" si="169"/>
        <v>6505552</v>
      </c>
      <c r="J1840" s="643"/>
      <c r="K1840" s="643"/>
      <c r="L1840" s="643"/>
    </row>
    <row r="1841" spans="2:12" hidden="1">
      <c r="B1841" s="156">
        <v>45995</v>
      </c>
      <c r="C1841" s="255" t="s">
        <v>3076</v>
      </c>
      <c r="D1841" s="402">
        <f t="shared" si="170"/>
        <v>15060754.800000001</v>
      </c>
      <c r="E1841" s="376">
        <v>919.46</v>
      </c>
      <c r="F1841" s="401">
        <v>16380</v>
      </c>
      <c r="G1841" s="401">
        <f t="shared" si="167"/>
        <v>865.1</v>
      </c>
      <c r="H1841" s="402">
        <f t="shared" si="168"/>
        <v>-890416.80000000075</v>
      </c>
      <c r="I1841" s="402">
        <f t="shared" si="169"/>
        <v>14170338</v>
      </c>
      <c r="J1841" s="643"/>
      <c r="K1841" s="643"/>
      <c r="L1841" s="643"/>
    </row>
    <row r="1842" spans="2:12" hidden="1">
      <c r="B1842" s="156">
        <v>45995</v>
      </c>
      <c r="C1842" s="255" t="s">
        <v>3077</v>
      </c>
      <c r="D1842" s="402">
        <f t="shared" si="170"/>
        <v>24593716.080000002</v>
      </c>
      <c r="E1842" s="376">
        <v>919.46</v>
      </c>
      <c r="F1842" s="401">
        <v>26748</v>
      </c>
      <c r="G1842" s="401">
        <f t="shared" si="167"/>
        <v>865.1</v>
      </c>
      <c r="H1842" s="402">
        <f t="shared" si="168"/>
        <v>-1454021.2800000012</v>
      </c>
      <c r="I1842" s="402">
        <f t="shared" si="169"/>
        <v>23139694.800000001</v>
      </c>
      <c r="J1842" s="643"/>
      <c r="K1842" s="643"/>
      <c r="L1842" s="643"/>
    </row>
    <row r="1843" spans="2:12" hidden="1">
      <c r="B1843" s="156">
        <v>45996</v>
      </c>
      <c r="C1843" s="255" t="s">
        <v>3078</v>
      </c>
      <c r="D1843" s="402">
        <f t="shared" si="170"/>
        <v>4190436.6</v>
      </c>
      <c r="E1843" s="376">
        <v>918.15</v>
      </c>
      <c r="F1843" s="401">
        <v>4564</v>
      </c>
      <c r="G1843" s="401">
        <f t="shared" si="167"/>
        <v>865.1</v>
      </c>
      <c r="H1843" s="402">
        <f t="shared" si="168"/>
        <v>-242120.20000000019</v>
      </c>
      <c r="I1843" s="402">
        <f t="shared" si="169"/>
        <v>3948316.4</v>
      </c>
      <c r="J1843" s="643"/>
      <c r="K1843" s="643"/>
      <c r="L1843" s="643"/>
    </row>
    <row r="1844" spans="2:12" hidden="1">
      <c r="B1844" s="156">
        <v>45996</v>
      </c>
      <c r="C1844" s="255" t="s">
        <v>3079</v>
      </c>
      <c r="D1844" s="402">
        <f t="shared" si="170"/>
        <v>3944372.4</v>
      </c>
      <c r="E1844" s="376">
        <v>918.15</v>
      </c>
      <c r="F1844" s="401">
        <v>4296</v>
      </c>
      <c r="G1844" s="401">
        <f t="shared" si="167"/>
        <v>865.1</v>
      </c>
      <c r="H1844" s="402">
        <f t="shared" si="168"/>
        <v>-227902.79999999981</v>
      </c>
      <c r="I1844" s="402">
        <f t="shared" si="169"/>
        <v>3716469.6</v>
      </c>
      <c r="J1844" s="643"/>
      <c r="K1844" s="643"/>
      <c r="L1844" s="643"/>
    </row>
    <row r="1845" spans="2:12" hidden="1">
      <c r="B1845" s="156">
        <v>45996</v>
      </c>
      <c r="C1845" s="255" t="s">
        <v>3080</v>
      </c>
      <c r="D1845" s="402">
        <f t="shared" si="170"/>
        <v>1685723.4</v>
      </c>
      <c r="E1845" s="376">
        <v>918.15</v>
      </c>
      <c r="F1845" s="401">
        <v>1836</v>
      </c>
      <c r="G1845" s="401">
        <f t="shared" si="167"/>
        <v>865.1</v>
      </c>
      <c r="H1845" s="402">
        <f t="shared" si="168"/>
        <v>-97399.799999999814</v>
      </c>
      <c r="I1845" s="402">
        <f t="shared" si="169"/>
        <v>1588323.6</v>
      </c>
      <c r="J1845" s="643"/>
      <c r="K1845" s="643"/>
      <c r="L1845" s="643"/>
    </row>
    <row r="1846" spans="2:12" hidden="1">
      <c r="B1846" s="156">
        <v>45996</v>
      </c>
      <c r="C1846" s="255" t="s">
        <v>3081</v>
      </c>
      <c r="D1846" s="402">
        <f t="shared" si="170"/>
        <v>1685723.4</v>
      </c>
      <c r="E1846" s="376">
        <v>918.15</v>
      </c>
      <c r="F1846" s="401">
        <v>1836</v>
      </c>
      <c r="G1846" s="401">
        <f t="shared" si="167"/>
        <v>865.1</v>
      </c>
      <c r="H1846" s="402">
        <f t="shared" si="168"/>
        <v>-97399.799999999814</v>
      </c>
      <c r="I1846" s="402">
        <f t="shared" si="169"/>
        <v>1588323.6</v>
      </c>
      <c r="J1846" s="643"/>
      <c r="K1846" s="643"/>
      <c r="L1846" s="643"/>
    </row>
    <row r="1847" spans="2:12" hidden="1">
      <c r="B1847" s="156">
        <v>45996</v>
      </c>
      <c r="C1847" s="255" t="s">
        <v>3082</v>
      </c>
      <c r="D1847" s="402">
        <f t="shared" si="170"/>
        <v>3177258.0749999997</v>
      </c>
      <c r="E1847" s="376">
        <v>918.15</v>
      </c>
      <c r="F1847" s="401">
        <v>3460.5</v>
      </c>
      <c r="G1847" s="401">
        <f t="shared" si="167"/>
        <v>865.1</v>
      </c>
      <c r="H1847" s="402">
        <f t="shared" si="168"/>
        <v>-183579.52499999944</v>
      </c>
      <c r="I1847" s="402">
        <f t="shared" si="169"/>
        <v>2993678.5500000003</v>
      </c>
      <c r="J1847" s="643"/>
      <c r="K1847" s="643"/>
      <c r="L1847" s="643"/>
    </row>
    <row r="1848" spans="2:12" hidden="1">
      <c r="B1848" s="156">
        <v>45996</v>
      </c>
      <c r="C1848" s="255" t="s">
        <v>3083</v>
      </c>
      <c r="D1848" s="402">
        <f t="shared" si="170"/>
        <v>1059086.0249999999</v>
      </c>
      <c r="E1848" s="376">
        <v>918.15</v>
      </c>
      <c r="F1848" s="401">
        <v>1153.5</v>
      </c>
      <c r="G1848" s="401">
        <f t="shared" si="167"/>
        <v>865.1</v>
      </c>
      <c r="H1848" s="402">
        <f t="shared" si="168"/>
        <v>-61193.17499999993</v>
      </c>
      <c r="I1848" s="402">
        <f t="shared" si="169"/>
        <v>997892.85</v>
      </c>
      <c r="J1848" s="643"/>
      <c r="K1848" s="643"/>
      <c r="L1848" s="643"/>
    </row>
    <row r="1849" spans="2:12" hidden="1">
      <c r="B1849" s="156">
        <v>45996</v>
      </c>
      <c r="C1849" s="255" t="s">
        <v>3084</v>
      </c>
      <c r="D1849" s="402">
        <f t="shared" si="170"/>
        <v>4646646.9720000001</v>
      </c>
      <c r="E1849" s="376">
        <v>918.15</v>
      </c>
      <c r="F1849" s="401">
        <v>5060.88</v>
      </c>
      <c r="G1849" s="401">
        <f t="shared" si="167"/>
        <v>865.1</v>
      </c>
      <c r="H1849" s="402">
        <f t="shared" si="168"/>
        <v>-268479.68399999943</v>
      </c>
      <c r="I1849" s="402">
        <f t="shared" si="169"/>
        <v>4378167.2880000006</v>
      </c>
      <c r="J1849" s="643"/>
      <c r="K1849" s="643"/>
      <c r="L1849" s="643"/>
    </row>
    <row r="1850" spans="2:12" hidden="1">
      <c r="B1850" s="156">
        <v>45996</v>
      </c>
      <c r="C1850" s="255" t="s">
        <v>3085</v>
      </c>
      <c r="D1850" s="402">
        <f t="shared" si="170"/>
        <v>2393066.16</v>
      </c>
      <c r="E1850" s="376">
        <v>918.15</v>
      </c>
      <c r="F1850" s="401">
        <v>2606.4</v>
      </c>
      <c r="G1850" s="401">
        <f t="shared" si="167"/>
        <v>865.1</v>
      </c>
      <c r="H1850" s="402">
        <f t="shared" si="168"/>
        <v>-138269.52000000002</v>
      </c>
      <c r="I1850" s="402">
        <f t="shared" si="169"/>
        <v>2254796.64</v>
      </c>
      <c r="J1850" s="643"/>
      <c r="K1850" s="643"/>
      <c r="L1850" s="643"/>
    </row>
    <row r="1851" spans="2:12" hidden="1">
      <c r="B1851" s="156">
        <v>45996</v>
      </c>
      <c r="C1851" s="255" t="s">
        <v>3086</v>
      </c>
      <c r="D1851" s="402">
        <f t="shared" si="170"/>
        <v>672085.79999999993</v>
      </c>
      <c r="E1851" s="376">
        <v>918.15</v>
      </c>
      <c r="F1851" s="401">
        <v>732</v>
      </c>
      <c r="G1851" s="401">
        <f t="shared" si="167"/>
        <v>865.1</v>
      </c>
      <c r="H1851" s="402">
        <f t="shared" si="168"/>
        <v>-38832.59999999986</v>
      </c>
      <c r="I1851" s="402">
        <f t="shared" si="169"/>
        <v>633253.20000000007</v>
      </c>
      <c r="J1851" s="643"/>
      <c r="K1851" s="643"/>
      <c r="L1851" s="643"/>
    </row>
    <row r="1852" spans="2:12" hidden="1">
      <c r="B1852" s="156">
        <v>45996</v>
      </c>
      <c r="C1852" s="255" t="s">
        <v>3087</v>
      </c>
      <c r="D1852" s="402">
        <f t="shared" si="170"/>
        <v>1096271.0999999999</v>
      </c>
      <c r="E1852" s="376">
        <v>918.15</v>
      </c>
      <c r="F1852" s="401">
        <v>1194</v>
      </c>
      <c r="G1852" s="401">
        <f t="shared" si="167"/>
        <v>865.1</v>
      </c>
      <c r="H1852" s="402">
        <f t="shared" si="168"/>
        <v>-63341.699999999837</v>
      </c>
      <c r="I1852" s="402">
        <f t="shared" si="169"/>
        <v>1032929.4</v>
      </c>
      <c r="J1852" s="643"/>
      <c r="K1852" s="643"/>
      <c r="L1852" s="643"/>
    </row>
    <row r="1853" spans="2:12" hidden="1">
      <c r="B1853" s="156">
        <v>45996</v>
      </c>
      <c r="C1853" s="255" t="s">
        <v>3088</v>
      </c>
      <c r="D1853" s="402">
        <f t="shared" si="170"/>
        <v>1685723.4</v>
      </c>
      <c r="E1853" s="376">
        <v>918.15</v>
      </c>
      <c r="F1853" s="401">
        <v>1836</v>
      </c>
      <c r="G1853" s="401">
        <f t="shared" si="167"/>
        <v>865.1</v>
      </c>
      <c r="H1853" s="402">
        <f t="shared" si="168"/>
        <v>-97399.799999999814</v>
      </c>
      <c r="I1853" s="402">
        <f t="shared" si="169"/>
        <v>1588323.6</v>
      </c>
      <c r="J1853" s="643"/>
      <c r="K1853" s="643"/>
      <c r="L1853" s="643"/>
    </row>
    <row r="1854" spans="2:12" hidden="1">
      <c r="B1854" s="156">
        <v>45996</v>
      </c>
      <c r="C1854" s="255" t="s">
        <v>3089</v>
      </c>
      <c r="D1854" s="402">
        <f t="shared" si="170"/>
        <v>1096271.0999999999</v>
      </c>
      <c r="E1854" s="376">
        <v>918.15</v>
      </c>
      <c r="F1854" s="401">
        <v>1194</v>
      </c>
      <c r="G1854" s="401">
        <f t="shared" si="167"/>
        <v>865.1</v>
      </c>
      <c r="H1854" s="402">
        <f t="shared" si="168"/>
        <v>-63341.699999999837</v>
      </c>
      <c r="I1854" s="402">
        <f t="shared" si="169"/>
        <v>1032929.4</v>
      </c>
      <c r="J1854" s="643"/>
      <c r="K1854" s="643"/>
      <c r="L1854" s="643"/>
    </row>
    <row r="1855" spans="2:12" hidden="1">
      <c r="B1855" s="156">
        <v>45996</v>
      </c>
      <c r="C1855" s="255" t="s">
        <v>3090</v>
      </c>
      <c r="D1855" s="402">
        <f t="shared" si="170"/>
        <v>1685723.4</v>
      </c>
      <c r="E1855" s="376">
        <v>918.15</v>
      </c>
      <c r="F1855" s="401">
        <v>1836</v>
      </c>
      <c r="G1855" s="401">
        <f t="shared" si="167"/>
        <v>865.1</v>
      </c>
      <c r="H1855" s="402">
        <f t="shared" si="168"/>
        <v>-97399.799999999814</v>
      </c>
      <c r="I1855" s="402">
        <f t="shared" si="169"/>
        <v>1588323.6</v>
      </c>
      <c r="J1855" s="643"/>
      <c r="K1855" s="643"/>
      <c r="L1855" s="643"/>
    </row>
    <row r="1856" spans="2:12" hidden="1">
      <c r="B1856" s="156">
        <v>45996</v>
      </c>
      <c r="C1856" s="255" t="s">
        <v>3091</v>
      </c>
      <c r="D1856" s="402">
        <f t="shared" si="170"/>
        <v>1096271.0999999999</v>
      </c>
      <c r="E1856" s="376">
        <v>918.15</v>
      </c>
      <c r="F1856" s="401">
        <v>1194</v>
      </c>
      <c r="G1856" s="401">
        <f t="shared" si="167"/>
        <v>865.1</v>
      </c>
      <c r="H1856" s="402">
        <f t="shared" si="168"/>
        <v>-63341.699999999837</v>
      </c>
      <c r="I1856" s="402">
        <f t="shared" si="169"/>
        <v>1032929.4</v>
      </c>
      <c r="J1856" s="643"/>
      <c r="K1856" s="643"/>
      <c r="L1856" s="643"/>
    </row>
    <row r="1857" spans="2:12" hidden="1">
      <c r="B1857" s="156">
        <v>45996</v>
      </c>
      <c r="C1857" s="255" t="s">
        <v>3092</v>
      </c>
      <c r="D1857" s="402">
        <f t="shared" si="170"/>
        <v>1685723.4</v>
      </c>
      <c r="E1857" s="376">
        <v>918.15</v>
      </c>
      <c r="F1857" s="401">
        <v>1836</v>
      </c>
      <c r="G1857" s="401">
        <f t="shared" si="167"/>
        <v>865.1</v>
      </c>
      <c r="H1857" s="402">
        <f t="shared" si="168"/>
        <v>-97399.799999999814</v>
      </c>
      <c r="I1857" s="402">
        <f t="shared" si="169"/>
        <v>1588323.6</v>
      </c>
      <c r="J1857" s="643"/>
      <c r="K1857" s="643"/>
      <c r="L1857" s="643"/>
    </row>
    <row r="1858" spans="2:12" hidden="1">
      <c r="B1858" s="156">
        <v>45996</v>
      </c>
      <c r="C1858" s="255" t="s">
        <v>3093</v>
      </c>
      <c r="D1858" s="402">
        <f t="shared" si="170"/>
        <v>631687.19999999995</v>
      </c>
      <c r="E1858" s="376">
        <v>918.15</v>
      </c>
      <c r="F1858" s="401">
        <v>688</v>
      </c>
      <c r="G1858" s="401">
        <f t="shared" si="167"/>
        <v>865.1</v>
      </c>
      <c r="H1858" s="402">
        <f t="shared" si="168"/>
        <v>-36498.399999999907</v>
      </c>
      <c r="I1858" s="402">
        <f t="shared" si="169"/>
        <v>595188.80000000005</v>
      </c>
      <c r="J1858" s="643"/>
      <c r="K1858" s="643"/>
      <c r="L1858" s="643"/>
    </row>
    <row r="1859" spans="2:12" hidden="1">
      <c r="B1859" s="156">
        <v>45996</v>
      </c>
      <c r="C1859" s="255" t="s">
        <v>3094</v>
      </c>
      <c r="D1859" s="402">
        <f t="shared" si="170"/>
        <v>7874513.4749999996</v>
      </c>
      <c r="E1859" s="376">
        <v>918.15</v>
      </c>
      <c r="F1859" s="401">
        <v>8576.5</v>
      </c>
      <c r="G1859" s="401">
        <f t="shared" si="167"/>
        <v>865.1</v>
      </c>
      <c r="H1859" s="402">
        <f t="shared" si="168"/>
        <v>-454983.32499999925</v>
      </c>
      <c r="I1859" s="402">
        <f t="shared" si="169"/>
        <v>7419530.1500000004</v>
      </c>
      <c r="J1859" s="643"/>
      <c r="K1859" s="643"/>
      <c r="L1859" s="643"/>
    </row>
    <row r="1860" spans="2:12" hidden="1">
      <c r="B1860" s="156">
        <v>45996</v>
      </c>
      <c r="C1860" s="255" t="s">
        <v>3095</v>
      </c>
      <c r="D1860" s="402">
        <f t="shared" si="170"/>
        <v>7880940.5249999994</v>
      </c>
      <c r="E1860" s="376">
        <v>918.15</v>
      </c>
      <c r="F1860" s="401">
        <v>8583.5</v>
      </c>
      <c r="G1860" s="401">
        <f t="shared" si="167"/>
        <v>865.1</v>
      </c>
      <c r="H1860" s="402">
        <f t="shared" si="168"/>
        <v>-455354.67499999888</v>
      </c>
      <c r="I1860" s="402">
        <f t="shared" si="169"/>
        <v>7425585.8500000006</v>
      </c>
      <c r="J1860" s="643"/>
      <c r="K1860" s="643"/>
      <c r="L1860" s="643"/>
    </row>
    <row r="1861" spans="2:12" hidden="1">
      <c r="B1861" s="156">
        <v>45996</v>
      </c>
      <c r="C1861" s="255" t="s">
        <v>3096</v>
      </c>
      <c r="D1861" s="402">
        <f t="shared" si="170"/>
        <v>2276552.9249999998</v>
      </c>
      <c r="E1861" s="376">
        <v>918.15</v>
      </c>
      <c r="F1861" s="401">
        <v>2479.5</v>
      </c>
      <c r="G1861" s="401">
        <f t="shared" si="167"/>
        <v>865.1</v>
      </c>
      <c r="H1861" s="402">
        <f t="shared" si="168"/>
        <v>-131537.47499999963</v>
      </c>
      <c r="I1861" s="402">
        <f t="shared" si="169"/>
        <v>2145015.4500000002</v>
      </c>
      <c r="J1861" s="643"/>
      <c r="K1861" s="643"/>
      <c r="L1861" s="643"/>
    </row>
    <row r="1862" spans="2:12" hidden="1">
      <c r="B1862" s="156">
        <v>45996</v>
      </c>
      <c r="C1862" s="255" t="s">
        <v>3097</v>
      </c>
      <c r="D1862" s="402">
        <f t="shared" si="170"/>
        <v>3011991.0749999997</v>
      </c>
      <c r="E1862" s="376">
        <v>918.15</v>
      </c>
      <c r="F1862" s="401">
        <v>3280.5</v>
      </c>
      <c r="G1862" s="401">
        <f t="shared" si="167"/>
        <v>865.1</v>
      </c>
      <c r="H1862" s="402">
        <f t="shared" si="168"/>
        <v>-174030.52499999944</v>
      </c>
      <c r="I1862" s="402">
        <f t="shared" si="169"/>
        <v>2837960.5500000003</v>
      </c>
      <c r="J1862" s="643"/>
      <c r="K1862" s="643"/>
      <c r="L1862" s="643"/>
    </row>
    <row r="1863" spans="2:12" hidden="1">
      <c r="B1863" s="156">
        <v>45996</v>
      </c>
      <c r="C1863" s="255" t="s">
        <v>3098</v>
      </c>
      <c r="D1863" s="402">
        <f t="shared" si="170"/>
        <v>1321034.22</v>
      </c>
      <c r="E1863" s="376">
        <v>918.15</v>
      </c>
      <c r="F1863" s="401">
        <v>1438.8</v>
      </c>
      <c r="G1863" s="401">
        <f t="shared" si="167"/>
        <v>865.1</v>
      </c>
      <c r="H1863" s="402">
        <f t="shared" si="168"/>
        <v>-76328.340000000084</v>
      </c>
      <c r="I1863" s="402">
        <f t="shared" si="169"/>
        <v>1244705.8799999999</v>
      </c>
      <c r="J1863" s="643"/>
      <c r="K1863" s="643"/>
      <c r="L1863" s="643"/>
    </row>
    <row r="1864" spans="2:12" hidden="1">
      <c r="B1864" s="156">
        <v>45996</v>
      </c>
      <c r="C1864" s="255" t="s">
        <v>3099</v>
      </c>
      <c r="D1864" s="402">
        <f t="shared" si="170"/>
        <v>599092.875</v>
      </c>
      <c r="E1864" s="376">
        <v>918.15</v>
      </c>
      <c r="F1864" s="401">
        <v>652.5</v>
      </c>
      <c r="G1864" s="401">
        <f t="shared" si="167"/>
        <v>865.1</v>
      </c>
      <c r="H1864" s="402">
        <f t="shared" si="168"/>
        <v>-34615.125</v>
      </c>
      <c r="I1864" s="402">
        <f t="shared" si="169"/>
        <v>564477.75</v>
      </c>
      <c r="J1864" s="643"/>
      <c r="K1864" s="643"/>
      <c r="L1864" s="643"/>
    </row>
    <row r="1865" spans="2:12" hidden="1">
      <c r="B1865" s="156">
        <v>45996</v>
      </c>
      <c r="C1865" s="255" t="s">
        <v>3100</v>
      </c>
      <c r="D1865" s="402">
        <f t="shared" si="170"/>
        <v>20247961.949999999</v>
      </c>
      <c r="E1865" s="376">
        <v>918.15</v>
      </c>
      <c r="F1865" s="401">
        <v>22053</v>
      </c>
      <c r="G1865" s="401">
        <f t="shared" si="167"/>
        <v>865.1</v>
      </c>
      <c r="H1865" s="402">
        <f t="shared" si="168"/>
        <v>-1169911.6499999985</v>
      </c>
      <c r="I1865" s="402">
        <f t="shared" si="169"/>
        <v>19078050.300000001</v>
      </c>
      <c r="J1865" s="643"/>
      <c r="K1865" s="643"/>
      <c r="L1865" s="643"/>
    </row>
    <row r="1866" spans="2:12" hidden="1">
      <c r="B1866" s="156">
        <v>45996</v>
      </c>
      <c r="C1866" s="255" t="s">
        <v>3101</v>
      </c>
      <c r="D1866" s="402">
        <f t="shared" si="170"/>
        <v>1530096.9749999999</v>
      </c>
      <c r="E1866" s="376">
        <v>918.15</v>
      </c>
      <c r="F1866" s="401">
        <v>1666.5</v>
      </c>
      <c r="G1866" s="401">
        <f t="shared" si="167"/>
        <v>865.1</v>
      </c>
      <c r="H1866" s="402">
        <f t="shared" si="168"/>
        <v>-88407.824999999721</v>
      </c>
      <c r="I1866" s="402">
        <f t="shared" si="169"/>
        <v>1441689.1500000001</v>
      </c>
      <c r="J1866" s="643"/>
      <c r="K1866" s="643"/>
      <c r="L1866" s="643"/>
    </row>
    <row r="1867" spans="2:12" hidden="1">
      <c r="B1867" s="156">
        <v>45996</v>
      </c>
      <c r="C1867" s="255" t="s">
        <v>3102</v>
      </c>
      <c r="D1867" s="402">
        <f t="shared" si="170"/>
        <v>6392160.2999999998</v>
      </c>
      <c r="E1867" s="376">
        <v>918.15</v>
      </c>
      <c r="F1867" s="401">
        <v>6962</v>
      </c>
      <c r="G1867" s="401">
        <f t="shared" si="167"/>
        <v>865.1</v>
      </c>
      <c r="H1867" s="402">
        <f t="shared" si="168"/>
        <v>-369334.09999999963</v>
      </c>
      <c r="I1867" s="402">
        <f t="shared" si="169"/>
        <v>6022826.2000000002</v>
      </c>
      <c r="J1867" s="643"/>
      <c r="K1867" s="643"/>
      <c r="L1867" s="643"/>
    </row>
    <row r="1868" spans="2:12" hidden="1">
      <c r="B1868" s="156">
        <v>45996</v>
      </c>
      <c r="C1868" s="255" t="s">
        <v>3103</v>
      </c>
      <c r="D1868" s="402">
        <f t="shared" si="170"/>
        <v>7635335.3999999994</v>
      </c>
      <c r="E1868" s="376">
        <v>918.15</v>
      </c>
      <c r="F1868" s="401">
        <v>8316</v>
      </c>
      <c r="G1868" s="401">
        <f t="shared" si="167"/>
        <v>865.1</v>
      </c>
      <c r="H1868" s="402">
        <f t="shared" si="168"/>
        <v>-441163.79999999888</v>
      </c>
      <c r="I1868" s="402">
        <f t="shared" si="169"/>
        <v>7194171.6000000006</v>
      </c>
      <c r="J1868" s="643"/>
      <c r="K1868" s="643"/>
      <c r="L1868" s="643"/>
    </row>
    <row r="1869" spans="2:12" hidden="1">
      <c r="B1869" s="156">
        <v>45996</v>
      </c>
      <c r="C1869" s="255" t="s">
        <v>3104</v>
      </c>
      <c r="D1869" s="402">
        <f t="shared" si="170"/>
        <v>6410982.375</v>
      </c>
      <c r="E1869" s="376">
        <v>918.15</v>
      </c>
      <c r="F1869" s="401">
        <v>6982.5</v>
      </c>
      <c r="G1869" s="401">
        <f t="shared" si="167"/>
        <v>865.1</v>
      </c>
      <c r="H1869" s="402">
        <f t="shared" si="168"/>
        <v>-370421.625</v>
      </c>
      <c r="I1869" s="402">
        <f t="shared" si="169"/>
        <v>6040560.75</v>
      </c>
      <c r="J1869" s="643"/>
      <c r="K1869" s="643"/>
      <c r="L1869" s="643"/>
    </row>
    <row r="1870" spans="2:12" hidden="1">
      <c r="B1870" s="156">
        <v>45996</v>
      </c>
      <c r="C1870" s="255" t="s">
        <v>3105</v>
      </c>
      <c r="D1870" s="402">
        <f t="shared" si="170"/>
        <v>7277256.8999999994</v>
      </c>
      <c r="E1870" s="376">
        <v>918.15</v>
      </c>
      <c r="F1870" s="401">
        <v>7926</v>
      </c>
      <c r="G1870" s="401">
        <f t="shared" si="167"/>
        <v>865.1</v>
      </c>
      <c r="H1870" s="402">
        <f t="shared" si="168"/>
        <v>-420474.29999999888</v>
      </c>
      <c r="I1870" s="402">
        <f t="shared" si="169"/>
        <v>6856782.6000000006</v>
      </c>
      <c r="J1870" s="643"/>
      <c r="K1870" s="643"/>
      <c r="L1870" s="643"/>
    </row>
    <row r="1871" spans="2:12" hidden="1">
      <c r="B1871" s="156">
        <v>45996</v>
      </c>
      <c r="C1871" s="255" t="s">
        <v>3106</v>
      </c>
      <c r="D1871" s="402">
        <f t="shared" si="170"/>
        <v>6392160.2999999998</v>
      </c>
      <c r="E1871" s="376">
        <v>918.15</v>
      </c>
      <c r="F1871" s="401">
        <v>6962</v>
      </c>
      <c r="G1871" s="401">
        <f t="shared" si="167"/>
        <v>865.1</v>
      </c>
      <c r="H1871" s="402">
        <f t="shared" si="168"/>
        <v>-369334.09999999963</v>
      </c>
      <c r="I1871" s="402">
        <f t="shared" si="169"/>
        <v>6022826.2000000002</v>
      </c>
      <c r="J1871" s="643"/>
      <c r="K1871" s="643"/>
      <c r="L1871" s="643"/>
    </row>
    <row r="1872" spans="2:12" hidden="1">
      <c r="B1872" s="156">
        <v>45996</v>
      </c>
      <c r="C1872" s="255" t="s">
        <v>3107</v>
      </c>
      <c r="D1872" s="402">
        <f t="shared" si="170"/>
        <v>7257975.75</v>
      </c>
      <c r="E1872" s="376">
        <v>918.15</v>
      </c>
      <c r="F1872" s="401">
        <v>7905</v>
      </c>
      <c r="G1872" s="401">
        <f t="shared" si="167"/>
        <v>865.1</v>
      </c>
      <c r="H1872" s="402">
        <f t="shared" si="168"/>
        <v>-419360.25</v>
      </c>
      <c r="I1872" s="402">
        <f t="shared" si="169"/>
        <v>6838615.5</v>
      </c>
      <c r="J1872" s="643"/>
      <c r="K1872" s="643"/>
      <c r="L1872" s="643"/>
    </row>
    <row r="1873" spans="2:15" hidden="1">
      <c r="B1873" s="156">
        <v>46013</v>
      </c>
      <c r="C1873" s="255" t="s">
        <v>3108</v>
      </c>
      <c r="D1873" s="402">
        <f t="shared" si="170"/>
        <v>12927859.199999999</v>
      </c>
      <c r="E1873" s="376">
        <v>909.9</v>
      </c>
      <c r="F1873" s="401">
        <v>14208</v>
      </c>
      <c r="G1873" s="401">
        <f t="shared" si="167"/>
        <v>865.1</v>
      </c>
      <c r="H1873" s="402">
        <f t="shared" si="168"/>
        <v>-636518.39999999851</v>
      </c>
      <c r="I1873" s="402">
        <f t="shared" si="169"/>
        <v>12291340.800000001</v>
      </c>
      <c r="J1873" s="643"/>
      <c r="K1873" s="643"/>
      <c r="L1873" s="643"/>
    </row>
    <row r="1874" spans="2:15" hidden="1">
      <c r="B1874" s="156">
        <v>46014</v>
      </c>
      <c r="C1874" s="255" t="s">
        <v>3109</v>
      </c>
      <c r="D1874" s="402">
        <f t="shared" si="170"/>
        <v>10660982.4</v>
      </c>
      <c r="E1874" s="376">
        <v>908.4</v>
      </c>
      <c r="F1874" s="401">
        <v>11736</v>
      </c>
      <c r="G1874" s="401">
        <f t="shared" si="167"/>
        <v>865.1</v>
      </c>
      <c r="H1874" s="402">
        <f t="shared" si="168"/>
        <v>-508168.80000000075</v>
      </c>
      <c r="I1874" s="402">
        <f t="shared" si="169"/>
        <v>10152813.6</v>
      </c>
      <c r="J1874" s="643"/>
      <c r="K1874" s="643"/>
      <c r="L1874" s="643"/>
    </row>
    <row r="1875" spans="2:15" hidden="1">
      <c r="B1875" s="156">
        <v>46002</v>
      </c>
      <c r="C1875" s="255" t="s">
        <v>3110</v>
      </c>
      <c r="D1875" s="402">
        <f t="shared" si="170"/>
        <v>5109128.7857999997</v>
      </c>
      <c r="E1875" s="376">
        <v>923.99</v>
      </c>
      <c r="F1875" s="401">
        <v>5529.42</v>
      </c>
      <c r="G1875" s="401">
        <f t="shared" si="167"/>
        <v>865.1</v>
      </c>
      <c r="H1875" s="402">
        <f t="shared" si="168"/>
        <v>-325627.54379999917</v>
      </c>
      <c r="I1875" s="402">
        <f t="shared" si="169"/>
        <v>4783501.2420000006</v>
      </c>
      <c r="J1875" s="643"/>
      <c r="K1875" s="643"/>
      <c r="L1875" s="643"/>
    </row>
    <row r="1876" spans="2:15">
      <c r="B1876" s="156">
        <v>46022</v>
      </c>
      <c r="C1876" s="255" t="s">
        <v>673</v>
      </c>
      <c r="D1876" s="402">
        <f t="shared" si="170"/>
        <v>1866415.9999563398</v>
      </c>
      <c r="E1876" s="376">
        <v>907.13</v>
      </c>
      <c r="F1876" s="401">
        <v>2057.4956179999999</v>
      </c>
      <c r="G1876" s="401">
        <f>+G1605</f>
        <v>865.1</v>
      </c>
      <c r="H1876" s="402">
        <f t="shared" ref="H1876" si="171">+I1876-D1876</f>
        <v>-86476.540824539959</v>
      </c>
      <c r="I1876" s="402">
        <f t="shared" ref="I1876" si="172">+F1876*G1876</f>
        <v>1779939.4591317999</v>
      </c>
      <c r="J1876" s="643"/>
      <c r="K1876" s="643"/>
      <c r="L1876" s="643"/>
    </row>
    <row r="1877" spans="2:15">
      <c r="B1877" s="156">
        <v>46034</v>
      </c>
      <c r="C1877" s="255" t="s">
        <v>3066</v>
      </c>
      <c r="D1877" s="402">
        <f t="shared" si="170"/>
        <v>1128380.3999999999</v>
      </c>
      <c r="E1877" s="376">
        <v>895.54</v>
      </c>
      <c r="F1877" s="401">
        <v>1260</v>
      </c>
      <c r="G1877" s="401">
        <f>+G1876</f>
        <v>865.1</v>
      </c>
      <c r="H1877" s="402">
        <f t="shared" ref="H1877:H1880" si="173">+I1877-D1877</f>
        <v>-38354.399999999907</v>
      </c>
      <c r="I1877" s="402">
        <f t="shared" ref="I1877:I1880" si="174">+F1877*G1877</f>
        <v>1090026</v>
      </c>
      <c r="J1877" s="643"/>
      <c r="K1877" s="643"/>
      <c r="L1877" s="643"/>
    </row>
    <row r="1878" spans="2:15">
      <c r="B1878" s="156">
        <v>46048</v>
      </c>
      <c r="C1878" s="255" t="s">
        <v>3067</v>
      </c>
      <c r="D1878" s="402">
        <f t="shared" si="170"/>
        <v>5266054.08</v>
      </c>
      <c r="E1878" s="376">
        <v>870.71</v>
      </c>
      <c r="F1878" s="401">
        <v>6048</v>
      </c>
      <c r="G1878" s="401">
        <f>+G1877</f>
        <v>865.1</v>
      </c>
      <c r="H1878" s="402">
        <f t="shared" si="173"/>
        <v>-33929.280000000261</v>
      </c>
      <c r="I1878" s="402">
        <f t="shared" si="174"/>
        <v>5232124.8</v>
      </c>
      <c r="J1878" s="643"/>
      <c r="K1878" s="643"/>
      <c r="L1878" s="643"/>
    </row>
    <row r="1879" spans="2:15">
      <c r="B1879" s="156">
        <v>46048</v>
      </c>
      <c r="C1879" s="255" t="s">
        <v>3068</v>
      </c>
      <c r="D1879" s="402">
        <f t="shared" si="170"/>
        <v>4356614.8992000008</v>
      </c>
      <c r="E1879" s="376">
        <v>870.71</v>
      </c>
      <c r="F1879" s="401">
        <v>5003.5200000000004</v>
      </c>
      <c r="G1879" s="401">
        <f>+G1878</f>
        <v>865.1</v>
      </c>
      <c r="H1879" s="402">
        <f t="shared" si="173"/>
        <v>-28069.7472000001</v>
      </c>
      <c r="I1879" s="402">
        <f t="shared" si="174"/>
        <v>4328545.1520000007</v>
      </c>
      <c r="J1879" s="643"/>
      <c r="K1879" s="643"/>
      <c r="L1879" s="643"/>
    </row>
    <row r="1880" spans="2:15">
      <c r="B1880" s="156">
        <v>46049</v>
      </c>
      <c r="C1880" s="255" t="s">
        <v>3069</v>
      </c>
      <c r="D1880" s="402">
        <f t="shared" si="170"/>
        <v>20224799.280000001</v>
      </c>
      <c r="E1880" s="376">
        <v>862.98</v>
      </c>
      <c r="F1880" s="401">
        <v>23436</v>
      </c>
      <c r="G1880" s="401">
        <f>+G1879</f>
        <v>865.1</v>
      </c>
      <c r="H1880" s="402">
        <f t="shared" si="173"/>
        <v>49684.320000000298</v>
      </c>
      <c r="I1880" s="402">
        <f t="shared" si="174"/>
        <v>20274483.600000001</v>
      </c>
      <c r="J1880" s="643"/>
      <c r="K1880" s="643"/>
      <c r="L1880" s="643"/>
    </row>
    <row r="1881" spans="2:15">
      <c r="B1881" s="156">
        <v>46053</v>
      </c>
      <c r="C1881" s="255" t="s">
        <v>673</v>
      </c>
      <c r="D1881" s="402">
        <f t="shared" si="156"/>
        <v>-295828108.02800006</v>
      </c>
      <c r="E1881" s="376">
        <v>865.1</v>
      </c>
      <c r="F1881" s="401">
        <v>-341958.28</v>
      </c>
      <c r="G1881" s="401">
        <f>+G1880</f>
        <v>865.1</v>
      </c>
      <c r="H1881" s="402">
        <f t="shared" si="168"/>
        <v>0</v>
      </c>
      <c r="I1881" s="402">
        <f t="shared" si="169"/>
        <v>-295828108.02800006</v>
      </c>
      <c r="J1881" s="643"/>
      <c r="K1881" s="643"/>
      <c r="L1881" s="643"/>
    </row>
    <row r="1882" spans="2:15">
      <c r="B1882" s="850" t="s">
        <v>206</v>
      </c>
      <c r="C1882" s="850"/>
      <c r="D1882" s="420">
        <f>SUM(D94:D1881)</f>
        <v>214377973.42275935</v>
      </c>
      <c r="E1882" s="414"/>
      <c r="F1882" s="614">
        <f>SUM(F94:F1881)</f>
        <v>249297.68899634387</v>
      </c>
      <c r="G1882" s="413"/>
      <c r="H1882" s="420">
        <f>SUM(H94:H1881)</f>
        <v>1132562.1279777992</v>
      </c>
      <c r="I1882" s="420">
        <f>F1882*G1881-3</f>
        <v>215667427.7507371</v>
      </c>
      <c r="J1882" s="740" t="s">
        <v>2430</v>
      </c>
      <c r="K1882" s="645"/>
      <c r="L1882" s="645"/>
      <c r="M1882" s="405"/>
      <c r="N1882" s="405"/>
      <c r="O1882" s="405"/>
    </row>
    <row r="1883" spans="2:15">
      <c r="D1883" s="559"/>
      <c r="E1883" s="293"/>
      <c r="F1883" s="408"/>
      <c r="G1883" s="658"/>
      <c r="H1883" s="293"/>
      <c r="I1883" s="559"/>
      <c r="J1883" s="405"/>
      <c r="K1883" s="657"/>
      <c r="L1883" s="643"/>
    </row>
    <row r="1884" spans="2:15">
      <c r="D1884" s="559"/>
      <c r="E1884" s="293"/>
      <c r="F1884" s="408"/>
      <c r="G1884" s="658"/>
      <c r="H1884" s="293"/>
      <c r="I1884" s="293"/>
      <c r="K1884" s="650"/>
      <c r="L1884" s="643"/>
    </row>
    <row r="1885" spans="2:15">
      <c r="D1885" s="559"/>
      <c r="E1885" s="438"/>
      <c r="F1885" s="615"/>
      <c r="G1885" s="658"/>
      <c r="H1885" s="293"/>
      <c r="I1885" s="405"/>
      <c r="K1885" s="650"/>
      <c r="L1885" s="643"/>
    </row>
    <row r="1886" spans="2:15">
      <c r="D1886" s="559"/>
      <c r="E1886" s="438">
        <v>734703602</v>
      </c>
      <c r="F1886" s="615">
        <v>770881.05</v>
      </c>
      <c r="G1886" s="658"/>
      <c r="H1886" s="293"/>
      <c r="I1886" s="293"/>
      <c r="K1886" s="650"/>
      <c r="L1886" s="643"/>
    </row>
    <row r="1887" spans="2:15">
      <c r="D1887" s="559"/>
      <c r="E1887" s="490">
        <f>+E1886+D1605+D1606+D1607+D1608+D1609+D1610</f>
        <v>748157938.02799988</v>
      </c>
      <c r="F1887" s="615">
        <f>+F1886+F1605+F1606+F1607+F1608+F1609+F1610</f>
        <v>785102.25</v>
      </c>
      <c r="G1887" s="659"/>
      <c r="H1887" s="650"/>
      <c r="I1887" s="650"/>
      <c r="J1887" s="650"/>
      <c r="K1887" s="650"/>
      <c r="L1887" s="643"/>
    </row>
    <row r="1888" spans="2:15">
      <c r="D1888" s="559"/>
      <c r="E1888" s="490">
        <f>+E1887+D1611+D1612+D1613</f>
        <v>762654228.16639996</v>
      </c>
      <c r="F1888" s="615">
        <f>+F1887+F1611+F1612+F1613</f>
        <v>800561.45</v>
      </c>
      <c r="G1888" s="659"/>
      <c r="H1888" s="650"/>
      <c r="I1888" s="650"/>
      <c r="J1888" s="650"/>
      <c r="K1888" s="650"/>
      <c r="L1888" s="643"/>
    </row>
    <row r="1889" spans="4:11">
      <c r="D1889" s="559"/>
      <c r="E1889" s="293"/>
      <c r="F1889" s="408"/>
      <c r="G1889" s="658"/>
      <c r="H1889" s="650"/>
      <c r="I1889" s="650"/>
      <c r="J1889" s="650"/>
      <c r="K1889" s="650"/>
    </row>
    <row r="1890" spans="4:11">
      <c r="D1890" s="559"/>
      <c r="E1890" s="293"/>
      <c r="F1890" s="408"/>
      <c r="G1890" s="658"/>
      <c r="H1890" s="650"/>
      <c r="I1890" s="650"/>
      <c r="J1890" s="650"/>
      <c r="K1890" s="650"/>
    </row>
    <row r="1891" spans="4:11">
      <c r="G1891" s="658"/>
      <c r="H1891" s="650"/>
      <c r="I1891" s="650"/>
      <c r="J1891" s="650"/>
      <c r="K1891" s="650"/>
    </row>
    <row r="1892" spans="4:11">
      <c r="E1892" s="589"/>
      <c r="G1892" s="658"/>
      <c r="H1892" s="650"/>
      <c r="I1892" s="650"/>
      <c r="J1892" s="650"/>
      <c r="K1892" s="650"/>
    </row>
    <row r="1893" spans="4:11">
      <c r="G1893" s="658"/>
      <c r="H1893" s="650"/>
      <c r="I1893" s="650"/>
      <c r="J1893" s="650"/>
      <c r="K1893" s="650"/>
    </row>
  </sheetData>
  <mergeCells count="10">
    <mergeCell ref="B1:I1"/>
    <mergeCell ref="B2:I2"/>
    <mergeCell ref="B3:I3"/>
    <mergeCell ref="B1882:C1882"/>
    <mergeCell ref="B15:B26"/>
    <mergeCell ref="B27:B39"/>
    <mergeCell ref="B41:C41"/>
    <mergeCell ref="G15:G26"/>
    <mergeCell ref="G27:G39"/>
    <mergeCell ref="G41:H41"/>
  </mergeCells>
  <phoneticPr fontId="40" type="noConversion"/>
  <hyperlinks>
    <hyperlink ref="A1" location="'Balance 8 Columnas'!A1" display="'Balance 8 Columnas'!A1" xr:uid="{D335D337-BF2F-4586-9644-B0E2F209273A}"/>
  </hyperlinks>
  <pageMargins left="0.70866141732283472" right="0.70866141732283472" top="0.74803149606299213" bottom="0.74803149606299213" header="0.31496062992125984" footer="0.31496062992125984"/>
  <pageSetup scale="47" orientation="landscape" r:id="rId1"/>
  <headerFooter>
    <oddFooter>&amp;C_x000D_&amp;1#&amp;"Calibri"&amp;10&amp;K000000 Calificación: Publico, apto para su distribución</oddFooter>
  </headerFooter>
  <ignoredErrors>
    <ignoredError sqref="E60" formula="1"/>
    <ignoredError sqref="D27" formulaRange="1"/>
  </ignoredErrors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7">
    <tabColor rgb="FF002060"/>
  </sheetPr>
  <dimension ref="A1:U84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3.296875" style="80" customWidth="1"/>
    <col min="2" max="2" width="53.296875" style="138" bestFit="1" customWidth="1"/>
    <col min="3" max="3" width="14.09765625" style="80" bestFit="1" customWidth="1"/>
    <col min="4" max="4" width="15" style="80" customWidth="1"/>
    <col min="5" max="7" width="14.3984375" style="293" customWidth="1"/>
    <col min="8" max="8" width="14.3984375" style="80" customWidth="1"/>
    <col min="9" max="17" width="14.3984375" style="80"/>
    <col min="18" max="18" width="14.3984375" style="293"/>
    <col min="19" max="16384" width="14.3984375" style="80"/>
  </cols>
  <sheetData>
    <row r="1" spans="1:17" ht="20.95">
      <c r="A1" s="431" t="s">
        <v>590</v>
      </c>
      <c r="B1" s="849" t="s">
        <v>195</v>
      </c>
      <c r="C1" s="810"/>
      <c r="D1" s="810"/>
      <c r="G1" s="332">
        <f ca="1">+C10-'Balance Clasificado'!D16</f>
        <v>0</v>
      </c>
    </row>
    <row r="2" spans="1:17">
      <c r="B2" s="811" t="s">
        <v>514</v>
      </c>
      <c r="C2" s="811"/>
      <c r="D2" s="811"/>
      <c r="E2" s="294"/>
    </row>
    <row r="3" spans="1:17">
      <c r="B3" s="821" t="str">
        <f>+'Deudores Diversos'!B3:F3</f>
        <v>Al 31 de enero de 2026</v>
      </c>
      <c r="C3" s="811"/>
      <c r="D3" s="811"/>
    </row>
    <row r="4" spans="1:17">
      <c r="B4" s="78"/>
      <c r="C4" s="78"/>
      <c r="D4" s="78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7">
      <c r="B5" s="97" t="s">
        <v>515</v>
      </c>
      <c r="C5" s="78"/>
      <c r="D5" s="78"/>
      <c r="F5" s="306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7" ht="14">
      <c r="B6" s="72" t="s">
        <v>62</v>
      </c>
      <c r="C6" s="72" t="s">
        <v>153</v>
      </c>
      <c r="D6" s="78"/>
      <c r="E6" s="295"/>
      <c r="F6" s="80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7" hidden="1">
      <c r="B7" s="126" t="s">
        <v>187</v>
      </c>
      <c r="C7" s="143">
        <f>+D18</f>
        <v>0</v>
      </c>
      <c r="D7" s="78"/>
      <c r="F7" s="80"/>
      <c r="G7" s="312"/>
      <c r="H7" s="312"/>
      <c r="I7" s="312"/>
      <c r="J7" s="312"/>
      <c r="K7" s="312"/>
      <c r="L7" s="312"/>
      <c r="M7" s="312"/>
      <c r="N7" s="312"/>
      <c r="O7" s="312"/>
      <c r="Q7" s="306"/>
    </row>
    <row r="8" spans="1:17" hidden="1">
      <c r="B8" s="126" t="str">
        <f>+B21</f>
        <v>PAGOS PROVISIONALES MENSUALES</v>
      </c>
      <c r="C8" s="143">
        <f>+D25</f>
        <v>0</v>
      </c>
      <c r="D8" s="78"/>
      <c r="E8" s="80"/>
      <c r="F8" s="80"/>
      <c r="G8" s="80"/>
      <c r="I8" s="320"/>
      <c r="J8" s="320"/>
      <c r="K8" s="321"/>
      <c r="P8" s="306"/>
      <c r="Q8" s="306"/>
    </row>
    <row r="9" spans="1:17">
      <c r="B9" s="126" t="s">
        <v>192</v>
      </c>
      <c r="C9" s="143">
        <f>+D32</f>
        <v>357340940</v>
      </c>
      <c r="D9" s="78"/>
      <c r="E9" s="80"/>
      <c r="F9" s="80"/>
      <c r="G9" s="80"/>
      <c r="I9" s="320"/>
      <c r="J9" s="320"/>
      <c r="K9" s="321"/>
      <c r="P9" s="306"/>
      <c r="Q9" s="306"/>
    </row>
    <row r="10" spans="1:17">
      <c r="B10" s="128" t="s">
        <v>516</v>
      </c>
      <c r="C10" s="129">
        <f>SUM(C7:C9)</f>
        <v>357340940</v>
      </c>
      <c r="D10" s="78"/>
      <c r="E10" s="80"/>
      <c r="F10" s="80"/>
      <c r="G10" s="80"/>
      <c r="P10" s="306"/>
      <c r="Q10" s="306"/>
    </row>
    <row r="11" spans="1:17">
      <c r="B11" s="78"/>
      <c r="D11" s="78"/>
      <c r="E11" s="80"/>
      <c r="F11" s="80"/>
      <c r="G11" s="80"/>
      <c r="I11" s="267"/>
      <c r="J11" s="267"/>
      <c r="K11" s="267"/>
      <c r="L11" s="267"/>
      <c r="M11" s="267"/>
      <c r="P11" s="306"/>
      <c r="Q11" s="306"/>
    </row>
    <row r="12" spans="1:17">
      <c r="B12" s="97" t="s">
        <v>517</v>
      </c>
      <c r="C12" s="78"/>
      <c r="D12" s="78"/>
      <c r="E12" s="80"/>
      <c r="F12" s="80"/>
      <c r="G12" s="80"/>
      <c r="I12" s="267"/>
      <c r="J12" s="267"/>
      <c r="K12" s="267"/>
      <c r="L12" s="267"/>
      <c r="M12" s="267"/>
      <c r="P12" s="306"/>
      <c r="Q12" s="306"/>
    </row>
    <row r="13" spans="1:17" ht="15.75" customHeight="1">
      <c r="B13" s="78"/>
      <c r="C13" s="78"/>
      <c r="D13" s="78"/>
      <c r="E13" s="80"/>
      <c r="F13" s="146"/>
      <c r="G13" s="80"/>
      <c r="H13" s="147"/>
      <c r="I13" s="267"/>
      <c r="J13" s="322"/>
      <c r="K13" s="322"/>
      <c r="L13" s="322"/>
      <c r="M13" s="322"/>
      <c r="N13" s="312"/>
      <c r="P13" s="306"/>
      <c r="Q13" s="306"/>
    </row>
    <row r="14" spans="1:17" ht="15.75" hidden="1" customHeight="1">
      <c r="B14" s="130" t="s">
        <v>188</v>
      </c>
      <c r="C14" s="130"/>
      <c r="D14" s="130"/>
      <c r="E14" s="80"/>
      <c r="F14" s="80"/>
      <c r="G14" s="80"/>
      <c r="I14" s="267"/>
      <c r="J14" s="322"/>
      <c r="K14" s="322"/>
      <c r="L14" s="322"/>
      <c r="M14" s="322"/>
      <c r="N14" s="312"/>
      <c r="P14" s="306"/>
      <c r="Q14" s="306"/>
    </row>
    <row r="15" spans="1:17" ht="15.75" hidden="1" customHeight="1">
      <c r="B15" s="857" t="s">
        <v>145</v>
      </c>
      <c r="C15" s="132" t="s">
        <v>156</v>
      </c>
      <c r="D15" s="148" t="s">
        <v>189</v>
      </c>
      <c r="E15" s="80"/>
      <c r="F15" s="315"/>
      <c r="G15" s="80"/>
      <c r="I15" s="267"/>
      <c r="J15" s="322"/>
      <c r="K15" s="322"/>
      <c r="L15" s="322"/>
      <c r="M15" s="322"/>
      <c r="N15" s="312"/>
      <c r="P15" s="306"/>
      <c r="Q15" s="306"/>
    </row>
    <row r="16" spans="1:17" ht="15.75" hidden="1" customHeight="1">
      <c r="B16" s="858"/>
      <c r="C16" s="149"/>
      <c r="D16" s="134" t="s">
        <v>190</v>
      </c>
      <c r="E16" s="80"/>
      <c r="F16" s="147"/>
      <c r="G16" s="80"/>
      <c r="H16" s="147"/>
      <c r="I16" s="267"/>
      <c r="J16" s="322"/>
      <c r="K16" s="322"/>
      <c r="L16" s="322"/>
      <c r="M16" s="322"/>
      <c r="N16" s="312"/>
      <c r="P16" s="306"/>
      <c r="Q16" s="306"/>
    </row>
    <row r="17" spans="2:21" ht="15.75" hidden="1" customHeight="1">
      <c r="B17" s="151" t="s">
        <v>334</v>
      </c>
      <c r="C17" s="266">
        <v>44316</v>
      </c>
      <c r="D17" s="152">
        <v>0</v>
      </c>
      <c r="E17" s="80"/>
      <c r="F17" s="316"/>
      <c r="G17" s="147"/>
      <c r="I17" s="267"/>
      <c r="J17" s="322">
        <v>830761</v>
      </c>
      <c r="K17" s="322">
        <v>1.6E-2</v>
      </c>
      <c r="L17" s="322">
        <f>+J17*K17</f>
        <v>13292.175999999999</v>
      </c>
      <c r="M17" s="322"/>
      <c r="N17" s="312"/>
      <c r="O17" s="316"/>
      <c r="P17" s="307"/>
      <c r="Q17" s="306"/>
      <c r="R17" s="296"/>
      <c r="S17" s="147"/>
      <c r="T17" s="147"/>
      <c r="U17" s="147"/>
    </row>
    <row r="18" spans="2:21" ht="15.75" hidden="1" customHeight="1">
      <c r="B18" s="855" t="s">
        <v>178</v>
      </c>
      <c r="C18" s="856"/>
      <c r="D18" s="59">
        <f>SUM(D17:D17)</f>
        <v>0</v>
      </c>
      <c r="E18" s="80"/>
      <c r="F18" s="153"/>
      <c r="G18" s="153"/>
      <c r="I18" s="317"/>
      <c r="J18" s="323"/>
      <c r="K18" s="322"/>
      <c r="L18" s="323"/>
      <c r="M18" s="323"/>
      <c r="N18" s="312"/>
      <c r="O18" s="153"/>
      <c r="P18" s="308"/>
      <c r="Q18" s="306"/>
      <c r="R18" s="297"/>
      <c r="S18" s="153"/>
      <c r="T18" s="153"/>
      <c r="U18" s="153"/>
    </row>
    <row r="19" spans="2:21" hidden="1">
      <c r="B19" s="80"/>
      <c r="E19" s="80"/>
      <c r="F19" s="135"/>
      <c r="G19" s="80"/>
      <c r="I19" s="267"/>
      <c r="J19" s="322"/>
      <c r="K19" s="322"/>
      <c r="L19" s="322"/>
      <c r="M19" s="322"/>
      <c r="N19" s="312"/>
      <c r="P19" s="306"/>
      <c r="Q19" s="306"/>
    </row>
    <row r="20" spans="2:21" hidden="1">
      <c r="E20" s="80"/>
      <c r="F20" s="80"/>
      <c r="G20" s="80"/>
      <c r="I20" s="267"/>
      <c r="J20" s="322"/>
      <c r="K20" s="322"/>
      <c r="L20" s="322"/>
      <c r="M20" s="322"/>
      <c r="N20" s="312"/>
      <c r="P20" s="306"/>
      <c r="Q20" s="306"/>
    </row>
    <row r="21" spans="2:21" hidden="1">
      <c r="B21" s="130" t="s">
        <v>23</v>
      </c>
      <c r="C21" s="130"/>
      <c r="D21" s="130"/>
      <c r="E21" s="80"/>
      <c r="F21" s="80"/>
      <c r="G21" s="80"/>
      <c r="J21" s="312"/>
      <c r="K21" s="322"/>
      <c r="L21" s="322"/>
      <c r="M21" s="322"/>
      <c r="N21" s="312"/>
      <c r="O21" s="135"/>
      <c r="P21" s="309"/>
      <c r="Q21" s="306"/>
      <c r="R21" s="298"/>
      <c r="S21" s="135"/>
    </row>
    <row r="22" spans="2:21" hidden="1">
      <c r="B22" s="859" t="s">
        <v>145</v>
      </c>
      <c r="C22" s="860" t="s">
        <v>156</v>
      </c>
      <c r="D22" s="148" t="s">
        <v>167</v>
      </c>
      <c r="E22" s="80"/>
      <c r="F22" s="80"/>
      <c r="G22" s="80"/>
      <c r="J22" s="312"/>
      <c r="K22" s="322"/>
      <c r="L22" s="322"/>
      <c r="M22" s="322"/>
      <c r="N22" s="312"/>
      <c r="P22" s="307"/>
      <c r="Q22" s="306"/>
      <c r="S22" s="147"/>
    </row>
    <row r="23" spans="2:21" hidden="1">
      <c r="B23" s="859"/>
      <c r="C23" s="860"/>
      <c r="D23" s="150" t="s">
        <v>176</v>
      </c>
      <c r="E23" s="80"/>
      <c r="F23" s="80"/>
      <c r="G23" s="80"/>
      <c r="I23" s="267"/>
      <c r="J23" s="322">
        <v>3663217</v>
      </c>
      <c r="K23" s="324">
        <v>4.2000000000000003E-2</v>
      </c>
      <c r="L23" s="322">
        <f>+J23*K23</f>
        <v>153855.114</v>
      </c>
      <c r="M23" s="322">
        <f>+J23+L23</f>
        <v>3817072.1140000001</v>
      </c>
      <c r="N23" s="312"/>
      <c r="P23" s="306"/>
      <c r="Q23" s="306"/>
    </row>
    <row r="24" spans="2:21" hidden="1">
      <c r="B24" s="155" t="s">
        <v>398</v>
      </c>
      <c r="C24" s="156">
        <v>44561</v>
      </c>
      <c r="D24" s="157">
        <v>0</v>
      </c>
      <c r="E24" s="302"/>
      <c r="F24" s="316"/>
      <c r="G24" s="80"/>
      <c r="I24" s="267"/>
      <c r="J24" s="322"/>
      <c r="K24" s="324"/>
      <c r="L24" s="322"/>
      <c r="M24" s="322"/>
      <c r="N24" s="312"/>
      <c r="P24" s="306"/>
      <c r="Q24" s="306"/>
    </row>
    <row r="25" spans="2:21" hidden="1">
      <c r="B25" s="855" t="s">
        <v>178</v>
      </c>
      <c r="C25" s="856"/>
      <c r="D25" s="59">
        <f>SUM(D24:D24)</f>
        <v>0</v>
      </c>
      <c r="E25" s="80"/>
      <c r="F25" s="80"/>
      <c r="G25" s="80"/>
      <c r="I25" s="267"/>
      <c r="J25" s="322"/>
      <c r="K25" s="324"/>
      <c r="L25" s="322"/>
      <c r="M25" s="322"/>
      <c r="N25" s="312"/>
      <c r="P25" s="306"/>
      <c r="Q25" s="306"/>
    </row>
    <row r="26" spans="2:21" hidden="1">
      <c r="E26" s="80"/>
      <c r="F26" s="80"/>
      <c r="G26" s="80"/>
      <c r="J26" s="322"/>
      <c r="K26" s="312"/>
      <c r="L26" s="322"/>
      <c r="M26" s="322"/>
      <c r="N26" s="312"/>
      <c r="P26" s="306"/>
      <c r="Q26" s="306"/>
    </row>
    <row r="27" spans="2:21" hidden="1">
      <c r="D27" s="147"/>
      <c r="E27" s="80"/>
      <c r="F27" s="80"/>
      <c r="G27" s="80"/>
      <c r="J27" s="312"/>
      <c r="K27" s="312"/>
      <c r="L27" s="322"/>
      <c r="M27" s="322">
        <f>SUM(M23:M26)</f>
        <v>3817072.1140000001</v>
      </c>
      <c r="N27" s="312"/>
      <c r="P27" s="306"/>
      <c r="Q27" s="306"/>
    </row>
    <row r="28" spans="2:21">
      <c r="B28" s="130" t="s">
        <v>193</v>
      </c>
      <c r="C28" s="130"/>
      <c r="D28" s="130"/>
      <c r="E28" s="80"/>
      <c r="F28" s="80"/>
      <c r="G28" s="80"/>
      <c r="J28" s="312"/>
      <c r="K28" s="312"/>
      <c r="L28" s="312"/>
      <c r="M28" s="325">
        <f>+D25-M27</f>
        <v>-3817072.1140000001</v>
      </c>
      <c r="N28" s="312"/>
      <c r="P28" s="306"/>
      <c r="Q28" s="306"/>
    </row>
    <row r="29" spans="2:21">
      <c r="B29" s="859" t="s">
        <v>145</v>
      </c>
      <c r="C29" s="860" t="s">
        <v>156</v>
      </c>
      <c r="D29" s="148" t="s">
        <v>167</v>
      </c>
      <c r="E29" s="80"/>
      <c r="F29" s="80"/>
      <c r="G29" s="80"/>
      <c r="J29" s="312"/>
      <c r="K29" s="312"/>
      <c r="L29" s="312"/>
      <c r="M29" s="312"/>
      <c r="N29" s="312"/>
      <c r="P29" s="306"/>
      <c r="Q29" s="306"/>
    </row>
    <row r="30" spans="2:21">
      <c r="B30" s="859"/>
      <c r="C30" s="860"/>
      <c r="D30" s="150" t="s">
        <v>176</v>
      </c>
      <c r="E30" s="80"/>
      <c r="F30" s="80"/>
      <c r="G30" s="80"/>
      <c r="J30" s="312"/>
      <c r="K30" s="312"/>
      <c r="L30" s="312"/>
      <c r="M30" s="312"/>
      <c r="N30" s="312"/>
      <c r="P30" s="306"/>
      <c r="Q30" s="306"/>
    </row>
    <row r="31" spans="2:21">
      <c r="B31" s="155" t="s">
        <v>2605</v>
      </c>
      <c r="C31" s="156">
        <v>46053</v>
      </c>
      <c r="D31" s="157">
        <f>310909957+47044410-623797+10370</f>
        <v>357340940</v>
      </c>
      <c r="E31" s="80"/>
      <c r="F31" s="147"/>
      <c r="G31" s="80"/>
      <c r="J31" s="312"/>
      <c r="K31" s="312"/>
      <c r="L31" s="312"/>
      <c r="M31" s="312"/>
      <c r="N31" s="312"/>
      <c r="P31" s="306"/>
      <c r="Q31" s="306"/>
    </row>
    <row r="32" spans="2:21">
      <c r="B32" s="855" t="s">
        <v>178</v>
      </c>
      <c r="C32" s="856"/>
      <c r="D32" s="59">
        <f>SUM(D31:D31)</f>
        <v>357340940</v>
      </c>
      <c r="E32" s="147"/>
      <c r="F32" s="147"/>
      <c r="G32" s="80"/>
      <c r="J32" s="312"/>
      <c r="K32" s="312"/>
      <c r="L32" s="312"/>
      <c r="M32" s="312"/>
      <c r="N32" s="312"/>
      <c r="P32" s="306"/>
      <c r="Q32" s="306"/>
    </row>
    <row r="33" spans="2:17">
      <c r="E33" s="147"/>
      <c r="F33" s="80"/>
      <c r="G33" s="80"/>
      <c r="J33" s="312"/>
      <c r="K33" s="312"/>
      <c r="L33" s="312"/>
      <c r="M33" s="312"/>
      <c r="N33" s="312"/>
      <c r="P33" s="306"/>
      <c r="Q33" s="306"/>
    </row>
    <row r="34" spans="2:17">
      <c r="E34" s="147"/>
      <c r="F34" s="80"/>
      <c r="G34" s="80"/>
      <c r="P34" s="306"/>
      <c r="Q34" s="306"/>
    </row>
    <row r="35" spans="2:17">
      <c r="B35" s="486" t="s">
        <v>1988</v>
      </c>
      <c r="C35" s="556" t="s">
        <v>1989</v>
      </c>
      <c r="D35" s="556" t="s">
        <v>1990</v>
      </c>
      <c r="E35" s="556" t="s">
        <v>1991</v>
      </c>
      <c r="F35" s="556" t="s">
        <v>1992</v>
      </c>
      <c r="G35" s="438" t="s">
        <v>1993</v>
      </c>
      <c r="H35" s="438" t="s">
        <v>1994</v>
      </c>
      <c r="P35" s="306"/>
      <c r="Q35" s="306"/>
    </row>
    <row r="36" spans="2:17">
      <c r="B36" s="486" t="s">
        <v>1978</v>
      </c>
      <c r="C36" s="556">
        <v>149161767</v>
      </c>
      <c r="D36" s="556">
        <v>148025</v>
      </c>
      <c r="E36" s="556">
        <v>25435951</v>
      </c>
      <c r="F36" s="557">
        <f>+C36+D36+E36</f>
        <v>174745743</v>
      </c>
      <c r="G36" s="438">
        <v>150640363</v>
      </c>
      <c r="H36" s="558">
        <f>F36-G36</f>
        <v>24105380</v>
      </c>
      <c r="P36" s="306"/>
      <c r="Q36" s="306"/>
    </row>
    <row r="37" spans="2:17">
      <c r="B37" s="486" t="s">
        <v>1979</v>
      </c>
      <c r="C37" s="556">
        <f>+F36</f>
        <v>174745743</v>
      </c>
      <c r="D37" s="556">
        <v>1224207</v>
      </c>
      <c r="E37" s="556">
        <v>-19717971</v>
      </c>
      <c r="F37" s="557">
        <f t="shared" ref="F37:F45" si="0">+C37+D37+E37</f>
        <v>156251979</v>
      </c>
      <c r="G37" s="438">
        <v>131977880</v>
      </c>
      <c r="H37" s="558">
        <f t="shared" ref="H37:H45" si="1">F37-G37</f>
        <v>24274099</v>
      </c>
      <c r="P37" s="306"/>
      <c r="Q37" s="306"/>
    </row>
    <row r="38" spans="2:17">
      <c r="B38" s="486" t="s">
        <v>1980</v>
      </c>
      <c r="C38" s="558">
        <f>+F37</f>
        <v>156251979</v>
      </c>
      <c r="D38" s="556">
        <v>625140</v>
      </c>
      <c r="E38" s="556">
        <v>13721314</v>
      </c>
      <c r="F38" s="557">
        <f t="shared" si="0"/>
        <v>170598433</v>
      </c>
      <c r="G38" s="438">
        <v>146227177</v>
      </c>
      <c r="H38" s="558">
        <f t="shared" si="1"/>
        <v>24371256</v>
      </c>
      <c r="P38" s="306"/>
      <c r="Q38" s="306"/>
    </row>
    <row r="39" spans="2:17">
      <c r="B39" s="486" t="s">
        <v>1981</v>
      </c>
      <c r="C39" s="558">
        <f t="shared" ref="C39:C45" si="2">+F38</f>
        <v>170598433</v>
      </c>
      <c r="D39" s="556">
        <v>1195203</v>
      </c>
      <c r="E39" s="556">
        <v>-30438016</v>
      </c>
      <c r="F39" s="557">
        <f t="shared" si="0"/>
        <v>141355620</v>
      </c>
      <c r="G39" s="438">
        <v>116813579</v>
      </c>
      <c r="H39" s="558">
        <f t="shared" si="1"/>
        <v>24542041</v>
      </c>
      <c r="P39" s="306"/>
      <c r="Q39" s="306"/>
    </row>
    <row r="40" spans="2:17">
      <c r="B40" s="486" t="s">
        <v>1982</v>
      </c>
      <c r="C40" s="558">
        <f t="shared" si="2"/>
        <v>141355620</v>
      </c>
      <c r="D40" s="556">
        <v>-706326</v>
      </c>
      <c r="E40" s="556">
        <v>-1950318</v>
      </c>
      <c r="F40" s="557">
        <f t="shared" si="0"/>
        <v>138698976</v>
      </c>
      <c r="G40" s="438">
        <v>114279521</v>
      </c>
      <c r="H40" s="558">
        <f t="shared" si="1"/>
        <v>24419455</v>
      </c>
      <c r="P40" s="306"/>
      <c r="Q40" s="306"/>
    </row>
    <row r="41" spans="2:17">
      <c r="B41" s="486" t="s">
        <v>1983</v>
      </c>
      <c r="C41" s="558">
        <f t="shared" si="2"/>
        <v>138698976</v>
      </c>
      <c r="D41" s="556">
        <v>970111</v>
      </c>
      <c r="E41" s="556">
        <v>-22391101</v>
      </c>
      <c r="F41" s="557">
        <f t="shared" si="0"/>
        <v>117277986</v>
      </c>
      <c r="G41" s="438">
        <v>92687746</v>
      </c>
      <c r="H41" s="558">
        <f t="shared" si="1"/>
        <v>24590240</v>
      </c>
      <c r="Q41" s="306"/>
    </row>
    <row r="42" spans="2:17">
      <c r="B42" s="486" t="s">
        <v>1984</v>
      </c>
      <c r="C42" s="558">
        <f t="shared" si="2"/>
        <v>117277986</v>
      </c>
      <c r="D42" s="556">
        <v>704042</v>
      </c>
      <c r="E42" s="556">
        <v>45526742</v>
      </c>
      <c r="F42" s="557">
        <f t="shared" si="0"/>
        <v>163508770</v>
      </c>
      <c r="G42" s="438">
        <v>138770897</v>
      </c>
      <c r="H42" s="558">
        <f t="shared" si="1"/>
        <v>24737873</v>
      </c>
      <c r="Q42" s="306"/>
    </row>
    <row r="43" spans="2:17">
      <c r="B43" s="486" t="s">
        <v>1985</v>
      </c>
      <c r="C43" s="558">
        <f t="shared" si="2"/>
        <v>163508770</v>
      </c>
      <c r="D43" s="556">
        <v>654996</v>
      </c>
      <c r="E43" s="556">
        <v>70699134</v>
      </c>
      <c r="F43" s="557">
        <f t="shared" si="0"/>
        <v>234862900</v>
      </c>
      <c r="G43" s="438">
        <v>210025972</v>
      </c>
      <c r="H43" s="558">
        <f t="shared" si="1"/>
        <v>24836928</v>
      </c>
      <c r="Q43" s="306"/>
    </row>
    <row r="44" spans="2:17">
      <c r="B44" s="486" t="s">
        <v>1986</v>
      </c>
      <c r="C44" s="558">
        <f t="shared" si="2"/>
        <v>234862900</v>
      </c>
      <c r="D44" s="556">
        <v>1173791</v>
      </c>
      <c r="E44" s="556">
        <v>32712848</v>
      </c>
      <c r="F44" s="557">
        <f t="shared" si="0"/>
        <v>268749539</v>
      </c>
      <c r="G44" s="438">
        <v>243788509</v>
      </c>
      <c r="H44" s="558">
        <f t="shared" si="1"/>
        <v>24961030</v>
      </c>
      <c r="Q44" s="306"/>
    </row>
    <row r="45" spans="2:17">
      <c r="B45" s="486" t="s">
        <v>1987</v>
      </c>
      <c r="C45" s="558">
        <f t="shared" si="2"/>
        <v>268749539</v>
      </c>
      <c r="D45" s="556">
        <v>-298458</v>
      </c>
      <c r="E45" s="556">
        <v>-17683028</v>
      </c>
      <c r="F45" s="557">
        <f t="shared" si="0"/>
        <v>250768053</v>
      </c>
      <c r="G45" s="438">
        <v>225834728</v>
      </c>
      <c r="H45" s="558">
        <f t="shared" si="1"/>
        <v>24933325</v>
      </c>
    </row>
    <row r="46" spans="2:17">
      <c r="C46" s="485"/>
      <c r="F46" s="555"/>
      <c r="G46" s="80"/>
      <c r="H46" s="485"/>
    </row>
    <row r="47" spans="2:17">
      <c r="C47" s="485"/>
      <c r="F47" s="555"/>
      <c r="G47" s="80"/>
      <c r="H47" s="485"/>
    </row>
    <row r="48" spans="2:17">
      <c r="C48" s="485"/>
      <c r="F48" s="555"/>
      <c r="G48" s="80"/>
      <c r="H48" s="485"/>
    </row>
    <row r="49" spans="3:8">
      <c r="C49" s="485"/>
      <c r="F49" s="555"/>
      <c r="G49" s="80"/>
      <c r="H49" s="485"/>
    </row>
    <row r="50" spans="3:8">
      <c r="C50" s="485"/>
      <c r="F50" s="554"/>
      <c r="G50" s="80"/>
      <c r="H50" s="485"/>
    </row>
    <row r="51" spans="3:8">
      <c r="C51" s="485"/>
      <c r="F51" s="554"/>
      <c r="G51" s="80"/>
      <c r="H51" s="485"/>
    </row>
    <row r="84" spans="4:4">
      <c r="D84" s="80" t="s">
        <v>191</v>
      </c>
    </row>
  </sheetData>
  <mergeCells count="11">
    <mergeCell ref="B32:C32"/>
    <mergeCell ref="B1:D1"/>
    <mergeCell ref="B2:D2"/>
    <mergeCell ref="B3:D3"/>
    <mergeCell ref="B15:B16"/>
    <mergeCell ref="B18:C18"/>
    <mergeCell ref="B22:B23"/>
    <mergeCell ref="C22:C23"/>
    <mergeCell ref="B25:C25"/>
    <mergeCell ref="B29:B30"/>
    <mergeCell ref="C29:C30"/>
  </mergeCells>
  <phoneticPr fontId="40" type="noConversion"/>
  <hyperlinks>
    <hyperlink ref="A1" location="'Balance 8 Columnas'!A1" display="'Balance 8 Columnas'!A1" xr:uid="{2CFF2F49-A1B4-4562-8C13-ECCDC8A1181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8">
    <tabColor rgb="FF002060"/>
  </sheetPr>
  <dimension ref="A1:S249"/>
  <sheetViews>
    <sheetView zoomScale="90" zoomScaleNormal="90" zoomScaleSheetLayoutView="90" workbookViewId="0">
      <pane xSplit="1" ySplit="12" topLeftCell="B132" activePane="bottomRight" state="frozen"/>
      <selection activeCell="J61" sqref="J61"/>
      <selection pane="topRight" activeCell="J61" sqref="J61"/>
      <selection pane="bottomLeft" activeCell="J61" sqref="J61"/>
      <selection pane="bottomRight" activeCell="J61" sqref="J61"/>
    </sheetView>
  </sheetViews>
  <sheetFormatPr baseColWidth="10" defaultColWidth="14.3984375" defaultRowHeight="13.45"/>
  <cols>
    <col min="1" max="1" width="3.3984375" style="80" customWidth="1"/>
    <col min="2" max="2" width="68" style="138" customWidth="1"/>
    <col min="3" max="3" width="22.69921875" style="138" customWidth="1"/>
    <col min="4" max="4" width="13.3984375" style="80" bestFit="1" customWidth="1"/>
    <col min="5" max="5" width="11.296875" style="80" customWidth="1"/>
    <col min="6" max="6" width="11.3984375" style="80" customWidth="1"/>
    <col min="7" max="7" width="11.296875" style="80" bestFit="1" customWidth="1"/>
    <col min="8" max="8" width="11.296875" style="80" customWidth="1"/>
    <col min="9" max="9" width="6.69921875" style="80" bestFit="1" customWidth="1"/>
    <col min="10" max="10" width="14.3984375" style="80"/>
    <col min="11" max="11" width="11.296875" style="80" bestFit="1" customWidth="1"/>
    <col min="12" max="12" width="13.09765625" style="80" customWidth="1"/>
    <col min="13" max="13" width="11.59765625" style="293" bestFit="1" customWidth="1"/>
    <col min="14" max="14" width="9.69921875" style="293" bestFit="1" customWidth="1"/>
    <col min="15" max="17" width="14.3984375" style="293"/>
    <col min="18" max="16384" width="14.3984375" style="80"/>
  </cols>
  <sheetData>
    <row r="1" spans="1:14" ht="20.95">
      <c r="A1" s="431" t="s">
        <v>590</v>
      </c>
      <c r="B1" s="810" t="s">
        <v>195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469">
        <f ca="1">+C12-'Balance Clasificado'!D23</f>
        <v>1.2266656160354614</v>
      </c>
      <c r="N1" s="470"/>
    </row>
    <row r="2" spans="1:14">
      <c r="B2" s="811" t="s">
        <v>518</v>
      </c>
      <c r="C2" s="811"/>
      <c r="D2" s="811"/>
      <c r="E2" s="811"/>
      <c r="F2" s="811"/>
      <c r="G2" s="811"/>
      <c r="H2" s="811"/>
      <c r="I2" s="811"/>
      <c r="J2" s="811"/>
      <c r="K2" s="811"/>
      <c r="L2" s="811"/>
    </row>
    <row r="3" spans="1:14">
      <c r="B3" s="811" t="str">
        <f>+Carátula!A9</f>
        <v>Al 31 de enero de 2026</v>
      </c>
      <c r="C3" s="811"/>
      <c r="D3" s="811"/>
      <c r="E3" s="811"/>
      <c r="F3" s="811"/>
      <c r="G3" s="811"/>
      <c r="H3" s="811"/>
      <c r="I3" s="811"/>
      <c r="J3" s="811"/>
      <c r="K3" s="811"/>
      <c r="L3" s="811"/>
    </row>
    <row r="4" spans="1:14">
      <c r="B4" s="78"/>
      <c r="C4" s="78"/>
      <c r="D4" s="78"/>
      <c r="E4" s="78"/>
      <c r="F4" s="78"/>
      <c r="G4" s="78"/>
      <c r="H4" s="78"/>
    </row>
    <row r="5" spans="1:14">
      <c r="B5" s="97" t="s">
        <v>519</v>
      </c>
      <c r="C5" s="97"/>
      <c r="D5" s="78"/>
      <c r="E5" s="78"/>
      <c r="F5" s="78"/>
      <c r="G5" s="78"/>
      <c r="H5" s="78"/>
    </row>
    <row r="6" spans="1:14">
      <c r="B6" s="72" t="s">
        <v>62</v>
      </c>
      <c r="C6" s="72" t="s">
        <v>153</v>
      </c>
      <c r="E6" s="78"/>
      <c r="F6" s="78"/>
      <c r="G6" s="78"/>
      <c r="H6" s="78"/>
    </row>
    <row r="7" spans="1:14">
      <c r="B7" s="126" t="s">
        <v>25</v>
      </c>
      <c r="C7" s="127">
        <f>+F148</f>
        <v>656828984</v>
      </c>
      <c r="E7" s="78"/>
      <c r="F7" s="78"/>
      <c r="G7" s="78"/>
      <c r="H7" s="78"/>
    </row>
    <row r="8" spans="1:14">
      <c r="B8" s="126" t="s">
        <v>284</v>
      </c>
      <c r="C8" s="127">
        <f>+F237</f>
        <v>109578639</v>
      </c>
      <c r="D8" s="147"/>
      <c r="E8" s="78"/>
      <c r="F8" s="78"/>
      <c r="G8" s="78"/>
      <c r="H8" s="78"/>
    </row>
    <row r="9" spans="1:14">
      <c r="B9" s="126" t="s">
        <v>2364</v>
      </c>
      <c r="C9" s="127">
        <f>+D244</f>
        <v>27748636</v>
      </c>
      <c r="D9" s="147"/>
      <c r="E9" s="78"/>
      <c r="F9" s="78"/>
      <c r="G9" s="78"/>
      <c r="H9" s="78"/>
    </row>
    <row r="10" spans="1:14">
      <c r="B10" s="126" t="s">
        <v>294</v>
      </c>
      <c r="C10" s="127">
        <f>+-K148</f>
        <v>-210830801.32102484</v>
      </c>
      <c r="D10" s="154"/>
      <c r="E10" s="318"/>
      <c r="F10" s="78"/>
      <c r="G10" s="78"/>
      <c r="H10" s="78"/>
    </row>
    <row r="11" spans="1:14">
      <c r="B11" s="126" t="s">
        <v>293</v>
      </c>
      <c r="C11" s="127">
        <f>+-K237</f>
        <v>-36686283.452309519</v>
      </c>
      <c r="D11" s="154"/>
      <c r="E11" s="318"/>
      <c r="F11" s="78"/>
      <c r="G11" s="78"/>
      <c r="H11" s="78"/>
    </row>
    <row r="12" spans="1:14">
      <c r="B12" s="128" t="s">
        <v>520</v>
      </c>
      <c r="C12" s="129">
        <f>SUM(C7:C11)</f>
        <v>546639174.22666562</v>
      </c>
      <c r="E12" s="78"/>
      <c r="F12" s="78"/>
      <c r="G12" s="78"/>
      <c r="H12" s="78"/>
    </row>
    <row r="13" spans="1:14">
      <c r="B13" s="97"/>
      <c r="C13" s="226"/>
      <c r="E13" s="78"/>
      <c r="F13" s="78"/>
      <c r="G13" s="78"/>
      <c r="H13" s="78"/>
    </row>
    <row r="14" spans="1:14" ht="15.75" customHeight="1">
      <c r="B14" s="130" t="s">
        <v>25</v>
      </c>
      <c r="C14" s="130"/>
      <c r="D14" s="130"/>
      <c r="E14" s="130"/>
      <c r="F14" s="314"/>
      <c r="G14" s="131"/>
      <c r="H14" s="131"/>
      <c r="J14" s="256"/>
      <c r="K14" s="256"/>
    </row>
    <row r="15" spans="1:14">
      <c r="B15" s="162" t="s">
        <v>145</v>
      </c>
      <c r="C15" s="864" t="s">
        <v>271</v>
      </c>
      <c r="D15" s="162" t="s">
        <v>156</v>
      </c>
      <c r="E15" s="162" t="s">
        <v>207</v>
      </c>
      <c r="F15" s="162" t="s">
        <v>208</v>
      </c>
      <c r="G15" s="162" t="s">
        <v>209</v>
      </c>
      <c r="H15" s="162" t="s">
        <v>316</v>
      </c>
      <c r="I15" s="162" t="s">
        <v>210</v>
      </c>
      <c r="J15" s="162" t="s">
        <v>211</v>
      </c>
      <c r="K15" s="172" t="s">
        <v>212</v>
      </c>
      <c r="L15" s="172" t="s">
        <v>212</v>
      </c>
    </row>
    <row r="16" spans="1:14" ht="14.25" customHeight="1">
      <c r="B16" s="163"/>
      <c r="C16" s="865"/>
      <c r="D16" s="163"/>
      <c r="E16" s="163" t="s">
        <v>213</v>
      </c>
      <c r="F16" s="163" t="s">
        <v>214</v>
      </c>
      <c r="G16" s="163" t="s">
        <v>190</v>
      </c>
      <c r="H16" s="163" t="s">
        <v>190</v>
      </c>
      <c r="I16" s="163" t="s">
        <v>215</v>
      </c>
      <c r="J16" s="163" t="s">
        <v>216</v>
      </c>
      <c r="K16" s="173" t="s">
        <v>209</v>
      </c>
      <c r="L16" s="173"/>
    </row>
    <row r="17" spans="2:15" ht="14.25" customHeight="1">
      <c r="B17" s="370" t="s">
        <v>275</v>
      </c>
      <c r="C17" s="133" t="s">
        <v>283</v>
      </c>
      <c r="D17" s="235">
        <v>44151</v>
      </c>
      <c r="E17" s="170">
        <v>23</v>
      </c>
      <c r="F17" s="171">
        <v>11000</v>
      </c>
      <c r="G17" s="171">
        <v>7988.1694915254247</v>
      </c>
      <c r="H17" s="171">
        <v>3011.8305084745753</v>
      </c>
      <c r="I17" s="171">
        <v>1</v>
      </c>
      <c r="J17" s="171">
        <v>130.94915254237284</v>
      </c>
      <c r="K17" s="174">
        <v>8119.1186440677975</v>
      </c>
      <c r="L17" s="174">
        <v>2880.8813559322025</v>
      </c>
      <c r="M17" s="409"/>
      <c r="N17" s="409"/>
      <c r="O17" s="409"/>
    </row>
    <row r="18" spans="2:15" ht="14.25" customHeight="1">
      <c r="B18" s="370" t="s">
        <v>272</v>
      </c>
      <c r="C18" s="133" t="s">
        <v>283</v>
      </c>
      <c r="D18" s="235">
        <v>44151</v>
      </c>
      <c r="E18" s="170">
        <v>23</v>
      </c>
      <c r="F18" s="171">
        <v>11000</v>
      </c>
      <c r="G18" s="171">
        <v>7988.1084337349403</v>
      </c>
      <c r="H18" s="171">
        <v>3011.8915662650597</v>
      </c>
      <c r="I18" s="171">
        <v>1</v>
      </c>
      <c r="J18" s="171">
        <v>130.95180722891564</v>
      </c>
      <c r="K18" s="174">
        <v>8119.0602409638559</v>
      </c>
      <c r="L18" s="174">
        <v>2880.9397590361441</v>
      </c>
      <c r="M18" s="409"/>
      <c r="N18" s="409"/>
      <c r="O18" s="409"/>
    </row>
    <row r="19" spans="2:15" ht="14.25" customHeight="1">
      <c r="B19" s="370" t="s">
        <v>278</v>
      </c>
      <c r="C19" s="133" t="s">
        <v>283</v>
      </c>
      <c r="D19" s="235">
        <v>44151</v>
      </c>
      <c r="E19" s="170">
        <v>23</v>
      </c>
      <c r="F19" s="171">
        <v>23000</v>
      </c>
      <c r="G19" s="171">
        <v>16702.288135593219</v>
      </c>
      <c r="H19" s="171">
        <v>6297.7118644067814</v>
      </c>
      <c r="I19" s="171">
        <v>1</v>
      </c>
      <c r="J19" s="171">
        <v>273.813559322034</v>
      </c>
      <c r="K19" s="174">
        <v>16976.101694915251</v>
      </c>
      <c r="L19" s="174">
        <v>6023.8983050847492</v>
      </c>
      <c r="M19" s="409"/>
      <c r="N19" s="409"/>
      <c r="O19" s="409"/>
    </row>
    <row r="20" spans="2:15" ht="14.25" customHeight="1">
      <c r="B20" s="370" t="s">
        <v>279</v>
      </c>
      <c r="C20" s="133" t="s">
        <v>283</v>
      </c>
      <c r="D20" s="235">
        <v>44151</v>
      </c>
      <c r="E20" s="170">
        <v>23</v>
      </c>
      <c r="F20" s="171">
        <v>35000</v>
      </c>
      <c r="G20" s="171">
        <v>25416.759036144576</v>
      </c>
      <c r="H20" s="171">
        <v>9583.2409638554236</v>
      </c>
      <c r="I20" s="171">
        <v>1</v>
      </c>
      <c r="J20" s="171">
        <v>416.66265060240971</v>
      </c>
      <c r="K20" s="174">
        <v>25833.421686746988</v>
      </c>
      <c r="L20" s="174">
        <v>9166.5783132530123</v>
      </c>
      <c r="M20" s="409"/>
      <c r="N20" s="409"/>
      <c r="O20" s="409"/>
    </row>
    <row r="21" spans="2:15" ht="14.25" customHeight="1">
      <c r="B21" s="370" t="s">
        <v>272</v>
      </c>
      <c r="C21" s="133" t="s">
        <v>240</v>
      </c>
      <c r="D21" s="235">
        <v>44151</v>
      </c>
      <c r="E21" s="170">
        <v>23</v>
      </c>
      <c r="F21" s="171">
        <v>11000</v>
      </c>
      <c r="G21" s="171">
        <v>7988.1084337349403</v>
      </c>
      <c r="H21" s="171">
        <v>3011.8915662650597</v>
      </c>
      <c r="I21" s="171">
        <v>1</v>
      </c>
      <c r="J21" s="171">
        <v>130.95180722891564</v>
      </c>
      <c r="K21" s="174">
        <v>8119.0602409638559</v>
      </c>
      <c r="L21" s="174">
        <v>2880.9397590361441</v>
      </c>
      <c r="M21" s="409"/>
      <c r="N21" s="409"/>
      <c r="O21" s="409"/>
    </row>
    <row r="22" spans="2:15" ht="14.25" customHeight="1">
      <c r="B22" s="370" t="s">
        <v>275</v>
      </c>
      <c r="C22" s="133" t="s">
        <v>240</v>
      </c>
      <c r="D22" s="235">
        <v>44151</v>
      </c>
      <c r="E22" s="170">
        <v>23</v>
      </c>
      <c r="F22" s="171">
        <v>11000</v>
      </c>
      <c r="G22" s="171">
        <v>7988.1084337349403</v>
      </c>
      <c r="H22" s="171">
        <v>3011.8915662650597</v>
      </c>
      <c r="I22" s="171">
        <v>1</v>
      </c>
      <c r="J22" s="171">
        <v>130.95180722891564</v>
      </c>
      <c r="K22" s="174">
        <v>8119.0602409638559</v>
      </c>
      <c r="L22" s="174">
        <v>2880.9397590361441</v>
      </c>
      <c r="M22" s="409"/>
      <c r="N22" s="409"/>
      <c r="O22" s="409"/>
    </row>
    <row r="23" spans="2:15" ht="14.25" customHeight="1">
      <c r="B23" s="370" t="s">
        <v>278</v>
      </c>
      <c r="C23" s="133" t="s">
        <v>240</v>
      </c>
      <c r="D23" s="235">
        <v>44151</v>
      </c>
      <c r="E23" s="170">
        <v>23</v>
      </c>
      <c r="F23" s="171">
        <v>23000</v>
      </c>
      <c r="G23" s="171">
        <v>16702.288135593219</v>
      </c>
      <c r="H23" s="171">
        <v>6297.7118644067814</v>
      </c>
      <c r="I23" s="171">
        <v>1</v>
      </c>
      <c r="J23" s="171">
        <v>273.813559322034</v>
      </c>
      <c r="K23" s="174">
        <v>16976.101694915251</v>
      </c>
      <c r="L23" s="174">
        <v>6023.8983050847492</v>
      </c>
      <c r="M23" s="409"/>
      <c r="N23" s="409"/>
      <c r="O23" s="409"/>
    </row>
    <row r="24" spans="2:15" ht="14.25" customHeight="1">
      <c r="B24" s="370" t="s">
        <v>276</v>
      </c>
      <c r="C24" s="133" t="s">
        <v>240</v>
      </c>
      <c r="D24" s="235">
        <v>44151</v>
      </c>
      <c r="E24" s="170">
        <v>23</v>
      </c>
      <c r="F24" s="171">
        <v>11000</v>
      </c>
      <c r="G24" s="171">
        <v>7988.1084337349403</v>
      </c>
      <c r="H24" s="171">
        <v>3011.8915662650597</v>
      </c>
      <c r="I24" s="171">
        <v>1</v>
      </c>
      <c r="J24" s="171">
        <v>130.95180722891564</v>
      </c>
      <c r="K24" s="174">
        <v>8119.0602409638559</v>
      </c>
      <c r="L24" s="174">
        <v>2880.9397590361441</v>
      </c>
      <c r="M24" s="409"/>
      <c r="N24" s="409"/>
      <c r="O24" s="409"/>
    </row>
    <row r="25" spans="2:15" ht="14.25" customHeight="1">
      <c r="B25" s="370" t="s">
        <v>274</v>
      </c>
      <c r="C25" s="133" t="s">
        <v>240</v>
      </c>
      <c r="D25" s="235">
        <v>44151</v>
      </c>
      <c r="E25" s="170">
        <v>23</v>
      </c>
      <c r="F25" s="171">
        <v>11000</v>
      </c>
      <c r="G25" s="171">
        <v>7988.1084337349403</v>
      </c>
      <c r="H25" s="171">
        <v>3011.8915662650597</v>
      </c>
      <c r="I25" s="171">
        <v>1</v>
      </c>
      <c r="J25" s="171">
        <v>130.95180722891564</v>
      </c>
      <c r="K25" s="174">
        <v>8119.0602409638559</v>
      </c>
      <c r="L25" s="174">
        <v>2880.9397590361441</v>
      </c>
      <c r="M25" s="409"/>
      <c r="N25" s="409"/>
      <c r="O25" s="409"/>
    </row>
    <row r="26" spans="2:15" ht="14.25" customHeight="1">
      <c r="B26" s="370" t="s">
        <v>273</v>
      </c>
      <c r="C26" s="133" t="s">
        <v>240</v>
      </c>
      <c r="D26" s="235">
        <v>44151</v>
      </c>
      <c r="E26" s="170">
        <v>23</v>
      </c>
      <c r="F26" s="171">
        <v>11000</v>
      </c>
      <c r="G26" s="171">
        <v>7988.1084337349403</v>
      </c>
      <c r="H26" s="171">
        <v>3011.8915662650597</v>
      </c>
      <c r="I26" s="171">
        <v>1</v>
      </c>
      <c r="J26" s="171">
        <v>130.95180722891564</v>
      </c>
      <c r="K26" s="174">
        <v>8119.0602409638559</v>
      </c>
      <c r="L26" s="174">
        <v>2880.9397590361441</v>
      </c>
      <c r="M26" s="409"/>
      <c r="N26" s="409"/>
      <c r="O26" s="409"/>
    </row>
    <row r="27" spans="2:15" ht="14.25" customHeight="1">
      <c r="B27" s="370" t="s">
        <v>274</v>
      </c>
      <c r="C27" s="133" t="s">
        <v>240</v>
      </c>
      <c r="D27" s="235">
        <v>44151</v>
      </c>
      <c r="E27" s="170">
        <v>23</v>
      </c>
      <c r="F27" s="171">
        <v>11000</v>
      </c>
      <c r="G27" s="171">
        <v>7988.1084337349403</v>
      </c>
      <c r="H27" s="171">
        <v>3011.8915662650597</v>
      </c>
      <c r="I27" s="171">
        <v>1</v>
      </c>
      <c r="J27" s="171">
        <v>130.95180722891564</v>
      </c>
      <c r="K27" s="174">
        <v>8119.0602409638559</v>
      </c>
      <c r="L27" s="174">
        <v>2880.9397590361441</v>
      </c>
      <c r="M27" s="409"/>
      <c r="N27" s="409"/>
      <c r="O27" s="409"/>
    </row>
    <row r="28" spans="2:15" ht="14.25" customHeight="1">
      <c r="B28" s="370" t="s">
        <v>279</v>
      </c>
      <c r="C28" s="133" t="s">
        <v>240</v>
      </c>
      <c r="D28" s="235">
        <v>44151</v>
      </c>
      <c r="E28" s="170">
        <v>23</v>
      </c>
      <c r="F28" s="171">
        <v>35000</v>
      </c>
      <c r="G28" s="171">
        <v>25416.759036144576</v>
      </c>
      <c r="H28" s="171">
        <v>9583.2409638554236</v>
      </c>
      <c r="I28" s="171">
        <v>1</v>
      </c>
      <c r="J28" s="171">
        <v>416.66265060240971</v>
      </c>
      <c r="K28" s="174">
        <v>25833.421686746988</v>
      </c>
      <c r="L28" s="174">
        <v>9166.5783132530123</v>
      </c>
      <c r="M28" s="409"/>
      <c r="N28" s="409"/>
      <c r="O28" s="409"/>
    </row>
    <row r="29" spans="2:15" ht="14.25" customHeight="1">
      <c r="B29" s="370" t="s">
        <v>282</v>
      </c>
      <c r="C29" s="133" t="s">
        <v>283</v>
      </c>
      <c r="D29" s="235">
        <v>44151</v>
      </c>
      <c r="E29" s="170">
        <v>23</v>
      </c>
      <c r="F29" s="171">
        <v>30000</v>
      </c>
      <c r="G29" s="171">
        <v>21785.491525423731</v>
      </c>
      <c r="H29" s="171">
        <v>8214.5084745762688</v>
      </c>
      <c r="I29" s="171">
        <v>1</v>
      </c>
      <c r="J29" s="171">
        <v>357.15254237288127</v>
      </c>
      <c r="K29" s="174">
        <v>22142.644067796613</v>
      </c>
      <c r="L29" s="174">
        <v>7857.3559322033871</v>
      </c>
      <c r="M29" s="409"/>
      <c r="N29" s="409"/>
      <c r="O29" s="409"/>
    </row>
    <row r="30" spans="2:15" ht="14.25" customHeight="1">
      <c r="B30" s="370" t="s">
        <v>272</v>
      </c>
      <c r="C30" s="133" t="s">
        <v>283</v>
      </c>
      <c r="D30" s="235">
        <v>44151</v>
      </c>
      <c r="E30" s="170">
        <v>23</v>
      </c>
      <c r="F30" s="171">
        <v>11000</v>
      </c>
      <c r="G30" s="171">
        <v>7988.1084337349403</v>
      </c>
      <c r="H30" s="171">
        <v>3011.8915662650597</v>
      </c>
      <c r="I30" s="171">
        <v>1</v>
      </c>
      <c r="J30" s="171">
        <v>130.95180722891564</v>
      </c>
      <c r="K30" s="174">
        <v>8119.0602409638559</v>
      </c>
      <c r="L30" s="174">
        <v>2880.9397590361441</v>
      </c>
      <c r="M30" s="409"/>
      <c r="N30" s="409"/>
      <c r="O30" s="409"/>
    </row>
    <row r="31" spans="2:15" ht="14.25" customHeight="1">
      <c r="B31" s="370" t="s">
        <v>275</v>
      </c>
      <c r="C31" s="133" t="s">
        <v>283</v>
      </c>
      <c r="D31" s="235">
        <v>44151</v>
      </c>
      <c r="E31" s="170">
        <v>23</v>
      </c>
      <c r="F31" s="171">
        <v>11000</v>
      </c>
      <c r="G31" s="171">
        <v>7988.1084337349403</v>
      </c>
      <c r="H31" s="171">
        <v>3011.8915662650597</v>
      </c>
      <c r="I31" s="171">
        <v>1</v>
      </c>
      <c r="J31" s="171">
        <v>130.95180722891564</v>
      </c>
      <c r="K31" s="174">
        <v>8119.0602409638559</v>
      </c>
      <c r="L31" s="174">
        <v>2880.9397590361441</v>
      </c>
      <c r="M31" s="409"/>
      <c r="N31" s="409"/>
      <c r="O31" s="409"/>
    </row>
    <row r="32" spans="2:15" ht="14.25" customHeight="1">
      <c r="B32" s="370" t="s">
        <v>274</v>
      </c>
      <c r="C32" s="133" t="s">
        <v>283</v>
      </c>
      <c r="D32" s="235">
        <v>44151</v>
      </c>
      <c r="E32" s="170">
        <v>23</v>
      </c>
      <c r="F32" s="171">
        <v>11000</v>
      </c>
      <c r="G32" s="171">
        <v>7988.1084337349403</v>
      </c>
      <c r="H32" s="171">
        <v>3011.8915662650597</v>
      </c>
      <c r="I32" s="171">
        <v>1</v>
      </c>
      <c r="J32" s="171">
        <v>130.95180722891564</v>
      </c>
      <c r="K32" s="174">
        <v>8119.0602409638559</v>
      </c>
      <c r="L32" s="174">
        <v>2880.9397590361441</v>
      </c>
      <c r="M32" s="409"/>
      <c r="N32" s="409"/>
      <c r="O32" s="409"/>
    </row>
    <row r="33" spans="2:15" ht="14.25" customHeight="1">
      <c r="B33" s="370" t="s">
        <v>276</v>
      </c>
      <c r="C33" s="133" t="s">
        <v>283</v>
      </c>
      <c r="D33" s="235">
        <v>44151</v>
      </c>
      <c r="E33" s="170">
        <v>23</v>
      </c>
      <c r="F33" s="171">
        <v>11000</v>
      </c>
      <c r="G33" s="171">
        <v>7988.1084337349403</v>
      </c>
      <c r="H33" s="171">
        <v>3011.8915662650597</v>
      </c>
      <c r="I33" s="171">
        <v>1</v>
      </c>
      <c r="J33" s="171">
        <v>130.95180722891564</v>
      </c>
      <c r="K33" s="174">
        <v>8119.0602409638559</v>
      </c>
      <c r="L33" s="174">
        <v>2880.9397590361441</v>
      </c>
      <c r="M33" s="409"/>
      <c r="N33" s="409"/>
      <c r="O33" s="409"/>
    </row>
    <row r="34" spans="2:15" ht="14.25" customHeight="1">
      <c r="B34" s="370" t="s">
        <v>275</v>
      </c>
      <c r="C34" s="133" t="s">
        <v>266</v>
      </c>
      <c r="D34" s="235">
        <v>44151</v>
      </c>
      <c r="E34" s="170">
        <v>23</v>
      </c>
      <c r="F34" s="171">
        <v>11000</v>
      </c>
      <c r="G34" s="171">
        <v>7988.1084337349403</v>
      </c>
      <c r="H34" s="171">
        <v>3011.8915662650597</v>
      </c>
      <c r="I34" s="171">
        <v>1</v>
      </c>
      <c r="J34" s="171">
        <v>130.95180722891564</v>
      </c>
      <c r="K34" s="174">
        <v>8119.0602409638559</v>
      </c>
      <c r="L34" s="174">
        <v>2880.9397590361441</v>
      </c>
      <c r="M34" s="409"/>
      <c r="N34" s="409"/>
      <c r="O34" s="409"/>
    </row>
    <row r="35" spans="2:15" ht="14.25" customHeight="1">
      <c r="B35" s="370" t="s">
        <v>276</v>
      </c>
      <c r="C35" s="133" t="s">
        <v>266</v>
      </c>
      <c r="D35" s="235">
        <v>44151</v>
      </c>
      <c r="E35" s="170">
        <v>23</v>
      </c>
      <c r="F35" s="171">
        <v>11000</v>
      </c>
      <c r="G35" s="171">
        <v>7988.1084337349403</v>
      </c>
      <c r="H35" s="171">
        <v>3011.8915662650597</v>
      </c>
      <c r="I35" s="171">
        <v>1</v>
      </c>
      <c r="J35" s="171">
        <v>130.95180722891564</v>
      </c>
      <c r="K35" s="174">
        <v>8119.0602409638559</v>
      </c>
      <c r="L35" s="174">
        <v>2880.9397590361441</v>
      </c>
      <c r="M35" s="409"/>
      <c r="N35" s="409"/>
      <c r="O35" s="409"/>
    </row>
    <row r="36" spans="2:15" ht="14.25" customHeight="1">
      <c r="B36" s="370" t="s">
        <v>277</v>
      </c>
      <c r="C36" s="133" t="s">
        <v>266</v>
      </c>
      <c r="D36" s="235">
        <v>44151</v>
      </c>
      <c r="E36" s="170">
        <v>23</v>
      </c>
      <c r="F36" s="171">
        <v>120000</v>
      </c>
      <c r="G36" s="171">
        <v>87142.975903614453</v>
      </c>
      <c r="H36" s="171">
        <v>32857.024096385547</v>
      </c>
      <c r="I36" s="171">
        <v>1</v>
      </c>
      <c r="J36" s="171">
        <v>1428.5662650602412</v>
      </c>
      <c r="K36" s="174">
        <v>88571.542168674699</v>
      </c>
      <c r="L36" s="174">
        <v>31428.457831325301</v>
      </c>
      <c r="M36" s="409"/>
      <c r="N36" s="409"/>
      <c r="O36" s="409"/>
    </row>
    <row r="37" spans="2:15" ht="14.25" customHeight="1">
      <c r="B37" s="370" t="s">
        <v>278</v>
      </c>
      <c r="C37" s="133" t="s">
        <v>266</v>
      </c>
      <c r="D37" s="235">
        <v>44151</v>
      </c>
      <c r="E37" s="170">
        <v>23</v>
      </c>
      <c r="F37" s="171">
        <v>23000</v>
      </c>
      <c r="G37" s="171">
        <v>16702.288135593219</v>
      </c>
      <c r="H37" s="171">
        <v>6297.7118644067814</v>
      </c>
      <c r="I37" s="171">
        <v>1</v>
      </c>
      <c r="J37" s="171">
        <v>273.813559322034</v>
      </c>
      <c r="K37" s="174">
        <v>16976.101694915251</v>
      </c>
      <c r="L37" s="174">
        <v>6023.8983050847492</v>
      </c>
      <c r="M37" s="409"/>
      <c r="N37" s="409"/>
      <c r="O37" s="409"/>
    </row>
    <row r="38" spans="2:15" ht="14.25" customHeight="1">
      <c r="B38" s="370" t="s">
        <v>279</v>
      </c>
      <c r="C38" s="133" t="s">
        <v>266</v>
      </c>
      <c r="D38" s="235">
        <v>44151</v>
      </c>
      <c r="E38" s="170">
        <v>23</v>
      </c>
      <c r="F38" s="171">
        <v>35000</v>
      </c>
      <c r="G38" s="171">
        <v>25416.759036144576</v>
      </c>
      <c r="H38" s="171">
        <v>9583.2409638554236</v>
      </c>
      <c r="I38" s="171">
        <v>1</v>
      </c>
      <c r="J38" s="171">
        <v>416.66265060240971</v>
      </c>
      <c r="K38" s="174">
        <v>25833.421686746988</v>
      </c>
      <c r="L38" s="174">
        <v>9166.5783132530123</v>
      </c>
      <c r="M38" s="409"/>
      <c r="N38" s="409"/>
      <c r="O38" s="409"/>
    </row>
    <row r="39" spans="2:15" ht="14.25" customHeight="1">
      <c r="B39" s="370" t="s">
        <v>272</v>
      </c>
      <c r="C39" s="133" t="s">
        <v>266</v>
      </c>
      <c r="D39" s="235">
        <v>44151</v>
      </c>
      <c r="E39" s="170">
        <v>23</v>
      </c>
      <c r="F39" s="171">
        <v>11000</v>
      </c>
      <c r="G39" s="171">
        <v>7988.1084337349403</v>
      </c>
      <c r="H39" s="171">
        <v>3011.8915662650597</v>
      </c>
      <c r="I39" s="171">
        <v>1</v>
      </c>
      <c r="J39" s="171">
        <v>130.95180722891564</v>
      </c>
      <c r="K39" s="174">
        <v>8119.0602409638559</v>
      </c>
      <c r="L39" s="174">
        <v>2880.9397590361441</v>
      </c>
      <c r="M39" s="409"/>
      <c r="N39" s="409"/>
      <c r="O39" s="409"/>
    </row>
    <row r="40" spans="2:15" ht="14.25" customHeight="1">
      <c r="B40" s="370" t="s">
        <v>276</v>
      </c>
      <c r="C40" s="133" t="s">
        <v>266</v>
      </c>
      <c r="D40" s="235">
        <v>44151</v>
      </c>
      <c r="E40" s="170">
        <v>23</v>
      </c>
      <c r="F40" s="171">
        <v>11000</v>
      </c>
      <c r="G40" s="171">
        <v>7988.1084337349403</v>
      </c>
      <c r="H40" s="171">
        <v>3011.8915662650597</v>
      </c>
      <c r="I40" s="171">
        <v>1</v>
      </c>
      <c r="J40" s="171">
        <v>130.95180722891564</v>
      </c>
      <c r="K40" s="174">
        <v>8119.0602409638559</v>
      </c>
      <c r="L40" s="174">
        <v>2880.9397590361441</v>
      </c>
      <c r="M40" s="409"/>
      <c r="N40" s="409"/>
      <c r="O40" s="409"/>
    </row>
    <row r="41" spans="2:15" ht="14.25" customHeight="1">
      <c r="B41" s="370" t="s">
        <v>280</v>
      </c>
      <c r="C41" s="133" t="s">
        <v>266</v>
      </c>
      <c r="D41" s="235">
        <v>44151</v>
      </c>
      <c r="E41" s="170">
        <v>23</v>
      </c>
      <c r="F41" s="171">
        <v>22000</v>
      </c>
      <c r="G41" s="171">
        <v>15976.216867469881</v>
      </c>
      <c r="H41" s="171">
        <v>6023.7831325301195</v>
      </c>
      <c r="I41" s="171">
        <v>1</v>
      </c>
      <c r="J41" s="171">
        <v>261.90361445783128</v>
      </c>
      <c r="K41" s="174">
        <v>16238.120481927712</v>
      </c>
      <c r="L41" s="174">
        <v>5761.8795180722882</v>
      </c>
      <c r="M41" s="409"/>
      <c r="N41" s="409"/>
      <c r="O41" s="409"/>
    </row>
    <row r="42" spans="2:15" ht="14.25" customHeight="1">
      <c r="B42" s="370" t="s">
        <v>281</v>
      </c>
      <c r="C42" s="133" t="s">
        <v>283</v>
      </c>
      <c r="D42" s="235">
        <v>44151</v>
      </c>
      <c r="E42" s="170">
        <v>23</v>
      </c>
      <c r="F42" s="171">
        <v>40000</v>
      </c>
      <c r="G42" s="171">
        <v>29047.566265060239</v>
      </c>
      <c r="H42" s="171">
        <v>10952.433734939761</v>
      </c>
      <c r="I42" s="171">
        <v>1</v>
      </c>
      <c r="J42" s="171">
        <v>476.19277108433744</v>
      </c>
      <c r="K42" s="174">
        <v>29523.759036144576</v>
      </c>
      <c r="L42" s="174">
        <v>10476.240963855424</v>
      </c>
      <c r="M42" s="409"/>
      <c r="N42" s="409"/>
      <c r="O42" s="409"/>
    </row>
    <row r="43" spans="2:15" ht="14.25" customHeight="1">
      <c r="B43" s="370" t="s">
        <v>272</v>
      </c>
      <c r="C43" s="133" t="s">
        <v>283</v>
      </c>
      <c r="D43" s="235">
        <v>44151</v>
      </c>
      <c r="E43" s="170">
        <v>23</v>
      </c>
      <c r="F43" s="171">
        <v>11000</v>
      </c>
      <c r="G43" s="171">
        <v>7988.1084337349403</v>
      </c>
      <c r="H43" s="171">
        <v>3011.8915662650597</v>
      </c>
      <c r="I43" s="171">
        <v>1</v>
      </c>
      <c r="J43" s="171">
        <v>130.95180722891564</v>
      </c>
      <c r="K43" s="174">
        <v>8119.0602409638559</v>
      </c>
      <c r="L43" s="174">
        <v>2880.9397590361441</v>
      </c>
      <c r="M43" s="409"/>
      <c r="N43" s="409"/>
      <c r="O43" s="409"/>
    </row>
    <row r="44" spans="2:15" ht="14.25" customHeight="1">
      <c r="B44" s="370" t="s">
        <v>275</v>
      </c>
      <c r="C44" s="133" t="s">
        <v>283</v>
      </c>
      <c r="D44" s="235">
        <v>44151</v>
      </c>
      <c r="E44" s="170">
        <v>23</v>
      </c>
      <c r="F44" s="171">
        <v>11000</v>
      </c>
      <c r="G44" s="171">
        <v>7988.1084337349403</v>
      </c>
      <c r="H44" s="171">
        <v>3011.8915662650597</v>
      </c>
      <c r="I44" s="171">
        <v>1</v>
      </c>
      <c r="J44" s="171">
        <v>130.95180722891564</v>
      </c>
      <c r="K44" s="174">
        <v>8119.0602409638559</v>
      </c>
      <c r="L44" s="174">
        <v>2880.9397590361441</v>
      </c>
      <c r="M44" s="409"/>
      <c r="N44" s="409"/>
      <c r="O44" s="409"/>
    </row>
    <row r="45" spans="2:15" ht="14.25" customHeight="1">
      <c r="B45" s="370" t="s">
        <v>278</v>
      </c>
      <c r="C45" s="133" t="s">
        <v>283</v>
      </c>
      <c r="D45" s="235">
        <v>44151</v>
      </c>
      <c r="E45" s="170">
        <v>23</v>
      </c>
      <c r="F45" s="171">
        <v>23000</v>
      </c>
      <c r="G45" s="171">
        <v>16702.288135593219</v>
      </c>
      <c r="H45" s="171">
        <v>6297.7118644067814</v>
      </c>
      <c r="I45" s="171">
        <v>1</v>
      </c>
      <c r="J45" s="171">
        <v>273.813559322034</v>
      </c>
      <c r="K45" s="174">
        <v>16976.101694915251</v>
      </c>
      <c r="L45" s="174">
        <v>6023.8983050847492</v>
      </c>
      <c r="M45" s="409"/>
      <c r="N45" s="409"/>
      <c r="O45" s="409"/>
    </row>
    <row r="46" spans="2:15" ht="14.25" customHeight="1">
      <c r="B46" s="371" t="s">
        <v>274</v>
      </c>
      <c r="C46" s="133" t="s">
        <v>283</v>
      </c>
      <c r="D46" s="235">
        <v>44151</v>
      </c>
      <c r="E46" s="170">
        <v>23</v>
      </c>
      <c r="F46" s="171">
        <v>11000</v>
      </c>
      <c r="G46" s="171">
        <v>7988.1084337349403</v>
      </c>
      <c r="H46" s="171">
        <v>3011.8915662650597</v>
      </c>
      <c r="I46" s="171">
        <v>1</v>
      </c>
      <c r="J46" s="171">
        <v>130.95180722891564</v>
      </c>
      <c r="K46" s="174">
        <v>8119.0602409638559</v>
      </c>
      <c r="L46" s="174">
        <v>2880.9397590361441</v>
      </c>
      <c r="M46" s="409"/>
      <c r="N46" s="409"/>
      <c r="O46" s="409"/>
    </row>
    <row r="47" spans="2:15" ht="14.25" customHeight="1">
      <c r="B47" s="371" t="s">
        <v>345</v>
      </c>
      <c r="C47" s="133" t="s">
        <v>347</v>
      </c>
      <c r="D47" s="235">
        <v>44409</v>
      </c>
      <c r="E47" s="170">
        <v>31</v>
      </c>
      <c r="F47" s="171">
        <v>3034166</v>
      </c>
      <c r="G47" s="171">
        <v>1914414.0746268658</v>
      </c>
      <c r="H47" s="171">
        <v>1119751.9253731342</v>
      </c>
      <c r="I47" s="171">
        <v>1</v>
      </c>
      <c r="J47" s="171">
        <v>36121.029850746265</v>
      </c>
      <c r="K47" s="174">
        <v>1950535.1044776121</v>
      </c>
      <c r="L47" s="174">
        <v>1083630.8955223879</v>
      </c>
      <c r="M47" s="409"/>
      <c r="N47" s="409"/>
      <c r="O47" s="409"/>
    </row>
    <row r="48" spans="2:15" ht="14.25" customHeight="1">
      <c r="B48" s="371" t="s">
        <v>346</v>
      </c>
      <c r="C48" s="133" t="s">
        <v>347</v>
      </c>
      <c r="D48" s="235">
        <v>44409</v>
      </c>
      <c r="E48" s="170">
        <v>31</v>
      </c>
      <c r="F48" s="171">
        <v>11704884</v>
      </c>
      <c r="G48" s="171">
        <v>7385224.4285714291</v>
      </c>
      <c r="H48" s="171">
        <v>4319659.5714285709</v>
      </c>
      <c r="I48" s="171">
        <v>1</v>
      </c>
      <c r="J48" s="171">
        <v>139343.85714285713</v>
      </c>
      <c r="K48" s="174">
        <v>7524568.2857142864</v>
      </c>
      <c r="L48" s="174">
        <v>4180315.7142857136</v>
      </c>
      <c r="M48" s="409"/>
      <c r="N48" s="409"/>
      <c r="O48" s="409"/>
    </row>
    <row r="49" spans="2:15" ht="14.25" customHeight="1">
      <c r="B49" s="371" t="s">
        <v>350</v>
      </c>
      <c r="C49" s="133" t="s">
        <v>347</v>
      </c>
      <c r="D49" s="235">
        <v>44442</v>
      </c>
      <c r="E49" s="170">
        <v>32</v>
      </c>
      <c r="F49" s="171">
        <v>5574540</v>
      </c>
      <c r="G49" s="171">
        <v>3450905.6470588236</v>
      </c>
      <c r="H49" s="171">
        <v>2123634.3529411764</v>
      </c>
      <c r="I49" s="171">
        <v>1</v>
      </c>
      <c r="J49" s="171">
        <v>66363.573529411762</v>
      </c>
      <c r="K49" s="174">
        <v>3517269.2205882352</v>
      </c>
      <c r="L49" s="174">
        <v>2057270.7794117648</v>
      </c>
      <c r="M49" s="409"/>
      <c r="N49" s="409"/>
      <c r="O49" s="409"/>
    </row>
    <row r="50" spans="2:15" ht="14.25" customHeight="1">
      <c r="B50" s="371" t="s">
        <v>354</v>
      </c>
      <c r="C50" s="133" t="s">
        <v>347</v>
      </c>
      <c r="D50" s="235">
        <v>44473</v>
      </c>
      <c r="E50" s="170">
        <v>33</v>
      </c>
      <c r="F50" s="171">
        <v>454739</v>
      </c>
      <c r="G50" s="171">
        <v>276091.34782608697</v>
      </c>
      <c r="H50" s="171">
        <v>178647.65217391303</v>
      </c>
      <c r="I50" s="171">
        <v>1</v>
      </c>
      <c r="J50" s="171">
        <v>5413.565217391304</v>
      </c>
      <c r="K50" s="174">
        <v>281504.91304347827</v>
      </c>
      <c r="L50" s="174">
        <v>173234.08695652173</v>
      </c>
      <c r="M50" s="409"/>
      <c r="N50" s="409"/>
      <c r="O50" s="409"/>
    </row>
    <row r="51" spans="2:15" ht="14.25" customHeight="1">
      <c r="B51" s="371" t="s">
        <v>355</v>
      </c>
      <c r="C51" s="133" t="s">
        <v>347</v>
      </c>
      <c r="D51" s="235">
        <v>44481</v>
      </c>
      <c r="E51" s="170">
        <v>33</v>
      </c>
      <c r="F51" s="171">
        <v>7305106</v>
      </c>
      <c r="G51" s="171">
        <v>4435242.826086957</v>
      </c>
      <c r="H51" s="171">
        <v>2869863.173913043</v>
      </c>
      <c r="I51" s="171">
        <v>1</v>
      </c>
      <c r="J51" s="171">
        <v>86965.550724637666</v>
      </c>
      <c r="K51" s="174">
        <v>4522208.3768115947</v>
      </c>
      <c r="L51" s="174">
        <v>2782897.6231884053</v>
      </c>
      <c r="M51" s="409"/>
      <c r="N51" s="409"/>
      <c r="O51" s="409"/>
    </row>
    <row r="52" spans="2:15" ht="14.25" customHeight="1">
      <c r="B52" s="371" t="s">
        <v>356</v>
      </c>
      <c r="C52" s="133" t="s">
        <v>347</v>
      </c>
      <c r="D52" s="235">
        <v>44488</v>
      </c>
      <c r="E52" s="170">
        <v>33</v>
      </c>
      <c r="F52" s="171">
        <v>50420168</v>
      </c>
      <c r="G52" s="171">
        <v>30612244.652173914</v>
      </c>
      <c r="H52" s="171">
        <v>19807923.347826086</v>
      </c>
      <c r="I52" s="171">
        <v>1</v>
      </c>
      <c r="J52" s="171">
        <v>600240.10144927539</v>
      </c>
      <c r="K52" s="174">
        <v>31212484.753623188</v>
      </c>
      <c r="L52" s="174">
        <v>19207683.246376812</v>
      </c>
      <c r="M52" s="409"/>
      <c r="N52" s="409"/>
      <c r="O52" s="409"/>
    </row>
    <row r="53" spans="2:15" ht="14.25" customHeight="1">
      <c r="B53" s="371" t="s">
        <v>370</v>
      </c>
      <c r="C53" s="133" t="s">
        <v>347</v>
      </c>
      <c r="D53" s="235">
        <v>44502</v>
      </c>
      <c r="E53" s="170">
        <v>34</v>
      </c>
      <c r="F53" s="171">
        <v>3385046</v>
      </c>
      <c r="G53" s="171">
        <v>2014908.3333333335</v>
      </c>
      <c r="H53" s="171">
        <v>1370137.6666666665</v>
      </c>
      <c r="I53" s="171">
        <v>1</v>
      </c>
      <c r="J53" s="171">
        <v>40298.166666666664</v>
      </c>
      <c r="K53" s="174">
        <v>2055206.5000000002</v>
      </c>
      <c r="L53" s="174">
        <v>1329839.4999999998</v>
      </c>
      <c r="M53" s="409"/>
      <c r="N53" s="409"/>
      <c r="O53" s="409"/>
    </row>
    <row r="54" spans="2:15" ht="14.25" customHeight="1">
      <c r="B54" s="371" t="s">
        <v>370</v>
      </c>
      <c r="C54" s="133" t="s">
        <v>347</v>
      </c>
      <c r="D54" s="235">
        <v>44502</v>
      </c>
      <c r="E54" s="170">
        <v>34</v>
      </c>
      <c r="F54" s="171">
        <v>13052521</v>
      </c>
      <c r="G54" s="171">
        <v>7769357.7380952379</v>
      </c>
      <c r="H54" s="171">
        <v>5283163.2619047621</v>
      </c>
      <c r="I54" s="171">
        <v>1</v>
      </c>
      <c r="J54" s="171">
        <v>155387.15476190476</v>
      </c>
      <c r="K54" s="174">
        <v>7924744.8928571427</v>
      </c>
      <c r="L54" s="174">
        <v>5127776.1071428573</v>
      </c>
      <c r="M54" s="409"/>
      <c r="N54" s="409"/>
      <c r="O54" s="409"/>
    </row>
    <row r="55" spans="2:15" ht="14.25" customHeight="1">
      <c r="B55" s="371" t="s">
        <v>350</v>
      </c>
      <c r="C55" s="133" t="s">
        <v>347</v>
      </c>
      <c r="D55" s="235">
        <v>44531</v>
      </c>
      <c r="E55" s="170">
        <v>35</v>
      </c>
      <c r="F55" s="171">
        <v>5574540</v>
      </c>
      <c r="G55" s="171">
        <v>3251815</v>
      </c>
      <c r="H55" s="171">
        <v>2322725</v>
      </c>
      <c r="I55" s="171">
        <v>1</v>
      </c>
      <c r="J55" s="171">
        <v>66363.571428571435</v>
      </c>
      <c r="K55" s="174">
        <v>3318178.5714285714</v>
      </c>
      <c r="L55" s="174">
        <v>2256361.4285714286</v>
      </c>
      <c r="M55" s="409"/>
      <c r="N55" s="409"/>
      <c r="O55" s="409"/>
    </row>
    <row r="56" spans="2:15" ht="14.25" customHeight="1">
      <c r="B56" s="371" t="s">
        <v>350</v>
      </c>
      <c r="C56" s="133" t="s">
        <v>347</v>
      </c>
      <c r="D56" s="235">
        <v>44682</v>
      </c>
      <c r="E56" s="170">
        <v>40</v>
      </c>
      <c r="F56" s="171">
        <v>480550</v>
      </c>
      <c r="G56" s="171">
        <v>251716.66666666666</v>
      </c>
      <c r="H56" s="171">
        <v>228833.33333333334</v>
      </c>
      <c r="I56" s="171">
        <v>1</v>
      </c>
      <c r="J56" s="171">
        <v>5720.8333333333339</v>
      </c>
      <c r="K56" s="174">
        <v>257437.5</v>
      </c>
      <c r="L56" s="174">
        <v>223112.5</v>
      </c>
      <c r="M56" s="409"/>
      <c r="N56" s="409"/>
      <c r="O56" s="409"/>
    </row>
    <row r="57" spans="2:15" ht="14.25" customHeight="1">
      <c r="B57" s="371" t="s">
        <v>403</v>
      </c>
      <c r="C57" s="133" t="s">
        <v>265</v>
      </c>
      <c r="D57" s="235">
        <v>44691</v>
      </c>
      <c r="E57" s="170">
        <v>40</v>
      </c>
      <c r="F57" s="171">
        <v>450000</v>
      </c>
      <c r="G57" s="171">
        <v>235714.28571428571</v>
      </c>
      <c r="H57" s="171">
        <v>214285.71428571429</v>
      </c>
      <c r="I57" s="171">
        <v>1</v>
      </c>
      <c r="J57" s="171">
        <v>5357.1428571428569</v>
      </c>
      <c r="K57" s="174">
        <v>241071.42857142858</v>
      </c>
      <c r="L57" s="174">
        <v>208928.57142857142</v>
      </c>
      <c r="M57" s="409"/>
      <c r="N57" s="409"/>
      <c r="O57" s="409"/>
    </row>
    <row r="58" spans="2:15" ht="14.25" customHeight="1">
      <c r="B58" s="371" t="s">
        <v>448</v>
      </c>
      <c r="C58" s="133" t="s">
        <v>349</v>
      </c>
      <c r="D58" s="235">
        <v>44805</v>
      </c>
      <c r="E58" s="170">
        <v>44</v>
      </c>
      <c r="F58" s="171">
        <v>22689076</v>
      </c>
      <c r="G58" s="171">
        <v>10804321.904761907</v>
      </c>
      <c r="H58" s="171">
        <v>11884754.095238093</v>
      </c>
      <c r="I58" s="171">
        <v>1</v>
      </c>
      <c r="J58" s="171">
        <v>270108.04761904757</v>
      </c>
      <c r="K58" s="174">
        <v>11074429.952380955</v>
      </c>
      <c r="L58" s="174">
        <v>11614646.047619045</v>
      </c>
      <c r="M58" s="409"/>
      <c r="N58" s="409"/>
      <c r="O58" s="409"/>
    </row>
    <row r="59" spans="2:15" ht="14.25" customHeight="1">
      <c r="B59" s="371" t="s">
        <v>449</v>
      </c>
      <c r="C59" s="133" t="s">
        <v>349</v>
      </c>
      <c r="D59" s="235">
        <v>44805</v>
      </c>
      <c r="E59" s="170">
        <v>44</v>
      </c>
      <c r="F59" s="171">
        <v>738560</v>
      </c>
      <c r="G59" s="171">
        <v>351695.23809523811</v>
      </c>
      <c r="H59" s="171">
        <v>386864.76190476189</v>
      </c>
      <c r="I59" s="171">
        <v>1</v>
      </c>
      <c r="J59" s="171">
        <v>8792.3809523809523</v>
      </c>
      <c r="K59" s="174">
        <v>360487.61904761905</v>
      </c>
      <c r="L59" s="174">
        <v>378072.38095238095</v>
      </c>
      <c r="M59" s="409"/>
      <c r="N59" s="409"/>
      <c r="O59" s="409"/>
    </row>
    <row r="60" spans="2:15" ht="14.25" customHeight="1">
      <c r="B60" s="371" t="s">
        <v>446</v>
      </c>
      <c r="C60" s="133" t="s">
        <v>347</v>
      </c>
      <c r="D60" s="235">
        <v>44805</v>
      </c>
      <c r="E60" s="170">
        <v>44</v>
      </c>
      <c r="F60" s="171">
        <v>807000</v>
      </c>
      <c r="G60" s="171">
        <v>384285.71428571432</v>
      </c>
      <c r="H60" s="171">
        <v>422714.28571428568</v>
      </c>
      <c r="I60" s="171">
        <v>1</v>
      </c>
      <c r="J60" s="171">
        <v>9607.1428571428569</v>
      </c>
      <c r="K60" s="174">
        <v>393892.85714285716</v>
      </c>
      <c r="L60" s="174">
        <v>413107.14285714284</v>
      </c>
      <c r="M60" s="409"/>
      <c r="N60" s="409"/>
      <c r="O60" s="409"/>
    </row>
    <row r="61" spans="2:15" ht="14.25" customHeight="1">
      <c r="B61" s="371" t="s">
        <v>447</v>
      </c>
      <c r="C61" s="133" t="s">
        <v>349</v>
      </c>
      <c r="D61" s="235">
        <v>44832</v>
      </c>
      <c r="E61" s="170">
        <v>45</v>
      </c>
      <c r="F61" s="171">
        <v>6593627</v>
      </c>
      <c r="G61" s="171">
        <v>3061326.8214285718</v>
      </c>
      <c r="H61" s="171">
        <v>3532300.1785714282</v>
      </c>
      <c r="I61" s="171">
        <v>1</v>
      </c>
      <c r="J61" s="171">
        <v>78495.559523809512</v>
      </c>
      <c r="K61" s="174">
        <v>3139822.3809523815</v>
      </c>
      <c r="L61" s="174">
        <v>3453804.6190476185</v>
      </c>
      <c r="M61" s="409"/>
      <c r="N61" s="409"/>
      <c r="O61" s="409"/>
    </row>
    <row r="62" spans="2:15">
      <c r="B62" s="133" t="s">
        <v>674</v>
      </c>
      <c r="C62" s="133" t="s">
        <v>676</v>
      </c>
      <c r="D62" s="235">
        <v>44938</v>
      </c>
      <c r="E62" s="170">
        <v>49</v>
      </c>
      <c r="F62" s="171">
        <v>24391950.000000004</v>
      </c>
      <c r="G62" s="171">
        <v>10163312.5</v>
      </c>
      <c r="H62" s="171">
        <v>14228637.500000004</v>
      </c>
      <c r="I62" s="171">
        <v>1</v>
      </c>
      <c r="J62" s="171">
        <v>290380.35714285722</v>
      </c>
      <c r="K62" s="174">
        <v>10453692.857142856</v>
      </c>
      <c r="L62" s="174">
        <v>13938257.142857147</v>
      </c>
      <c r="M62" s="409"/>
      <c r="N62" s="409"/>
      <c r="O62" s="409"/>
    </row>
    <row r="63" spans="2:15">
      <c r="B63" s="133" t="s">
        <v>675</v>
      </c>
      <c r="C63" s="133" t="s">
        <v>677</v>
      </c>
      <c r="D63" s="235">
        <v>44938</v>
      </c>
      <c r="E63" s="170">
        <v>49</v>
      </c>
      <c r="F63" s="171">
        <v>19957050</v>
      </c>
      <c r="G63" s="171">
        <v>8315437.5</v>
      </c>
      <c r="H63" s="171">
        <v>11641612.5</v>
      </c>
      <c r="I63" s="171">
        <v>1</v>
      </c>
      <c r="J63" s="171">
        <v>237583.92857142858</v>
      </c>
      <c r="K63" s="174">
        <v>8553021.4285714291</v>
      </c>
      <c r="L63" s="174">
        <v>11404028.571428571</v>
      </c>
      <c r="M63" s="409"/>
      <c r="N63" s="409"/>
      <c r="O63" s="409"/>
    </row>
    <row r="64" spans="2:15">
      <c r="B64" s="133" t="s">
        <v>794</v>
      </c>
      <c r="C64" s="133" t="s">
        <v>676</v>
      </c>
      <c r="D64" s="235">
        <v>44958</v>
      </c>
      <c r="E64" s="170">
        <v>50</v>
      </c>
      <c r="F64" s="171">
        <v>6593630</v>
      </c>
      <c r="G64" s="171">
        <v>2668850.2380952379</v>
      </c>
      <c r="H64" s="171">
        <v>3924779.7619047621</v>
      </c>
      <c r="I64" s="171">
        <v>1</v>
      </c>
      <c r="J64" s="171">
        <v>78495.595238095237</v>
      </c>
      <c r="K64" s="174">
        <v>2747345.833333333</v>
      </c>
      <c r="L64" s="174">
        <v>3846284.166666667</v>
      </c>
      <c r="M64" s="409"/>
      <c r="N64" s="409"/>
      <c r="O64" s="409"/>
    </row>
    <row r="65" spans="2:19">
      <c r="B65" s="133" t="s">
        <v>795</v>
      </c>
      <c r="C65" s="133" t="s">
        <v>676</v>
      </c>
      <c r="D65" s="235">
        <v>44959</v>
      </c>
      <c r="E65" s="170">
        <v>50</v>
      </c>
      <c r="F65" s="171">
        <v>1599072</v>
      </c>
      <c r="G65" s="171">
        <v>647243.42857142852</v>
      </c>
      <c r="H65" s="171">
        <v>951828.57142857148</v>
      </c>
      <c r="I65" s="171">
        <v>1</v>
      </c>
      <c r="J65" s="171">
        <v>19036.571428571431</v>
      </c>
      <c r="K65" s="174">
        <v>666280</v>
      </c>
      <c r="L65" s="174">
        <v>932792</v>
      </c>
      <c r="M65" s="409"/>
      <c r="N65" s="409"/>
      <c r="O65" s="409"/>
    </row>
    <row r="66" spans="2:19">
      <c r="B66" s="133" t="s">
        <v>796</v>
      </c>
      <c r="C66" s="133" t="s">
        <v>676</v>
      </c>
      <c r="D66" s="235">
        <v>44966</v>
      </c>
      <c r="E66" s="170">
        <v>50</v>
      </c>
      <c r="F66" s="171">
        <v>3567041</v>
      </c>
      <c r="G66" s="171">
        <v>1443802.3095238095</v>
      </c>
      <c r="H66" s="171">
        <v>2123238.6904761903</v>
      </c>
      <c r="I66" s="171">
        <v>1</v>
      </c>
      <c r="J66" s="171">
        <v>42464.773809523809</v>
      </c>
      <c r="K66" s="174">
        <v>1486267.0833333333</v>
      </c>
      <c r="L66" s="174">
        <v>2080773.9166666667</v>
      </c>
      <c r="M66" s="409"/>
      <c r="N66" s="409"/>
      <c r="O66" s="409"/>
    </row>
    <row r="67" spans="2:19">
      <c r="B67" s="133" t="s">
        <v>800</v>
      </c>
      <c r="C67" s="133" t="s">
        <v>676</v>
      </c>
      <c r="D67" s="235">
        <v>44970</v>
      </c>
      <c r="E67" s="170">
        <v>50</v>
      </c>
      <c r="F67" s="171">
        <v>16261300.000000002</v>
      </c>
      <c r="G67" s="171">
        <v>6581954.7619047621</v>
      </c>
      <c r="H67" s="171">
        <v>9679345.2380952388</v>
      </c>
      <c r="I67" s="171">
        <v>1</v>
      </c>
      <c r="J67" s="171">
        <v>193586.90476190476</v>
      </c>
      <c r="K67" s="174">
        <v>6775541.666666667</v>
      </c>
      <c r="L67" s="174">
        <v>9485758.3333333358</v>
      </c>
      <c r="M67" s="409"/>
      <c r="N67" s="409"/>
      <c r="O67" s="409"/>
    </row>
    <row r="68" spans="2:19">
      <c r="B68" s="133" t="s">
        <v>801</v>
      </c>
      <c r="C68" s="133" t="s">
        <v>677</v>
      </c>
      <c r="D68" s="235">
        <v>44970</v>
      </c>
      <c r="E68" s="170">
        <v>50</v>
      </c>
      <c r="F68" s="171">
        <v>13304700</v>
      </c>
      <c r="G68" s="171">
        <v>5385235.7142857146</v>
      </c>
      <c r="H68" s="171">
        <v>7919464.2857142854</v>
      </c>
      <c r="I68" s="171">
        <v>1</v>
      </c>
      <c r="J68" s="171">
        <v>158389.28571428571</v>
      </c>
      <c r="K68" s="174">
        <v>5543625</v>
      </c>
      <c r="L68" s="174">
        <v>7761075</v>
      </c>
      <c r="M68" s="409"/>
      <c r="N68" s="409"/>
      <c r="O68" s="409"/>
    </row>
    <row r="69" spans="2:19">
      <c r="B69" s="133" t="s">
        <v>797</v>
      </c>
      <c r="C69" s="133" t="s">
        <v>676</v>
      </c>
      <c r="D69" s="235">
        <v>44982</v>
      </c>
      <c r="E69" s="170">
        <v>50</v>
      </c>
      <c r="F69" s="171">
        <v>279651</v>
      </c>
      <c r="G69" s="171">
        <v>113192.07142857143</v>
      </c>
      <c r="H69" s="171">
        <v>166458.92857142858</v>
      </c>
      <c r="I69" s="171">
        <v>1</v>
      </c>
      <c r="J69" s="171">
        <v>3329.1785714285716</v>
      </c>
      <c r="K69" s="174">
        <v>116521.25</v>
      </c>
      <c r="L69" s="174">
        <v>163129.75</v>
      </c>
      <c r="M69" s="409"/>
      <c r="N69" s="409"/>
      <c r="O69" s="409"/>
    </row>
    <row r="70" spans="2:19">
      <c r="B70" s="133" t="s">
        <v>817</v>
      </c>
      <c r="C70" s="133" t="s">
        <v>677</v>
      </c>
      <c r="D70" s="235">
        <v>45000</v>
      </c>
      <c r="E70" s="170">
        <v>51</v>
      </c>
      <c r="F70" s="171">
        <v>29566000</v>
      </c>
      <c r="G70" s="171">
        <v>11615214.285714285</v>
      </c>
      <c r="H70" s="171">
        <v>17950785.714285716</v>
      </c>
      <c r="I70" s="171">
        <v>1</v>
      </c>
      <c r="J70" s="171">
        <v>351976.19047619053</v>
      </c>
      <c r="K70" s="174">
        <v>11967190.476190476</v>
      </c>
      <c r="L70" s="174">
        <v>17598809.523809522</v>
      </c>
      <c r="M70" s="409"/>
      <c r="N70" s="409"/>
      <c r="O70" s="409"/>
    </row>
    <row r="71" spans="2:19">
      <c r="B71" s="133" t="s">
        <v>827</v>
      </c>
      <c r="C71" s="133" t="s">
        <v>676</v>
      </c>
      <c r="D71" s="235">
        <v>45034</v>
      </c>
      <c r="E71" s="170">
        <v>52</v>
      </c>
      <c r="F71" s="171">
        <v>1599072</v>
      </c>
      <c r="G71" s="171">
        <v>609170.28571428568</v>
      </c>
      <c r="H71" s="171">
        <v>989901.71428571432</v>
      </c>
      <c r="I71" s="171">
        <v>1</v>
      </c>
      <c r="J71" s="171">
        <v>19036.571428571428</v>
      </c>
      <c r="K71" s="174">
        <v>628206.85714285716</v>
      </c>
      <c r="L71" s="174">
        <v>970865.14285714284</v>
      </c>
      <c r="M71" s="409"/>
      <c r="N71" s="409"/>
      <c r="O71" s="409"/>
    </row>
    <row r="72" spans="2:19">
      <c r="B72" s="133" t="s">
        <v>1204</v>
      </c>
      <c r="C72" s="133" t="s">
        <v>676</v>
      </c>
      <c r="D72" s="235">
        <v>45036</v>
      </c>
      <c r="E72" s="170">
        <v>52</v>
      </c>
      <c r="F72" s="171">
        <v>11000000</v>
      </c>
      <c r="G72" s="171">
        <v>4190476.1904761903</v>
      </c>
      <c r="H72" s="171">
        <v>6809523.8095238097</v>
      </c>
      <c r="I72" s="171">
        <v>1</v>
      </c>
      <c r="J72" s="171">
        <v>130952.38095238096</v>
      </c>
      <c r="K72" s="174">
        <v>4321428.5714285709</v>
      </c>
      <c r="L72" s="174">
        <v>6678571.4285714291</v>
      </c>
      <c r="M72" s="409"/>
      <c r="N72" s="409"/>
      <c r="O72" s="409"/>
    </row>
    <row r="73" spans="2:19">
      <c r="B73" s="133" t="s">
        <v>1204</v>
      </c>
      <c r="C73" s="133" t="s">
        <v>677</v>
      </c>
      <c r="D73" s="235">
        <v>45036</v>
      </c>
      <c r="E73" s="170">
        <v>52</v>
      </c>
      <c r="F73" s="171">
        <v>9000000</v>
      </c>
      <c r="G73" s="171">
        <v>3428571.4285714282</v>
      </c>
      <c r="H73" s="171">
        <v>5571428.5714285718</v>
      </c>
      <c r="I73" s="171">
        <v>1</v>
      </c>
      <c r="J73" s="171">
        <v>107142.85714285714</v>
      </c>
      <c r="K73" s="174">
        <v>3535714.2857142854</v>
      </c>
      <c r="L73" s="174">
        <v>5464285.7142857146</v>
      </c>
      <c r="M73" s="409"/>
      <c r="N73" s="409"/>
      <c r="O73" s="409"/>
    </row>
    <row r="74" spans="2:19">
      <c r="B74" s="133" t="s">
        <v>1205</v>
      </c>
      <c r="C74" s="133" t="s">
        <v>676</v>
      </c>
      <c r="D74" s="235">
        <v>45046</v>
      </c>
      <c r="E74" s="170">
        <v>52</v>
      </c>
      <c r="F74" s="171">
        <v>550000</v>
      </c>
      <c r="G74" s="171">
        <v>209523.80952380953</v>
      </c>
      <c r="H74" s="171">
        <v>340476.19047619047</v>
      </c>
      <c r="I74" s="171">
        <v>1</v>
      </c>
      <c r="J74" s="171">
        <v>6547.6190476190477</v>
      </c>
      <c r="K74" s="174">
        <v>216071.42857142858</v>
      </c>
      <c r="L74" s="174">
        <v>333928.57142857142</v>
      </c>
      <c r="M74" s="409"/>
      <c r="N74" s="409"/>
      <c r="O74" s="409"/>
    </row>
    <row r="75" spans="2:19">
      <c r="B75" s="133" t="s">
        <v>1206</v>
      </c>
      <c r="C75" s="133" t="s">
        <v>676</v>
      </c>
      <c r="D75" s="235">
        <v>45046</v>
      </c>
      <c r="E75" s="170">
        <v>52</v>
      </c>
      <c r="F75" s="171">
        <v>480000</v>
      </c>
      <c r="G75" s="171">
        <v>182857.14285714284</v>
      </c>
      <c r="H75" s="171">
        <v>297142.85714285716</v>
      </c>
      <c r="I75" s="171">
        <v>1</v>
      </c>
      <c r="J75" s="171">
        <v>5714.2857142857147</v>
      </c>
      <c r="K75" s="174">
        <v>188571.42857142855</v>
      </c>
      <c r="L75" s="174">
        <v>291428.57142857148</v>
      </c>
      <c r="M75" s="409"/>
      <c r="N75" s="409"/>
      <c r="O75" s="409"/>
    </row>
    <row r="76" spans="2:19">
      <c r="B76" s="133" t="s">
        <v>1262</v>
      </c>
      <c r="C76" s="133" t="s">
        <v>676</v>
      </c>
      <c r="D76" s="235">
        <v>45078</v>
      </c>
      <c r="E76" s="170">
        <v>54</v>
      </c>
      <c r="F76" s="171">
        <v>18461300</v>
      </c>
      <c r="G76" s="171">
        <v>6593321.4285714282</v>
      </c>
      <c r="H76" s="171">
        <v>11867978.571428571</v>
      </c>
      <c r="I76" s="171">
        <v>1</v>
      </c>
      <c r="J76" s="171">
        <v>219777.38095238095</v>
      </c>
      <c r="K76" s="174">
        <v>6813098.8095238088</v>
      </c>
      <c r="L76" s="174">
        <v>11648201.19047619</v>
      </c>
      <c r="M76" s="409"/>
      <c r="N76" s="409"/>
      <c r="O76" s="409"/>
    </row>
    <row r="77" spans="2:19">
      <c r="B77" s="133" t="s">
        <v>1262</v>
      </c>
      <c r="C77" s="133" t="s">
        <v>677</v>
      </c>
      <c r="D77" s="235">
        <v>45078</v>
      </c>
      <c r="E77" s="170">
        <v>54</v>
      </c>
      <c r="F77" s="171">
        <v>15104700</v>
      </c>
      <c r="G77" s="171">
        <v>5394535.7142857146</v>
      </c>
      <c r="H77" s="171">
        <v>9710164.2857142854</v>
      </c>
      <c r="I77" s="171">
        <v>1</v>
      </c>
      <c r="J77" s="171">
        <v>179817.85714285713</v>
      </c>
      <c r="K77" s="174">
        <v>5574353.5714285718</v>
      </c>
      <c r="L77" s="174">
        <v>9530346.4285714291</v>
      </c>
      <c r="M77" s="409"/>
      <c r="N77" s="409"/>
      <c r="O77" s="80"/>
      <c r="P77" s="267"/>
      <c r="Q77" s="80"/>
      <c r="S77" s="154">
        <f>ROUND(P77,0)</f>
        <v>0</v>
      </c>
    </row>
    <row r="78" spans="2:19">
      <c r="B78" s="133" t="s">
        <v>1264</v>
      </c>
      <c r="C78" s="133" t="s">
        <v>676</v>
      </c>
      <c r="D78" s="235">
        <v>45084</v>
      </c>
      <c r="E78" s="170">
        <v>54</v>
      </c>
      <c r="F78" s="171">
        <v>3680000</v>
      </c>
      <c r="G78" s="171">
        <v>1314285.7142857141</v>
      </c>
      <c r="H78" s="171">
        <v>2365714.2857142859</v>
      </c>
      <c r="I78" s="171">
        <v>1</v>
      </c>
      <c r="J78" s="171">
        <v>43809.523809523816</v>
      </c>
      <c r="K78" s="174">
        <v>1358095.2380952379</v>
      </c>
      <c r="L78" s="174">
        <v>2321904.7619047621</v>
      </c>
      <c r="M78" s="409"/>
      <c r="N78" s="409"/>
      <c r="O78" s="80"/>
      <c r="P78" s="267"/>
      <c r="Q78" s="80"/>
      <c r="S78" s="154">
        <f t="shared" ref="S78:S87" si="0">ROUND(P78,0)</f>
        <v>0</v>
      </c>
    </row>
    <row r="79" spans="2:19">
      <c r="B79" s="133" t="s">
        <v>1263</v>
      </c>
      <c r="C79" s="133" t="s">
        <v>677</v>
      </c>
      <c r="D79" s="235">
        <v>45084</v>
      </c>
      <c r="E79" s="170">
        <v>54</v>
      </c>
      <c r="F79" s="171">
        <v>2490000</v>
      </c>
      <c r="G79" s="171">
        <v>889285.71428571432</v>
      </c>
      <c r="H79" s="171">
        <v>1600714.2857142857</v>
      </c>
      <c r="I79" s="171">
        <v>1</v>
      </c>
      <c r="J79" s="171">
        <v>29642.857142857141</v>
      </c>
      <c r="K79" s="174">
        <v>918928.57142857148</v>
      </c>
      <c r="L79" s="174">
        <v>1571071.4285714286</v>
      </c>
      <c r="M79" s="409"/>
      <c r="N79" s="409"/>
      <c r="O79" s="138"/>
      <c r="P79" s="267"/>
      <c r="Q79" s="80"/>
      <c r="S79" s="154">
        <f t="shared" si="0"/>
        <v>0</v>
      </c>
    </row>
    <row r="80" spans="2:19">
      <c r="B80" s="133" t="s">
        <v>1352</v>
      </c>
      <c r="C80" s="133" t="s">
        <v>347</v>
      </c>
      <c r="D80" s="235">
        <v>45117</v>
      </c>
      <c r="E80" s="170">
        <v>55</v>
      </c>
      <c r="F80" s="171">
        <v>1650000</v>
      </c>
      <c r="G80" s="171">
        <v>569642.85714285728</v>
      </c>
      <c r="H80" s="171">
        <v>1080357.1428571427</v>
      </c>
      <c r="I80" s="171">
        <v>1</v>
      </c>
      <c r="J80" s="171">
        <v>19642.857142857141</v>
      </c>
      <c r="K80" s="174">
        <v>589285.71428571444</v>
      </c>
      <c r="L80" s="174">
        <v>1060714.2857142854</v>
      </c>
      <c r="M80" s="409"/>
      <c r="N80" s="409"/>
      <c r="O80" s="138"/>
      <c r="P80" s="267"/>
      <c r="Q80" s="80"/>
      <c r="S80" s="154">
        <f t="shared" si="0"/>
        <v>0</v>
      </c>
    </row>
    <row r="81" spans="2:19">
      <c r="B81" s="133" t="s">
        <v>1353</v>
      </c>
      <c r="C81" s="133" t="s">
        <v>676</v>
      </c>
      <c r="D81" s="235">
        <v>45119</v>
      </c>
      <c r="E81" s="170">
        <v>55</v>
      </c>
      <c r="F81" s="171">
        <v>970000</v>
      </c>
      <c r="G81" s="171">
        <v>334880.95238095243</v>
      </c>
      <c r="H81" s="171">
        <v>635119.04761904757</v>
      </c>
      <c r="I81" s="171">
        <v>1</v>
      </c>
      <c r="J81" s="171">
        <v>11547.619047619048</v>
      </c>
      <c r="K81" s="174">
        <v>346428.57142857148</v>
      </c>
      <c r="L81" s="174">
        <v>623571.42857142852</v>
      </c>
      <c r="M81" s="409"/>
      <c r="N81" s="409"/>
      <c r="O81" s="138"/>
      <c r="P81" s="267"/>
      <c r="Q81" s="80"/>
      <c r="S81" s="154">
        <f t="shared" si="0"/>
        <v>0</v>
      </c>
    </row>
    <row r="82" spans="2:19">
      <c r="B82" s="133" t="s">
        <v>1692</v>
      </c>
      <c r="C82" s="133" t="s">
        <v>265</v>
      </c>
      <c r="D82" s="235">
        <v>45236</v>
      </c>
      <c r="E82" s="170">
        <v>58</v>
      </c>
      <c r="F82" s="171">
        <v>2176890</v>
      </c>
      <c r="G82" s="171">
        <v>673799.28571428568</v>
      </c>
      <c r="H82" s="171">
        <v>1503090.7142857143</v>
      </c>
      <c r="I82" s="171">
        <v>1</v>
      </c>
      <c r="J82" s="171">
        <v>25915.357142857145</v>
      </c>
      <c r="K82" s="174">
        <v>699714.64285714284</v>
      </c>
      <c r="L82" s="174">
        <v>1477175.3571428573</v>
      </c>
      <c r="M82" s="409"/>
      <c r="N82" s="409"/>
      <c r="O82" s="138"/>
      <c r="P82" s="267"/>
      <c r="Q82" s="80"/>
      <c r="S82" s="154">
        <f t="shared" si="0"/>
        <v>0</v>
      </c>
    </row>
    <row r="83" spans="2:19">
      <c r="B83" s="133" t="s">
        <v>1690</v>
      </c>
      <c r="C83" s="133" t="s">
        <v>265</v>
      </c>
      <c r="D83" s="235">
        <v>45273</v>
      </c>
      <c r="E83" s="170">
        <v>59</v>
      </c>
      <c r="F83" s="171">
        <v>2461890</v>
      </c>
      <c r="G83" s="171">
        <v>732705.35714285716</v>
      </c>
      <c r="H83" s="171">
        <v>1729184.6428571427</v>
      </c>
      <c r="I83" s="171">
        <v>1</v>
      </c>
      <c r="J83" s="171">
        <v>29308.214285714283</v>
      </c>
      <c r="K83" s="174">
        <v>762013.57142857148</v>
      </c>
      <c r="L83" s="174">
        <v>1699876.4285714286</v>
      </c>
      <c r="M83" s="409"/>
      <c r="N83" s="409"/>
      <c r="O83" s="80"/>
      <c r="P83" s="267"/>
      <c r="Q83" s="80"/>
      <c r="S83" s="154">
        <f t="shared" si="0"/>
        <v>0</v>
      </c>
    </row>
    <row r="84" spans="2:19">
      <c r="B84" s="133" t="s">
        <v>1691</v>
      </c>
      <c r="C84" s="133" t="s">
        <v>265</v>
      </c>
      <c r="D84" s="235">
        <v>45273</v>
      </c>
      <c r="E84" s="170">
        <v>59</v>
      </c>
      <c r="F84" s="171">
        <v>200000</v>
      </c>
      <c r="G84" s="171">
        <v>59523.809523809527</v>
      </c>
      <c r="H84" s="171">
        <v>140476.19047619047</v>
      </c>
      <c r="I84" s="171">
        <v>1</v>
      </c>
      <c r="J84" s="171">
        <v>2380.9523809523807</v>
      </c>
      <c r="K84" s="174">
        <v>61904.761904761908</v>
      </c>
      <c r="L84" s="174">
        <v>138095.23809523811</v>
      </c>
      <c r="M84" s="409"/>
      <c r="N84" s="409"/>
      <c r="O84" s="138"/>
      <c r="P84" s="267"/>
      <c r="Q84" s="80"/>
      <c r="S84" s="154">
        <f t="shared" si="0"/>
        <v>0</v>
      </c>
    </row>
    <row r="85" spans="2:19">
      <c r="B85" s="133" t="s">
        <v>2111</v>
      </c>
      <c r="C85" s="133" t="s">
        <v>283</v>
      </c>
      <c r="D85" s="235">
        <v>45351</v>
      </c>
      <c r="E85" s="170">
        <v>62</v>
      </c>
      <c r="F85" s="171">
        <v>163866</v>
      </c>
      <c r="G85" s="171">
        <v>42917.28571428571</v>
      </c>
      <c r="H85" s="171">
        <v>120948.71428571429</v>
      </c>
      <c r="I85" s="171">
        <v>1</v>
      </c>
      <c r="J85" s="171">
        <v>1950.7857142857144</v>
      </c>
      <c r="K85" s="174">
        <v>44868.071428571428</v>
      </c>
      <c r="L85" s="174">
        <v>118997.92857142858</v>
      </c>
      <c r="M85" s="409"/>
      <c r="N85" s="409"/>
      <c r="O85" s="138"/>
      <c r="P85" s="267"/>
      <c r="Q85" s="80"/>
      <c r="S85" s="154">
        <f t="shared" si="0"/>
        <v>0</v>
      </c>
    </row>
    <row r="86" spans="2:19">
      <c r="B86" s="133" t="s">
        <v>2112</v>
      </c>
      <c r="C86" s="133" t="s">
        <v>283</v>
      </c>
      <c r="D86" s="235">
        <v>45356</v>
      </c>
      <c r="E86" s="170">
        <v>63</v>
      </c>
      <c r="F86" s="171">
        <v>4917500</v>
      </c>
      <c r="G86" s="171">
        <v>1229375</v>
      </c>
      <c r="H86" s="171">
        <v>3688125</v>
      </c>
      <c r="I86" s="171">
        <v>1</v>
      </c>
      <c r="J86" s="171">
        <v>58541.666666666664</v>
      </c>
      <c r="K86" s="174">
        <v>1287916.6666666667</v>
      </c>
      <c r="L86" s="174">
        <v>3629583.333333333</v>
      </c>
      <c r="M86" s="409"/>
      <c r="N86" s="409"/>
      <c r="O86" s="138"/>
      <c r="P86" s="267"/>
      <c r="Q86" s="80"/>
      <c r="S86" s="154">
        <f t="shared" si="0"/>
        <v>0</v>
      </c>
    </row>
    <row r="87" spans="2:19">
      <c r="B87" s="133" t="s">
        <v>2113</v>
      </c>
      <c r="C87" s="133" t="s">
        <v>283</v>
      </c>
      <c r="D87" s="235">
        <v>45356</v>
      </c>
      <c r="E87" s="170">
        <v>63</v>
      </c>
      <c r="F87" s="171">
        <v>16254832</v>
      </c>
      <c r="G87" s="171">
        <v>4063708</v>
      </c>
      <c r="H87" s="171">
        <v>12191124</v>
      </c>
      <c r="I87" s="171">
        <v>1</v>
      </c>
      <c r="J87" s="171">
        <v>193509.90476190476</v>
      </c>
      <c r="K87" s="174">
        <v>4257217.9047619049</v>
      </c>
      <c r="L87" s="174">
        <v>11997614.095238095</v>
      </c>
      <c r="M87" s="409"/>
      <c r="N87" s="409"/>
      <c r="O87" s="138"/>
      <c r="P87" s="267"/>
      <c r="Q87" s="80"/>
      <c r="S87" s="154">
        <f t="shared" si="0"/>
        <v>0</v>
      </c>
    </row>
    <row r="88" spans="2:19">
      <c r="B88" s="133" t="s">
        <v>2114</v>
      </c>
      <c r="C88" s="133" t="s">
        <v>283</v>
      </c>
      <c r="D88" s="235">
        <v>45387</v>
      </c>
      <c r="E88" s="170">
        <v>64</v>
      </c>
      <c r="F88" s="171">
        <v>4917500</v>
      </c>
      <c r="G88" s="171">
        <v>1170833.3333333333</v>
      </c>
      <c r="H88" s="171">
        <v>3746666.666666667</v>
      </c>
      <c r="I88" s="171">
        <v>1</v>
      </c>
      <c r="J88" s="171">
        <v>58541.666666666672</v>
      </c>
      <c r="K88" s="174">
        <v>1229375</v>
      </c>
      <c r="L88" s="174">
        <v>3688125</v>
      </c>
      <c r="M88" s="409"/>
      <c r="N88" s="409"/>
      <c r="O88" s="138"/>
      <c r="P88" s="267"/>
      <c r="Q88" s="80"/>
      <c r="S88" s="154"/>
    </row>
    <row r="89" spans="2:19">
      <c r="B89" s="133" t="s">
        <v>2115</v>
      </c>
      <c r="C89" s="133" t="s">
        <v>1896</v>
      </c>
      <c r="D89" s="235">
        <v>45390</v>
      </c>
      <c r="E89" s="170">
        <v>64</v>
      </c>
      <c r="F89" s="171">
        <v>1437500</v>
      </c>
      <c r="G89" s="171">
        <v>342261.90476190473</v>
      </c>
      <c r="H89" s="171">
        <v>1095238.0952380951</v>
      </c>
      <c r="I89" s="171">
        <v>1</v>
      </c>
      <c r="J89" s="171">
        <v>17113.095238095237</v>
      </c>
      <c r="K89" s="174">
        <v>359375</v>
      </c>
      <c r="L89" s="174">
        <v>1078125</v>
      </c>
      <c r="M89" s="409"/>
      <c r="N89" s="409"/>
      <c r="O89" s="138"/>
      <c r="P89" s="267"/>
      <c r="Q89" s="80"/>
      <c r="S89" s="154"/>
    </row>
    <row r="90" spans="2:19">
      <c r="B90" s="133" t="s">
        <v>2116</v>
      </c>
      <c r="C90" s="133" t="s">
        <v>1896</v>
      </c>
      <c r="D90" s="235">
        <v>45400</v>
      </c>
      <c r="E90" s="170">
        <v>64</v>
      </c>
      <c r="F90" s="171">
        <v>23680234</v>
      </c>
      <c r="G90" s="171">
        <v>5638150.9523809534</v>
      </c>
      <c r="H90" s="171">
        <v>18042083.047619045</v>
      </c>
      <c r="I90" s="171">
        <v>1</v>
      </c>
      <c r="J90" s="171">
        <v>281907.54761904757</v>
      </c>
      <c r="K90" s="174">
        <v>5920058.5000000009</v>
      </c>
      <c r="L90" s="174">
        <v>17760175.5</v>
      </c>
      <c r="M90" s="409"/>
      <c r="N90" s="409"/>
      <c r="O90" s="138"/>
      <c r="P90" s="267"/>
      <c r="Q90" s="80"/>
      <c r="S90" s="154"/>
    </row>
    <row r="91" spans="2:19">
      <c r="B91" s="133" t="s">
        <v>2117</v>
      </c>
      <c r="C91" s="133" t="s">
        <v>283</v>
      </c>
      <c r="D91" s="235">
        <v>45400</v>
      </c>
      <c r="E91" s="170">
        <v>64</v>
      </c>
      <c r="F91" s="171">
        <v>2760000</v>
      </c>
      <c r="G91" s="171">
        <v>657142.85714285716</v>
      </c>
      <c r="H91" s="171">
        <v>2102857.1428571427</v>
      </c>
      <c r="I91" s="171">
        <v>1</v>
      </c>
      <c r="J91" s="171">
        <v>32857.142857142855</v>
      </c>
      <c r="K91" s="174">
        <v>690000</v>
      </c>
      <c r="L91" s="174">
        <v>2070000</v>
      </c>
      <c r="M91" s="409"/>
      <c r="N91" s="409"/>
      <c r="O91" s="138"/>
      <c r="P91" s="267"/>
      <c r="Q91" s="80"/>
      <c r="S91" s="154"/>
    </row>
    <row r="92" spans="2:19">
      <c r="B92" s="133" t="s">
        <v>2118</v>
      </c>
      <c r="C92" s="133" t="s">
        <v>283</v>
      </c>
      <c r="D92" s="235">
        <v>45401</v>
      </c>
      <c r="E92" s="170">
        <v>64</v>
      </c>
      <c r="F92" s="171">
        <v>16254831</v>
      </c>
      <c r="G92" s="171">
        <v>3870197.8571428573</v>
      </c>
      <c r="H92" s="171">
        <v>12384633.142857142</v>
      </c>
      <c r="I92" s="171">
        <v>1</v>
      </c>
      <c r="J92" s="171">
        <v>193509.89285714284</v>
      </c>
      <c r="K92" s="174">
        <v>4063707.75</v>
      </c>
      <c r="L92" s="174">
        <v>12191123.25</v>
      </c>
      <c r="M92" s="409"/>
      <c r="N92" s="409"/>
      <c r="O92" s="138"/>
      <c r="P92" s="252"/>
      <c r="Q92" s="80"/>
      <c r="R92" s="256"/>
    </row>
    <row r="93" spans="2:19">
      <c r="B93" s="166" t="s">
        <v>2119</v>
      </c>
      <c r="C93" s="133" t="s">
        <v>283</v>
      </c>
      <c r="D93" s="235">
        <v>45407</v>
      </c>
      <c r="E93" s="170">
        <v>65</v>
      </c>
      <c r="F93" s="171">
        <v>4901838</v>
      </c>
      <c r="G93" s="171">
        <v>1108749.0714285714</v>
      </c>
      <c r="H93" s="171">
        <v>3793088.9285714286</v>
      </c>
      <c r="I93" s="171">
        <v>1</v>
      </c>
      <c r="J93" s="171">
        <v>58355.21428571429</v>
      </c>
      <c r="K93" s="174">
        <v>1167104.2857142857</v>
      </c>
      <c r="L93" s="174">
        <v>3734733.7142857146</v>
      </c>
      <c r="M93" s="409"/>
      <c r="N93" s="409"/>
      <c r="O93" s="138"/>
      <c r="P93" s="252"/>
      <c r="Q93" s="80"/>
      <c r="R93" s="256"/>
    </row>
    <row r="94" spans="2:19">
      <c r="B94" s="166" t="s">
        <v>2120</v>
      </c>
      <c r="C94" s="133" t="s">
        <v>1896</v>
      </c>
      <c r="D94" s="235">
        <v>45411</v>
      </c>
      <c r="E94" s="170">
        <v>65</v>
      </c>
      <c r="F94" s="171">
        <v>3301750</v>
      </c>
      <c r="G94" s="171">
        <v>746824.40476190473</v>
      </c>
      <c r="H94" s="171">
        <v>2554925.5952380951</v>
      </c>
      <c r="I94" s="171">
        <v>1</v>
      </c>
      <c r="J94" s="171">
        <v>39306.547619047618</v>
      </c>
      <c r="K94" s="174">
        <v>786130.95238095231</v>
      </c>
      <c r="L94" s="174">
        <v>2515619.0476190476</v>
      </c>
      <c r="M94" s="409"/>
      <c r="N94" s="409"/>
      <c r="O94" s="138"/>
      <c r="P94" s="252"/>
      <c r="Q94" s="80"/>
      <c r="R94" s="256"/>
    </row>
    <row r="95" spans="2:19">
      <c r="B95" s="166" t="s">
        <v>2121</v>
      </c>
      <c r="C95" s="133" t="s">
        <v>283</v>
      </c>
      <c r="D95" s="235">
        <v>45418</v>
      </c>
      <c r="E95" s="170">
        <v>65</v>
      </c>
      <c r="F95" s="171">
        <v>3800000</v>
      </c>
      <c r="G95" s="171">
        <v>859523.80952380947</v>
      </c>
      <c r="H95" s="171">
        <v>2940476.1904761903</v>
      </c>
      <c r="I95" s="171">
        <v>1</v>
      </c>
      <c r="J95" s="171">
        <v>45238.095238095237</v>
      </c>
      <c r="K95" s="174">
        <v>904761.90476190473</v>
      </c>
      <c r="L95" s="174">
        <v>2895238.0952380951</v>
      </c>
      <c r="M95" s="409"/>
      <c r="N95" s="409"/>
      <c r="O95" s="138"/>
      <c r="P95" s="252"/>
      <c r="Q95" s="80"/>
      <c r="R95" s="256"/>
    </row>
    <row r="96" spans="2:19">
      <c r="B96" s="166" t="s">
        <v>2122</v>
      </c>
      <c r="C96" s="133" t="s">
        <v>1896</v>
      </c>
      <c r="D96" s="235">
        <v>45418</v>
      </c>
      <c r="E96" s="170">
        <v>65</v>
      </c>
      <c r="F96" s="171">
        <v>13651000</v>
      </c>
      <c r="G96" s="171">
        <v>3087726.1904761903</v>
      </c>
      <c r="H96" s="171">
        <v>10563273.80952381</v>
      </c>
      <c r="I96" s="171">
        <v>1</v>
      </c>
      <c r="J96" s="171">
        <v>162511.90476190476</v>
      </c>
      <c r="K96" s="174">
        <v>3250238.0952380951</v>
      </c>
      <c r="L96" s="174">
        <v>10400761.904761905</v>
      </c>
      <c r="M96" s="409"/>
      <c r="N96" s="409"/>
      <c r="O96" s="138"/>
      <c r="P96" s="252"/>
      <c r="Q96" s="80"/>
      <c r="R96" s="256"/>
    </row>
    <row r="97" spans="2:18">
      <c r="B97" s="166" t="s">
        <v>2123</v>
      </c>
      <c r="C97" s="133" t="s">
        <v>283</v>
      </c>
      <c r="D97" s="235">
        <v>45425</v>
      </c>
      <c r="E97" s="170">
        <v>65</v>
      </c>
      <c r="F97" s="171">
        <v>3800000</v>
      </c>
      <c r="G97" s="171">
        <v>859523.80952380947</v>
      </c>
      <c r="H97" s="171">
        <v>2940476.1904761903</v>
      </c>
      <c r="I97" s="171">
        <v>1</v>
      </c>
      <c r="J97" s="171">
        <v>45238.095238095237</v>
      </c>
      <c r="K97" s="174">
        <v>904761.90476190473</v>
      </c>
      <c r="L97" s="174">
        <v>2895238.0952380951</v>
      </c>
      <c r="M97" s="409"/>
      <c r="N97" s="409"/>
      <c r="O97" s="138"/>
      <c r="P97" s="252"/>
      <c r="Q97" s="80"/>
      <c r="R97" s="256"/>
    </row>
    <row r="98" spans="2:18">
      <c r="B98" s="166" t="s">
        <v>2124</v>
      </c>
      <c r="C98" s="133" t="s">
        <v>266</v>
      </c>
      <c r="D98" s="235">
        <v>45429</v>
      </c>
      <c r="E98" s="170">
        <v>65</v>
      </c>
      <c r="F98" s="171">
        <v>109116</v>
      </c>
      <c r="G98" s="171">
        <v>24681</v>
      </c>
      <c r="H98" s="171">
        <v>84435</v>
      </c>
      <c r="I98" s="171">
        <v>1</v>
      </c>
      <c r="J98" s="171">
        <v>1299</v>
      </c>
      <c r="K98" s="174">
        <v>25980</v>
      </c>
      <c r="L98" s="174">
        <v>83136</v>
      </c>
      <c r="M98" s="409"/>
      <c r="N98" s="409"/>
      <c r="O98" s="138"/>
      <c r="P98" s="252"/>
      <c r="Q98" s="80"/>
      <c r="R98" s="256"/>
    </row>
    <row r="99" spans="2:18">
      <c r="B99" s="166" t="s">
        <v>2125</v>
      </c>
      <c r="C99" s="133" t="s">
        <v>266</v>
      </c>
      <c r="D99" s="235">
        <v>45429</v>
      </c>
      <c r="E99" s="170">
        <v>65</v>
      </c>
      <c r="F99" s="171">
        <v>624616</v>
      </c>
      <c r="G99" s="171">
        <v>141282.19047619047</v>
      </c>
      <c r="H99" s="171">
        <v>483333.80952380953</v>
      </c>
      <c r="I99" s="171">
        <v>1</v>
      </c>
      <c r="J99" s="171">
        <v>7435.9047619047624</v>
      </c>
      <c r="K99" s="174">
        <v>148718.09523809524</v>
      </c>
      <c r="L99" s="174">
        <v>475897.90476190473</v>
      </c>
      <c r="M99" s="409"/>
      <c r="N99" s="409"/>
      <c r="O99" s="138"/>
      <c r="P99" s="252"/>
      <c r="Q99" s="80"/>
      <c r="R99" s="256"/>
    </row>
    <row r="100" spans="2:18">
      <c r="B100" s="166" t="s">
        <v>2126</v>
      </c>
      <c r="C100" s="133" t="s">
        <v>1896</v>
      </c>
      <c r="D100" s="235">
        <v>45432</v>
      </c>
      <c r="E100" s="170">
        <v>65</v>
      </c>
      <c r="F100" s="171">
        <v>15786882</v>
      </c>
      <c r="G100" s="171">
        <v>3570842.3571428573</v>
      </c>
      <c r="H100" s="171">
        <v>12216039.642857142</v>
      </c>
      <c r="I100" s="171">
        <v>1</v>
      </c>
      <c r="J100" s="171">
        <v>187939.07142857142</v>
      </c>
      <c r="K100" s="174">
        <v>3758781.4285714286</v>
      </c>
      <c r="L100" s="174">
        <v>12028100.571428571</v>
      </c>
      <c r="M100" s="409"/>
      <c r="N100" s="409"/>
      <c r="O100" s="138"/>
      <c r="P100" s="252"/>
      <c r="Q100" s="80"/>
      <c r="R100" s="256"/>
    </row>
    <row r="101" spans="2:18">
      <c r="B101" s="166" t="s">
        <v>2127</v>
      </c>
      <c r="C101" s="133" t="s">
        <v>283</v>
      </c>
      <c r="D101" s="235">
        <v>45457</v>
      </c>
      <c r="E101" s="170">
        <v>66</v>
      </c>
      <c r="F101" s="171">
        <v>4901838</v>
      </c>
      <c r="G101" s="171">
        <v>1050393.8571428573</v>
      </c>
      <c r="H101" s="171">
        <v>3851444.1428571427</v>
      </c>
      <c r="I101" s="171">
        <v>1</v>
      </c>
      <c r="J101" s="171">
        <v>58355.214285714283</v>
      </c>
      <c r="K101" s="174">
        <v>1108749.0714285716</v>
      </c>
      <c r="L101" s="174">
        <v>3793088.9285714282</v>
      </c>
      <c r="M101" s="409"/>
      <c r="N101" s="409"/>
      <c r="O101" s="138"/>
      <c r="P101" s="252"/>
      <c r="Q101" s="80"/>
      <c r="R101" s="256"/>
    </row>
    <row r="102" spans="2:18">
      <c r="B102" s="166" t="s">
        <v>2128</v>
      </c>
      <c r="C102" s="133" t="s">
        <v>1896</v>
      </c>
      <c r="D102" s="235">
        <v>45457</v>
      </c>
      <c r="E102" s="170">
        <v>66</v>
      </c>
      <c r="F102" s="171">
        <v>1437500</v>
      </c>
      <c r="G102" s="171">
        <v>308035.71428571432</v>
      </c>
      <c r="H102" s="171">
        <v>1129464.2857142857</v>
      </c>
      <c r="I102" s="171">
        <v>1</v>
      </c>
      <c r="J102" s="171">
        <v>17113.095238095237</v>
      </c>
      <c r="K102" s="174">
        <v>325148.80952380958</v>
      </c>
      <c r="L102" s="174">
        <v>1112351.1904761903</v>
      </c>
      <c r="M102" s="409"/>
      <c r="N102" s="409"/>
      <c r="O102" s="138"/>
      <c r="P102" s="252"/>
      <c r="Q102" s="80"/>
      <c r="R102" s="256"/>
    </row>
    <row r="103" spans="2:18">
      <c r="B103" s="166" t="s">
        <v>2129</v>
      </c>
      <c r="C103" s="133" t="s">
        <v>283</v>
      </c>
      <c r="D103" s="235">
        <v>45463</v>
      </c>
      <c r="E103" s="170">
        <v>66</v>
      </c>
      <c r="F103" s="171">
        <v>6000000</v>
      </c>
      <c r="G103" s="171">
        <v>1285714.2857142857</v>
      </c>
      <c r="H103" s="171">
        <v>4714285.7142857146</v>
      </c>
      <c r="I103" s="171">
        <v>1</v>
      </c>
      <c r="J103" s="171">
        <v>71428.571428571435</v>
      </c>
      <c r="K103" s="174">
        <v>1357142.857142857</v>
      </c>
      <c r="L103" s="174">
        <v>4642857.1428571427</v>
      </c>
      <c r="M103" s="409"/>
      <c r="N103" s="409"/>
      <c r="O103" s="138"/>
      <c r="P103" s="252"/>
      <c r="Q103" s="80"/>
      <c r="R103" s="256"/>
    </row>
    <row r="104" spans="2:18">
      <c r="B104" s="166" t="s">
        <v>2130</v>
      </c>
      <c r="C104" s="133" t="s">
        <v>1896</v>
      </c>
      <c r="D104" s="235">
        <v>45477</v>
      </c>
      <c r="E104" s="170">
        <v>67</v>
      </c>
      <c r="F104" s="171">
        <v>11840162</v>
      </c>
      <c r="G104" s="171">
        <v>2396223.2619047621</v>
      </c>
      <c r="H104" s="171">
        <v>9443938.7380952388</v>
      </c>
      <c r="I104" s="171">
        <v>1</v>
      </c>
      <c r="J104" s="171">
        <v>140954.30952380953</v>
      </c>
      <c r="K104" s="174">
        <v>2537177.5714285718</v>
      </c>
      <c r="L104" s="174">
        <v>9302984.4285714291</v>
      </c>
      <c r="M104" s="409"/>
      <c r="N104" s="409"/>
      <c r="O104" s="138"/>
      <c r="P104" s="252"/>
      <c r="Q104" s="80"/>
      <c r="R104" s="256"/>
    </row>
    <row r="105" spans="2:18">
      <c r="B105" s="166" t="s">
        <v>2131</v>
      </c>
      <c r="C105" s="133" t="s">
        <v>283</v>
      </c>
      <c r="D105" s="235">
        <v>45477</v>
      </c>
      <c r="E105" s="170">
        <v>67</v>
      </c>
      <c r="F105" s="171">
        <v>5400000</v>
      </c>
      <c r="G105" s="171">
        <v>1092857.1428571427</v>
      </c>
      <c r="H105" s="171">
        <v>4307142.8571428573</v>
      </c>
      <c r="I105" s="171">
        <v>1</v>
      </c>
      <c r="J105" s="171">
        <v>64285.71428571429</v>
      </c>
      <c r="K105" s="174">
        <v>1157142.857142857</v>
      </c>
      <c r="L105" s="174">
        <v>4242857.1428571427</v>
      </c>
      <c r="M105" s="409"/>
      <c r="N105" s="409"/>
      <c r="O105" s="138"/>
      <c r="P105" s="252"/>
      <c r="Q105" s="80"/>
      <c r="R105" s="256"/>
    </row>
    <row r="106" spans="2:18">
      <c r="B106" s="166" t="s">
        <v>2132</v>
      </c>
      <c r="C106" s="133" t="s">
        <v>1896</v>
      </c>
      <c r="D106" s="235">
        <v>45477</v>
      </c>
      <c r="E106" s="170">
        <v>67</v>
      </c>
      <c r="F106" s="171">
        <v>4350000</v>
      </c>
      <c r="G106" s="171">
        <v>880357.14285714296</v>
      </c>
      <c r="H106" s="171">
        <v>3469642.8571428573</v>
      </c>
      <c r="I106" s="171">
        <v>1</v>
      </c>
      <c r="J106" s="171">
        <v>51785.71428571429</v>
      </c>
      <c r="K106" s="174">
        <v>932142.85714285728</v>
      </c>
      <c r="L106" s="174">
        <v>3417857.1428571427</v>
      </c>
      <c r="M106" s="409"/>
      <c r="N106" s="409"/>
      <c r="O106" s="138"/>
      <c r="P106" s="252"/>
      <c r="Q106" s="80"/>
      <c r="R106" s="256"/>
    </row>
    <row r="107" spans="2:18">
      <c r="B107" s="166" t="s">
        <v>2064</v>
      </c>
      <c r="C107" s="133" t="s">
        <v>1896</v>
      </c>
      <c r="D107" s="235">
        <v>45506</v>
      </c>
      <c r="E107" s="170">
        <v>68</v>
      </c>
      <c r="F107" s="171">
        <v>6347873</v>
      </c>
      <c r="G107" s="171">
        <v>1209118.6666666665</v>
      </c>
      <c r="H107" s="171">
        <v>5138754.333333334</v>
      </c>
      <c r="I107" s="171">
        <v>1</v>
      </c>
      <c r="J107" s="171">
        <v>75569.916666666672</v>
      </c>
      <c r="K107" s="174">
        <v>1284688.5833333333</v>
      </c>
      <c r="L107" s="174">
        <v>5063184.416666667</v>
      </c>
      <c r="M107" s="409"/>
      <c r="N107" s="409"/>
      <c r="O107" s="138"/>
      <c r="P107" s="252"/>
      <c r="Q107" s="80"/>
      <c r="R107" s="256"/>
    </row>
    <row r="108" spans="2:18">
      <c r="B108" s="166" t="s">
        <v>2133</v>
      </c>
      <c r="C108" s="133" t="s">
        <v>283</v>
      </c>
      <c r="D108" s="235">
        <v>45506</v>
      </c>
      <c r="E108" s="170">
        <v>68</v>
      </c>
      <c r="F108" s="171">
        <v>523000</v>
      </c>
      <c r="G108" s="171">
        <v>99619.047619047618</v>
      </c>
      <c r="H108" s="171">
        <v>423380.95238095237</v>
      </c>
      <c r="I108" s="171">
        <v>1</v>
      </c>
      <c r="J108" s="171">
        <v>6226.1904761904761</v>
      </c>
      <c r="K108" s="174">
        <v>105845.23809523809</v>
      </c>
      <c r="L108" s="174">
        <v>417154.76190476189</v>
      </c>
      <c r="M108" s="409"/>
      <c r="N108" s="409"/>
      <c r="O108" s="138"/>
      <c r="P108" s="252"/>
      <c r="Q108" s="80"/>
      <c r="R108" s="256"/>
    </row>
    <row r="109" spans="2:18">
      <c r="B109" s="166" t="s">
        <v>2134</v>
      </c>
      <c r="C109" s="133" t="s">
        <v>283</v>
      </c>
      <c r="D109" s="235">
        <v>45506</v>
      </c>
      <c r="E109" s="170">
        <v>68</v>
      </c>
      <c r="F109" s="171">
        <v>634783</v>
      </c>
      <c r="G109" s="171">
        <v>120911.04761904762</v>
      </c>
      <c r="H109" s="171">
        <v>513871.95238095237</v>
      </c>
      <c r="I109" s="171">
        <v>1</v>
      </c>
      <c r="J109" s="171">
        <v>7556.9404761904761</v>
      </c>
      <c r="K109" s="174">
        <v>128467.98809523809</v>
      </c>
      <c r="L109" s="174">
        <v>506315.01190476189</v>
      </c>
      <c r="M109" s="409"/>
      <c r="N109" s="409"/>
      <c r="O109" s="138"/>
      <c r="P109" s="252"/>
      <c r="Q109" s="80"/>
      <c r="R109" s="256"/>
    </row>
    <row r="110" spans="2:18">
      <c r="B110" s="166" t="s">
        <v>2148</v>
      </c>
      <c r="C110" s="133" t="s">
        <v>2222</v>
      </c>
      <c r="D110" s="235">
        <v>45536</v>
      </c>
      <c r="E110" s="170">
        <v>69</v>
      </c>
      <c r="F110" s="171">
        <v>2677500</v>
      </c>
      <c r="G110" s="171">
        <v>478125</v>
      </c>
      <c r="H110" s="171">
        <v>2199375</v>
      </c>
      <c r="I110" s="171">
        <v>1</v>
      </c>
      <c r="J110" s="171">
        <v>31875</v>
      </c>
      <c r="K110" s="174">
        <v>510000</v>
      </c>
      <c r="L110" s="174">
        <v>2167500</v>
      </c>
      <c r="M110" s="409"/>
      <c r="N110" s="409"/>
      <c r="O110" s="138"/>
      <c r="P110" s="252"/>
      <c r="Q110" s="80"/>
      <c r="R110" s="256"/>
    </row>
    <row r="111" spans="2:18">
      <c r="B111" s="166" t="s">
        <v>2149</v>
      </c>
      <c r="C111" s="133" t="s">
        <v>2222</v>
      </c>
      <c r="D111" s="235">
        <v>45538</v>
      </c>
      <c r="E111" s="170">
        <v>69</v>
      </c>
      <c r="F111" s="171">
        <v>14369748</v>
      </c>
      <c r="G111" s="171">
        <v>2566026.4285714286</v>
      </c>
      <c r="H111" s="171">
        <v>11803721.571428571</v>
      </c>
      <c r="I111" s="171">
        <v>1</v>
      </c>
      <c r="J111" s="171">
        <v>171068.42857142855</v>
      </c>
      <c r="K111" s="174">
        <v>2737094.8571428573</v>
      </c>
      <c r="L111" s="174">
        <v>11632653.142857142</v>
      </c>
      <c r="M111" s="409"/>
      <c r="N111" s="409"/>
      <c r="O111" s="138"/>
      <c r="P111" s="252"/>
      <c r="Q111" s="80"/>
      <c r="R111" s="256"/>
    </row>
    <row r="112" spans="2:18">
      <c r="B112" s="166" t="s">
        <v>2150</v>
      </c>
      <c r="C112" s="133" t="s">
        <v>2222</v>
      </c>
      <c r="D112" s="235">
        <v>45548</v>
      </c>
      <c r="E112" s="170">
        <v>69</v>
      </c>
      <c r="F112" s="171">
        <v>427000</v>
      </c>
      <c r="G112" s="171">
        <v>76250</v>
      </c>
      <c r="H112" s="171">
        <v>350750</v>
      </c>
      <c r="I112" s="171">
        <v>1</v>
      </c>
      <c r="J112" s="171">
        <v>5083.333333333333</v>
      </c>
      <c r="K112" s="174">
        <v>81333.333333333328</v>
      </c>
      <c r="L112" s="174">
        <v>345666.66666666669</v>
      </c>
      <c r="M112" s="409"/>
      <c r="N112" s="409"/>
      <c r="O112" s="138"/>
      <c r="P112" s="252"/>
      <c r="Q112" s="80"/>
      <c r="R112" s="256"/>
    </row>
    <row r="113" spans="2:18">
      <c r="B113" s="166" t="s">
        <v>2223</v>
      </c>
      <c r="C113" s="133" t="s">
        <v>2222</v>
      </c>
      <c r="D113" s="235">
        <v>45549</v>
      </c>
      <c r="E113" s="170">
        <v>69</v>
      </c>
      <c r="F113" s="171">
        <v>78151</v>
      </c>
      <c r="G113" s="171">
        <v>13955.535714285714</v>
      </c>
      <c r="H113" s="171">
        <v>64195.46428571429</v>
      </c>
      <c r="I113" s="171">
        <v>1</v>
      </c>
      <c r="J113" s="171">
        <v>930.36904761904771</v>
      </c>
      <c r="K113" s="174">
        <v>14885.904761904761</v>
      </c>
      <c r="L113" s="174">
        <v>63265.095238095237</v>
      </c>
      <c r="M113" s="409"/>
      <c r="N113" s="409"/>
      <c r="O113" s="138"/>
      <c r="P113" s="252"/>
      <c r="Q113" s="80"/>
      <c r="R113" s="256"/>
    </row>
    <row r="114" spans="2:18">
      <c r="B114" s="166" t="s">
        <v>2224</v>
      </c>
      <c r="C114" s="133" t="s">
        <v>2222</v>
      </c>
      <c r="D114" s="235">
        <v>45576</v>
      </c>
      <c r="E114" s="170">
        <v>70</v>
      </c>
      <c r="F114" s="171">
        <v>17962185</v>
      </c>
      <c r="G114" s="171">
        <v>2993697.5</v>
      </c>
      <c r="H114" s="171">
        <v>14968487.5</v>
      </c>
      <c r="I114" s="171">
        <v>1</v>
      </c>
      <c r="J114" s="171">
        <v>213835.53571428571</v>
      </c>
      <c r="K114" s="174">
        <v>3207533.0357142859</v>
      </c>
      <c r="L114" s="174">
        <v>14754651.964285715</v>
      </c>
      <c r="M114" s="409"/>
      <c r="N114" s="409"/>
      <c r="O114" s="138"/>
      <c r="P114" s="252"/>
      <c r="Q114" s="80"/>
      <c r="R114" s="256"/>
    </row>
    <row r="115" spans="2:18">
      <c r="B115" s="166" t="s">
        <v>2225</v>
      </c>
      <c r="C115" s="133" t="s">
        <v>2226</v>
      </c>
      <c r="D115" s="235">
        <v>45576</v>
      </c>
      <c r="E115" s="170">
        <v>70</v>
      </c>
      <c r="F115" s="171">
        <v>14369748</v>
      </c>
      <c r="G115" s="171">
        <v>2394958</v>
      </c>
      <c r="H115" s="171">
        <v>11974790</v>
      </c>
      <c r="I115" s="171">
        <v>1</v>
      </c>
      <c r="J115" s="171">
        <v>171068.42857142858</v>
      </c>
      <c r="K115" s="174">
        <v>2566026.4285714286</v>
      </c>
      <c r="L115" s="174">
        <v>11803721.571428571</v>
      </c>
      <c r="M115" s="409"/>
      <c r="N115" s="409"/>
      <c r="O115" s="138"/>
      <c r="P115" s="252"/>
      <c r="Q115" s="80"/>
      <c r="R115" s="256"/>
    </row>
    <row r="116" spans="2:18">
      <c r="B116" s="166" t="s">
        <v>2227</v>
      </c>
      <c r="C116" s="133" t="s">
        <v>2226</v>
      </c>
      <c r="D116" s="235">
        <v>45579</v>
      </c>
      <c r="E116" s="170">
        <v>70</v>
      </c>
      <c r="F116" s="171">
        <v>1487500</v>
      </c>
      <c r="G116" s="171">
        <v>247916.66666666666</v>
      </c>
      <c r="H116" s="171">
        <v>1239583.3333333333</v>
      </c>
      <c r="I116" s="171">
        <v>1</v>
      </c>
      <c r="J116" s="171">
        <v>17708.333333333332</v>
      </c>
      <c r="K116" s="174">
        <v>265625</v>
      </c>
      <c r="L116" s="174">
        <v>1221875</v>
      </c>
      <c r="M116" s="409"/>
      <c r="N116" s="409"/>
      <c r="O116" s="138"/>
      <c r="P116" s="252"/>
      <c r="Q116" s="80"/>
      <c r="R116" s="256"/>
    </row>
    <row r="117" spans="2:18">
      <c r="B117" s="166" t="s">
        <v>2228</v>
      </c>
      <c r="C117" s="133" t="s">
        <v>2222</v>
      </c>
      <c r="D117" s="235">
        <v>45579</v>
      </c>
      <c r="E117" s="170">
        <v>70</v>
      </c>
      <c r="F117" s="171">
        <v>297500</v>
      </c>
      <c r="G117" s="171">
        <v>49583.333333333336</v>
      </c>
      <c r="H117" s="171">
        <v>247916.66666666666</v>
      </c>
      <c r="I117" s="171">
        <v>1</v>
      </c>
      <c r="J117" s="171">
        <v>3541.6666666666665</v>
      </c>
      <c r="K117" s="174">
        <v>53125</v>
      </c>
      <c r="L117" s="174">
        <v>244375</v>
      </c>
      <c r="M117" s="409"/>
      <c r="N117" s="409"/>
      <c r="O117" s="138"/>
      <c r="P117" s="252"/>
      <c r="Q117" s="80"/>
      <c r="R117" s="256"/>
    </row>
    <row r="118" spans="2:18">
      <c r="B118" s="166" t="s">
        <v>2266</v>
      </c>
      <c r="C118" s="133" t="s">
        <v>2226</v>
      </c>
      <c r="D118" s="235">
        <v>45615</v>
      </c>
      <c r="E118" s="170">
        <v>71</v>
      </c>
      <c r="F118" s="171">
        <v>17962185</v>
      </c>
      <c r="G118" s="171">
        <v>2779861.9642857141</v>
      </c>
      <c r="H118" s="171">
        <v>15182323.035714285</v>
      </c>
      <c r="I118" s="171">
        <v>1</v>
      </c>
      <c r="J118" s="171">
        <v>213835.53571428571</v>
      </c>
      <c r="K118" s="174">
        <v>2993697.5</v>
      </c>
      <c r="L118" s="174">
        <v>14968487.5</v>
      </c>
      <c r="M118" s="409"/>
      <c r="N118" s="409"/>
      <c r="O118" s="138"/>
      <c r="P118" s="252"/>
      <c r="Q118" s="80"/>
      <c r="R118" s="256"/>
    </row>
    <row r="119" spans="2:18">
      <c r="B119" s="166" t="s">
        <v>2348</v>
      </c>
      <c r="C119" s="133" t="s">
        <v>676</v>
      </c>
      <c r="D119" s="235">
        <v>45640</v>
      </c>
      <c r="E119" s="170">
        <v>72</v>
      </c>
      <c r="F119" s="171">
        <v>850</v>
      </c>
      <c r="G119" s="171">
        <v>121.42857142857142</v>
      </c>
      <c r="H119" s="171">
        <v>728.57142857142856</v>
      </c>
      <c r="I119" s="171">
        <v>1</v>
      </c>
      <c r="J119" s="171">
        <v>10.119047619047619</v>
      </c>
      <c r="K119" s="174">
        <v>131.54761904761904</v>
      </c>
      <c r="L119" s="174">
        <v>718.45238095238096</v>
      </c>
      <c r="M119" s="409"/>
      <c r="N119" s="409">
        <v>0</v>
      </c>
      <c r="O119" s="138"/>
      <c r="P119" s="80"/>
      <c r="Q119" s="80"/>
      <c r="R119" s="256"/>
    </row>
    <row r="120" spans="2:18">
      <c r="B120" s="166" t="s">
        <v>2349</v>
      </c>
      <c r="C120" s="133" t="s">
        <v>2222</v>
      </c>
      <c r="D120" s="235">
        <v>45640</v>
      </c>
      <c r="E120" s="170">
        <v>72</v>
      </c>
      <c r="F120" s="171">
        <v>120000</v>
      </c>
      <c r="G120" s="171">
        <v>17142.857142857145</v>
      </c>
      <c r="H120" s="171">
        <v>102857.14285714286</v>
      </c>
      <c r="I120" s="171">
        <v>1</v>
      </c>
      <c r="J120" s="171">
        <v>1428.5714285714284</v>
      </c>
      <c r="K120" s="174">
        <v>18571.428571428572</v>
      </c>
      <c r="L120" s="174">
        <v>101428.57142857142</v>
      </c>
      <c r="M120" s="409"/>
      <c r="N120" s="409">
        <v>0</v>
      </c>
      <c r="O120" s="138"/>
      <c r="P120" s="80"/>
      <c r="Q120" s="80"/>
      <c r="R120" s="256"/>
    </row>
    <row r="121" spans="2:18">
      <c r="B121" s="166" t="s">
        <v>2350</v>
      </c>
      <c r="C121" s="133" t="s">
        <v>2226</v>
      </c>
      <c r="D121" s="235">
        <v>45642</v>
      </c>
      <c r="E121" s="170">
        <v>72</v>
      </c>
      <c r="F121" s="171">
        <v>1487500</v>
      </c>
      <c r="G121" s="171">
        <v>212500</v>
      </c>
      <c r="H121" s="171">
        <v>1275000</v>
      </c>
      <c r="I121" s="171">
        <v>1</v>
      </c>
      <c r="J121" s="171">
        <v>17708.333333333332</v>
      </c>
      <c r="K121" s="174">
        <v>230208.33333333334</v>
      </c>
      <c r="L121" s="174">
        <v>1257291.6666666667</v>
      </c>
      <c r="M121" s="409"/>
      <c r="N121" s="409"/>
      <c r="O121" s="138"/>
      <c r="P121" s="80"/>
      <c r="Q121" s="80"/>
      <c r="R121" s="256"/>
    </row>
    <row r="122" spans="2:18">
      <c r="B122" s="166" t="s">
        <v>2427</v>
      </c>
      <c r="C122" s="133" t="s">
        <v>2222</v>
      </c>
      <c r="D122" s="235">
        <v>45678</v>
      </c>
      <c r="E122" s="170">
        <v>73</v>
      </c>
      <c r="F122" s="171">
        <v>32331933</v>
      </c>
      <c r="G122" s="171">
        <v>4233943.6071428573</v>
      </c>
      <c r="H122" s="171">
        <v>28097989.392857142</v>
      </c>
      <c r="I122" s="171">
        <v>1</v>
      </c>
      <c r="J122" s="171">
        <v>384903.96428571426</v>
      </c>
      <c r="K122" s="174">
        <v>4618847.5714285718</v>
      </c>
      <c r="L122" s="174">
        <v>27713085.428571429</v>
      </c>
      <c r="M122" s="409"/>
      <c r="N122" s="409"/>
      <c r="O122" s="138"/>
      <c r="P122" s="80"/>
      <c r="Q122" s="80"/>
      <c r="R122" s="256"/>
    </row>
    <row r="123" spans="2:18">
      <c r="B123" s="133" t="s">
        <v>2428</v>
      </c>
      <c r="C123" s="133" t="s">
        <v>1896</v>
      </c>
      <c r="D123" s="235">
        <v>45678</v>
      </c>
      <c r="E123" s="170">
        <v>73</v>
      </c>
      <c r="F123" s="171">
        <v>6106218</v>
      </c>
      <c r="G123" s="171">
        <v>799623.7857142858</v>
      </c>
      <c r="H123" s="171">
        <v>5306594.2142857146</v>
      </c>
      <c r="I123" s="171">
        <v>1</v>
      </c>
      <c r="J123" s="171">
        <v>72693.071428571435</v>
      </c>
      <c r="K123" s="174">
        <v>872316.85714285728</v>
      </c>
      <c r="L123" s="174">
        <v>5233901.1428571427</v>
      </c>
      <c r="M123" s="409"/>
      <c r="N123" s="409">
        <v>0</v>
      </c>
      <c r="O123" s="138"/>
      <c r="P123" s="80"/>
      <c r="Q123" s="80"/>
      <c r="R123" s="256"/>
    </row>
    <row r="124" spans="2:18">
      <c r="B124" s="166" t="s">
        <v>2476</v>
      </c>
      <c r="C124" s="133" t="s">
        <v>240</v>
      </c>
      <c r="D124" s="235">
        <v>45698</v>
      </c>
      <c r="E124" s="170">
        <v>74</v>
      </c>
      <c r="F124" s="171">
        <v>98000</v>
      </c>
      <c r="G124" s="171">
        <v>11666.666666666668</v>
      </c>
      <c r="H124" s="171">
        <v>86333.333333333328</v>
      </c>
      <c r="I124" s="171">
        <v>1</v>
      </c>
      <c r="J124" s="171">
        <v>1166.6666666666665</v>
      </c>
      <c r="K124" s="174">
        <v>12833.333333333334</v>
      </c>
      <c r="L124" s="174">
        <v>85166.666666666672</v>
      </c>
      <c r="M124" s="409"/>
      <c r="N124" s="409"/>
      <c r="O124" s="138"/>
      <c r="P124" s="80"/>
      <c r="Q124" s="80"/>
      <c r="R124" s="256"/>
    </row>
    <row r="125" spans="2:18">
      <c r="B125" s="166" t="s">
        <v>2476</v>
      </c>
      <c r="C125" s="133" t="s">
        <v>283</v>
      </c>
      <c r="D125" s="235">
        <v>45698</v>
      </c>
      <c r="E125" s="170">
        <v>74</v>
      </c>
      <c r="F125" s="171">
        <v>98000</v>
      </c>
      <c r="G125" s="171">
        <v>11666.666666666668</v>
      </c>
      <c r="H125" s="171">
        <v>86333.333333333328</v>
      </c>
      <c r="I125" s="171">
        <v>1</v>
      </c>
      <c r="J125" s="171">
        <v>1166.6666666666665</v>
      </c>
      <c r="K125" s="174">
        <v>12833.333333333334</v>
      </c>
      <c r="L125" s="174">
        <v>85166.666666666672</v>
      </c>
      <c r="M125" s="409"/>
      <c r="N125" s="409"/>
      <c r="O125" s="138"/>
      <c r="P125" s="80"/>
      <c r="Q125" s="80"/>
      <c r="R125" s="256"/>
    </row>
    <row r="126" spans="2:18">
      <c r="B126" s="166" t="s">
        <v>2476</v>
      </c>
      <c r="C126" s="133" t="s">
        <v>266</v>
      </c>
      <c r="D126" s="235">
        <v>45698</v>
      </c>
      <c r="E126" s="170">
        <v>74</v>
      </c>
      <c r="F126" s="171">
        <v>98000</v>
      </c>
      <c r="G126" s="171">
        <v>11666.666666666668</v>
      </c>
      <c r="H126" s="171">
        <v>86333.333333333328</v>
      </c>
      <c r="I126" s="171">
        <v>1</v>
      </c>
      <c r="J126" s="171">
        <v>1166.6666666666665</v>
      </c>
      <c r="K126" s="174">
        <v>12833.333333333334</v>
      </c>
      <c r="L126" s="174">
        <v>85166.666666666672</v>
      </c>
      <c r="M126" s="409"/>
      <c r="N126" s="409"/>
      <c r="O126" s="138"/>
      <c r="P126" s="80"/>
      <c r="Q126" s="80"/>
      <c r="R126" s="256"/>
    </row>
    <row r="127" spans="2:18">
      <c r="B127" s="166" t="s">
        <v>2476</v>
      </c>
      <c r="C127" s="133" t="s">
        <v>347</v>
      </c>
      <c r="D127" s="235">
        <v>45698</v>
      </c>
      <c r="E127" s="170">
        <v>74</v>
      </c>
      <c r="F127" s="171">
        <v>98000</v>
      </c>
      <c r="G127" s="171">
        <v>11666.666666666668</v>
      </c>
      <c r="H127" s="171">
        <v>86333.333333333328</v>
      </c>
      <c r="I127" s="171">
        <v>1</v>
      </c>
      <c r="J127" s="171">
        <v>1166.6666666666665</v>
      </c>
      <c r="K127" s="174">
        <v>12833.333333333334</v>
      </c>
      <c r="L127" s="174">
        <v>85166.666666666672</v>
      </c>
      <c r="M127" s="409"/>
      <c r="N127" s="409"/>
      <c r="O127" s="138"/>
      <c r="P127" s="80"/>
      <c r="Q127" s="80"/>
      <c r="R127" s="256"/>
    </row>
    <row r="128" spans="2:18">
      <c r="B128" s="166" t="s">
        <v>2476</v>
      </c>
      <c r="C128" s="133" t="s">
        <v>349</v>
      </c>
      <c r="D128" s="235">
        <v>45698</v>
      </c>
      <c r="E128" s="170">
        <v>74</v>
      </c>
      <c r="F128" s="171">
        <v>98000</v>
      </c>
      <c r="G128" s="171">
        <v>11666.666666666668</v>
      </c>
      <c r="H128" s="171">
        <v>86333.333333333328</v>
      </c>
      <c r="I128" s="171">
        <v>1</v>
      </c>
      <c r="J128" s="171">
        <v>1166.6666666666665</v>
      </c>
      <c r="K128" s="174">
        <v>12833.333333333334</v>
      </c>
      <c r="L128" s="174">
        <v>85166.666666666672</v>
      </c>
      <c r="M128" s="409"/>
      <c r="N128" s="409"/>
      <c r="O128" s="138"/>
      <c r="P128" s="80"/>
      <c r="Q128" s="80"/>
      <c r="R128" s="256"/>
    </row>
    <row r="129" spans="2:18">
      <c r="B129" s="166" t="s">
        <v>2476</v>
      </c>
      <c r="C129" s="133" t="s">
        <v>677</v>
      </c>
      <c r="D129" s="235">
        <v>45698</v>
      </c>
      <c r="E129" s="170">
        <v>74</v>
      </c>
      <c r="F129" s="171">
        <v>98000</v>
      </c>
      <c r="G129" s="171">
        <v>11666.666666666668</v>
      </c>
      <c r="H129" s="171">
        <v>86333.333333333328</v>
      </c>
      <c r="I129" s="171">
        <v>1</v>
      </c>
      <c r="J129" s="171">
        <v>1166.6666666666665</v>
      </c>
      <c r="K129" s="174">
        <v>12833.333333333334</v>
      </c>
      <c r="L129" s="174">
        <v>85166.666666666672</v>
      </c>
      <c r="M129" s="409"/>
      <c r="N129" s="409"/>
      <c r="O129" s="138"/>
      <c r="P129" s="80"/>
      <c r="Q129" s="80"/>
      <c r="R129" s="256"/>
    </row>
    <row r="130" spans="2:18">
      <c r="B130" s="166" t="s">
        <v>2476</v>
      </c>
      <c r="C130" s="133" t="s">
        <v>676</v>
      </c>
      <c r="D130" s="235">
        <v>45698</v>
      </c>
      <c r="E130" s="170">
        <v>74</v>
      </c>
      <c r="F130" s="171">
        <v>98000</v>
      </c>
      <c r="G130" s="171">
        <v>11666.666666666668</v>
      </c>
      <c r="H130" s="171">
        <v>86333.333333333328</v>
      </c>
      <c r="I130" s="171">
        <v>1</v>
      </c>
      <c r="J130" s="171">
        <v>1166.6666666666665</v>
      </c>
      <c r="K130" s="174">
        <v>12833.333333333334</v>
      </c>
      <c r="L130" s="174">
        <v>85166.666666666672</v>
      </c>
      <c r="M130" s="409"/>
      <c r="N130" s="409"/>
      <c r="O130" s="138"/>
      <c r="P130" s="80"/>
      <c r="Q130" s="80"/>
      <c r="R130" s="256"/>
    </row>
    <row r="131" spans="2:18">
      <c r="B131" s="166" t="s">
        <v>2476</v>
      </c>
      <c r="C131" s="133" t="s">
        <v>1896</v>
      </c>
      <c r="D131" s="235">
        <v>45698</v>
      </c>
      <c r="E131" s="170">
        <v>74</v>
      </c>
      <c r="F131" s="171">
        <v>98000</v>
      </c>
      <c r="G131" s="171">
        <v>11666.666666666668</v>
      </c>
      <c r="H131" s="171">
        <v>86333.333333333328</v>
      </c>
      <c r="I131" s="171">
        <v>1</v>
      </c>
      <c r="J131" s="171">
        <v>1166.6666666666665</v>
      </c>
      <c r="K131" s="174">
        <v>12833.333333333334</v>
      </c>
      <c r="L131" s="174">
        <v>85166.666666666672</v>
      </c>
      <c r="M131" s="409"/>
      <c r="N131" s="409"/>
      <c r="O131" s="138"/>
      <c r="P131" s="80"/>
      <c r="Q131" s="80"/>
      <c r="R131" s="256"/>
    </row>
    <row r="132" spans="2:18">
      <c r="B132" s="166" t="s">
        <v>2476</v>
      </c>
      <c r="C132" s="133" t="s">
        <v>2222</v>
      </c>
      <c r="D132" s="235">
        <v>45698</v>
      </c>
      <c r="E132" s="170">
        <v>74</v>
      </c>
      <c r="F132" s="171">
        <v>98000</v>
      </c>
      <c r="G132" s="171">
        <v>11666.666666666668</v>
      </c>
      <c r="H132" s="171">
        <v>86333.333333333328</v>
      </c>
      <c r="I132" s="171">
        <v>1</v>
      </c>
      <c r="J132" s="171">
        <v>1166.6666666666665</v>
      </c>
      <c r="K132" s="174">
        <v>12833.333333333334</v>
      </c>
      <c r="L132" s="174">
        <v>85166.666666666672</v>
      </c>
      <c r="M132" s="409"/>
      <c r="N132" s="409"/>
      <c r="O132" s="138"/>
      <c r="P132" s="80"/>
      <c r="Q132" s="80"/>
      <c r="R132" s="256"/>
    </row>
    <row r="133" spans="2:18">
      <c r="B133" s="166" t="s">
        <v>2476</v>
      </c>
      <c r="C133" s="133" t="s">
        <v>2226</v>
      </c>
      <c r="D133" s="235">
        <v>45698</v>
      </c>
      <c r="E133" s="170">
        <v>74</v>
      </c>
      <c r="F133" s="171">
        <v>98000</v>
      </c>
      <c r="G133" s="171">
        <v>11666.666666666668</v>
      </c>
      <c r="H133" s="171">
        <v>86333.333333333328</v>
      </c>
      <c r="I133" s="171">
        <v>1</v>
      </c>
      <c r="J133" s="171">
        <v>1166.6666666666665</v>
      </c>
      <c r="K133" s="174">
        <v>12833.333333333334</v>
      </c>
      <c r="L133" s="174">
        <v>85166.666666666672</v>
      </c>
      <c r="M133" s="409"/>
      <c r="N133" s="409"/>
      <c r="O133" s="138"/>
      <c r="P133" s="80"/>
      <c r="Q133" s="80"/>
      <c r="R133" s="256"/>
    </row>
    <row r="134" spans="2:18">
      <c r="B134" s="166" t="s">
        <v>2551</v>
      </c>
      <c r="C134" s="133" t="s">
        <v>2226</v>
      </c>
      <c r="D134" s="235">
        <v>45723</v>
      </c>
      <c r="E134" s="170">
        <v>75</v>
      </c>
      <c r="F134" s="171">
        <v>1159000</v>
      </c>
      <c r="G134" s="171">
        <v>124178.57142857143</v>
      </c>
      <c r="H134" s="171">
        <v>1034821.4285714285</v>
      </c>
      <c r="I134" s="171">
        <v>1</v>
      </c>
      <c r="J134" s="171">
        <v>13797.619047619048</v>
      </c>
      <c r="K134" s="174">
        <v>137976.19047619047</v>
      </c>
      <c r="L134" s="174">
        <v>1021023.8095238095</v>
      </c>
      <c r="M134" s="409"/>
      <c r="N134" s="409"/>
      <c r="O134" s="138"/>
      <c r="P134" s="80"/>
      <c r="Q134" s="80"/>
      <c r="R134" s="256"/>
    </row>
    <row r="135" spans="2:18">
      <c r="B135" s="166" t="s">
        <v>2552</v>
      </c>
      <c r="C135" s="133" t="s">
        <v>676</v>
      </c>
      <c r="D135" s="235">
        <v>45723</v>
      </c>
      <c r="E135" s="170">
        <v>75</v>
      </c>
      <c r="F135" s="171">
        <v>850000</v>
      </c>
      <c r="G135" s="171">
        <v>91071.428571428565</v>
      </c>
      <c r="H135" s="171">
        <v>758928.57142857148</v>
      </c>
      <c r="I135" s="171">
        <v>1</v>
      </c>
      <c r="J135" s="171">
        <v>10119.04761904762</v>
      </c>
      <c r="K135" s="174">
        <v>101190.47619047618</v>
      </c>
      <c r="L135" s="174">
        <v>748809.52380952379</v>
      </c>
      <c r="M135" s="409"/>
      <c r="N135" s="409"/>
      <c r="O135" s="138"/>
      <c r="P135" s="80"/>
      <c r="Q135" s="80"/>
      <c r="R135" s="256"/>
    </row>
    <row r="136" spans="2:18">
      <c r="B136" s="166" t="s">
        <v>2553</v>
      </c>
      <c r="C136" s="133" t="s">
        <v>2222</v>
      </c>
      <c r="D136" s="235">
        <v>45723</v>
      </c>
      <c r="E136" s="170">
        <v>75</v>
      </c>
      <c r="F136" s="171">
        <v>120000</v>
      </c>
      <c r="G136" s="171">
        <v>12857.142857142859</v>
      </c>
      <c r="H136" s="171">
        <v>107142.85714285714</v>
      </c>
      <c r="I136" s="171">
        <v>1</v>
      </c>
      <c r="J136" s="171">
        <v>1428.5714285714287</v>
      </c>
      <c r="K136" s="174">
        <v>14285.714285714288</v>
      </c>
      <c r="L136" s="174">
        <v>105714.28571428571</v>
      </c>
      <c r="M136" s="409"/>
      <c r="N136" s="409"/>
      <c r="O136" s="138"/>
      <c r="P136" s="80"/>
      <c r="Q136" s="80"/>
      <c r="R136" s="256"/>
    </row>
    <row r="137" spans="2:18">
      <c r="B137" s="166" t="s">
        <v>2554</v>
      </c>
      <c r="C137" s="133" t="s">
        <v>2222</v>
      </c>
      <c r="D137" s="235">
        <v>45728</v>
      </c>
      <c r="E137" s="170">
        <v>75</v>
      </c>
      <c r="F137" s="171">
        <v>7142857</v>
      </c>
      <c r="G137" s="171">
        <v>765306.10714285716</v>
      </c>
      <c r="H137" s="171">
        <v>6377550.8928571427</v>
      </c>
      <c r="I137" s="171">
        <v>1</v>
      </c>
      <c r="J137" s="171">
        <v>85034.011904761908</v>
      </c>
      <c r="K137" s="174">
        <v>850340.11904761905</v>
      </c>
      <c r="L137" s="174">
        <v>6292516.8809523806</v>
      </c>
      <c r="M137" s="409"/>
      <c r="N137" s="409"/>
      <c r="O137" s="138"/>
      <c r="P137" s="80"/>
      <c r="Q137" s="80"/>
      <c r="R137" s="256"/>
    </row>
    <row r="138" spans="2:18">
      <c r="B138" s="166" t="s">
        <v>2606</v>
      </c>
      <c r="C138" s="133" t="s">
        <v>283</v>
      </c>
      <c r="D138" s="235">
        <v>45791</v>
      </c>
      <c r="E138" s="170">
        <v>77</v>
      </c>
      <c r="F138" s="171">
        <v>878500</v>
      </c>
      <c r="G138" s="171">
        <v>73208.333333333343</v>
      </c>
      <c r="H138" s="171">
        <v>805291.66666666663</v>
      </c>
      <c r="I138" s="171">
        <v>1</v>
      </c>
      <c r="J138" s="171">
        <v>10458.333333333332</v>
      </c>
      <c r="K138" s="174">
        <v>83666.666666666672</v>
      </c>
      <c r="L138" s="174">
        <v>794833.33333333337</v>
      </c>
      <c r="M138" s="409"/>
      <c r="N138" s="409"/>
      <c r="O138" s="138"/>
      <c r="P138" s="80"/>
      <c r="Q138" s="80"/>
      <c r="R138" s="256"/>
    </row>
    <row r="139" spans="2:18">
      <c r="B139" s="166" t="s">
        <v>2723</v>
      </c>
      <c r="C139" s="133" t="s">
        <v>283</v>
      </c>
      <c r="D139" s="235">
        <v>45821</v>
      </c>
      <c r="E139" s="170">
        <v>78</v>
      </c>
      <c r="F139" s="171">
        <v>305500</v>
      </c>
      <c r="G139" s="171">
        <v>21821.428571428572</v>
      </c>
      <c r="H139" s="171">
        <v>283678.57142857142</v>
      </c>
      <c r="I139" s="171">
        <v>1</v>
      </c>
      <c r="J139" s="171">
        <v>3636.9047619047619</v>
      </c>
      <c r="K139" s="174">
        <v>25458.333333333336</v>
      </c>
      <c r="L139" s="174">
        <v>280041.66666666669</v>
      </c>
      <c r="M139" s="409"/>
      <c r="N139" s="409"/>
      <c r="O139" s="138"/>
      <c r="P139" s="80"/>
      <c r="Q139" s="80"/>
      <c r="R139" s="256"/>
    </row>
    <row r="140" spans="2:18">
      <c r="B140" s="166" t="s">
        <v>2841</v>
      </c>
      <c r="C140" s="133" t="s">
        <v>283</v>
      </c>
      <c r="D140" s="235">
        <v>45898</v>
      </c>
      <c r="E140" s="170">
        <v>80</v>
      </c>
      <c r="F140" s="171">
        <v>1943920</v>
      </c>
      <c r="G140" s="171">
        <v>92567.619047619053</v>
      </c>
      <c r="H140" s="171">
        <v>1851352.3809523811</v>
      </c>
      <c r="I140" s="171">
        <v>1</v>
      </c>
      <c r="J140" s="171">
        <v>23141.904761904763</v>
      </c>
      <c r="K140" s="174">
        <v>115709.52380952382</v>
      </c>
      <c r="L140" s="174">
        <v>1828210.4761904762</v>
      </c>
      <c r="M140" s="409"/>
      <c r="N140" s="409"/>
      <c r="O140" s="138"/>
      <c r="P140" s="80"/>
      <c r="Q140" s="80"/>
      <c r="R140" s="256"/>
    </row>
    <row r="141" spans="2:18">
      <c r="B141" s="166" t="s">
        <v>2909</v>
      </c>
      <c r="C141" s="133" t="s">
        <v>283</v>
      </c>
      <c r="D141" s="235">
        <v>45905</v>
      </c>
      <c r="E141" s="170">
        <v>81</v>
      </c>
      <c r="F141" s="171">
        <v>1720800</v>
      </c>
      <c r="G141" s="171">
        <v>61457.142857142855</v>
      </c>
      <c r="H141" s="171">
        <v>1659342.857142857</v>
      </c>
      <c r="I141" s="171">
        <v>1</v>
      </c>
      <c r="J141" s="171">
        <v>20485.714285714286</v>
      </c>
      <c r="K141" s="174">
        <v>81942.857142857145</v>
      </c>
      <c r="L141" s="174">
        <v>1638857.142857143</v>
      </c>
      <c r="M141" s="409"/>
      <c r="N141" s="409"/>
      <c r="O141" s="138"/>
      <c r="P141" s="80"/>
      <c r="Q141" s="80"/>
      <c r="R141" s="256"/>
    </row>
    <row r="142" spans="2:18">
      <c r="B142" s="166" t="s">
        <v>2913</v>
      </c>
      <c r="C142" s="133" t="s">
        <v>2226</v>
      </c>
      <c r="D142" s="235">
        <v>45905</v>
      </c>
      <c r="E142" s="170">
        <v>81</v>
      </c>
      <c r="F142" s="171">
        <v>16806723</v>
      </c>
      <c r="G142" s="171">
        <v>600240.10714285716</v>
      </c>
      <c r="H142" s="171">
        <v>16206482.892857144</v>
      </c>
      <c r="I142" s="171">
        <v>1</v>
      </c>
      <c r="J142" s="171">
        <v>200080.03571428571</v>
      </c>
      <c r="K142" s="174">
        <v>800320.14285714284</v>
      </c>
      <c r="L142" s="174">
        <v>16006402.857142856</v>
      </c>
      <c r="M142" s="409"/>
      <c r="N142" s="409"/>
      <c r="O142" s="138"/>
      <c r="P142" s="80"/>
      <c r="Q142" s="80"/>
      <c r="R142" s="256"/>
    </row>
    <row r="143" spans="2:18">
      <c r="B143" s="166" t="s">
        <v>3026</v>
      </c>
      <c r="C143" s="133" t="s">
        <v>283</v>
      </c>
      <c r="D143" s="235">
        <v>45980</v>
      </c>
      <c r="E143" s="170">
        <v>83</v>
      </c>
      <c r="F143" s="171">
        <v>464000</v>
      </c>
      <c r="G143" s="171">
        <v>5523.8095238095239</v>
      </c>
      <c r="H143" s="171">
        <v>458476.19047619047</v>
      </c>
      <c r="I143" s="171">
        <v>1</v>
      </c>
      <c r="J143" s="171">
        <v>5523.8095238095239</v>
      </c>
      <c r="K143" s="174">
        <v>11047.619047619048</v>
      </c>
      <c r="L143" s="174">
        <v>452952.38095238095</v>
      </c>
      <c r="M143" s="409"/>
      <c r="N143" s="409"/>
      <c r="O143" s="138"/>
      <c r="P143" s="80"/>
      <c r="Q143" s="80"/>
      <c r="R143" s="256"/>
    </row>
    <row r="144" spans="2:18">
      <c r="B144" s="166" t="s">
        <v>3027</v>
      </c>
      <c r="C144" s="133" t="s">
        <v>283</v>
      </c>
      <c r="D144" s="235">
        <v>45980</v>
      </c>
      <c r="E144" s="170">
        <v>83</v>
      </c>
      <c r="F144" s="171">
        <v>878500</v>
      </c>
      <c r="G144" s="171">
        <v>10458.333333333334</v>
      </c>
      <c r="H144" s="171">
        <v>868041.66666666663</v>
      </c>
      <c r="I144" s="171">
        <v>1</v>
      </c>
      <c r="J144" s="171">
        <v>10458.333333333332</v>
      </c>
      <c r="K144" s="174">
        <v>20916.666666666664</v>
      </c>
      <c r="L144" s="174">
        <v>857583.33333333337</v>
      </c>
      <c r="M144" s="409"/>
      <c r="N144" s="409"/>
      <c r="O144" s="138"/>
      <c r="P144" s="80"/>
      <c r="Q144" s="80"/>
      <c r="R144" s="256"/>
    </row>
    <row r="145" spans="2:19">
      <c r="B145" s="166" t="s">
        <v>3058</v>
      </c>
      <c r="C145" s="133" t="s">
        <v>676</v>
      </c>
      <c r="D145" s="235">
        <v>46006</v>
      </c>
      <c r="E145" s="170">
        <v>84</v>
      </c>
      <c r="F145" s="171">
        <v>120000</v>
      </c>
      <c r="G145" s="171">
        <v>0</v>
      </c>
      <c r="H145" s="171">
        <v>120000</v>
      </c>
      <c r="I145" s="171">
        <v>1</v>
      </c>
      <c r="J145" s="171">
        <v>1428.5714285714287</v>
      </c>
      <c r="K145" s="174">
        <v>1428.5714285714287</v>
      </c>
      <c r="L145" s="174">
        <v>118571.42857142857</v>
      </c>
      <c r="M145" s="409"/>
      <c r="N145" s="409"/>
      <c r="O145" s="138"/>
      <c r="P145" s="80"/>
      <c r="Q145" s="80"/>
      <c r="R145" s="256"/>
    </row>
    <row r="146" spans="2:19">
      <c r="B146" s="166" t="s">
        <v>3163</v>
      </c>
      <c r="C146" s="133"/>
      <c r="D146" s="235">
        <v>46029</v>
      </c>
      <c r="E146" s="170">
        <v>84</v>
      </c>
      <c r="F146" s="171">
        <v>36505040</v>
      </c>
      <c r="G146" s="171">
        <v>0</v>
      </c>
      <c r="H146" s="171">
        <v>36505040</v>
      </c>
      <c r="I146" s="171">
        <v>0</v>
      </c>
      <c r="J146" s="171">
        <v>0</v>
      </c>
      <c r="K146" s="174">
        <v>0</v>
      </c>
      <c r="L146" s="174">
        <v>36505040</v>
      </c>
      <c r="M146" s="409"/>
      <c r="N146" s="409"/>
      <c r="O146" s="138"/>
      <c r="P146" s="80"/>
      <c r="Q146" s="80"/>
      <c r="R146" s="256"/>
    </row>
    <row r="147" spans="2:19">
      <c r="B147" s="166" t="s">
        <v>3164</v>
      </c>
      <c r="C147" s="133"/>
      <c r="D147" s="235">
        <v>46040</v>
      </c>
      <c r="E147" s="170">
        <v>84</v>
      </c>
      <c r="F147" s="171">
        <v>1252736</v>
      </c>
      <c r="G147" s="171">
        <v>0</v>
      </c>
      <c r="H147" s="171">
        <v>1252736</v>
      </c>
      <c r="I147" s="171">
        <v>0</v>
      </c>
      <c r="J147" s="171">
        <v>0</v>
      </c>
      <c r="K147" s="174">
        <v>0</v>
      </c>
      <c r="L147" s="174">
        <v>1252736</v>
      </c>
      <c r="M147" s="409"/>
      <c r="N147" s="409"/>
      <c r="O147" s="138"/>
      <c r="P147" s="80"/>
      <c r="Q147" s="80"/>
      <c r="R147" s="256"/>
    </row>
    <row r="148" spans="2:19" s="139" customFormat="1" ht="14.25" customHeight="1">
      <c r="B148" s="234" t="s">
        <v>336</v>
      </c>
      <c r="C148" s="175"/>
      <c r="D148" s="176"/>
      <c r="E148" s="177"/>
      <c r="F148" s="178">
        <f>SUM(F17:F147)</f>
        <v>656828984</v>
      </c>
      <c r="G148" s="178">
        <f t="shared" ref="G148:L148" si="1">SUM(G17:G147)</f>
        <v>203460905.96833143</v>
      </c>
      <c r="H148" s="178">
        <f t="shared" si="1"/>
        <v>453368078.03166842</v>
      </c>
      <c r="I148" s="178"/>
      <c r="J148" s="178">
        <f t="shared" si="1"/>
        <v>7369895.3526933454</v>
      </c>
      <c r="K148" s="178">
        <f t="shared" si="1"/>
        <v>210830801.32102484</v>
      </c>
      <c r="L148" s="178">
        <f t="shared" si="1"/>
        <v>445998182.67897546</v>
      </c>
      <c r="M148" s="409"/>
      <c r="N148" s="472"/>
      <c r="O148" s="138"/>
      <c r="P148" s="138"/>
      <c r="Q148" s="80"/>
      <c r="R148" s="485"/>
      <c r="S148" s="80"/>
    </row>
    <row r="149" spans="2:19">
      <c r="J149" s="256"/>
      <c r="K149" s="256"/>
      <c r="M149" s="409"/>
      <c r="N149" s="473"/>
      <c r="O149" s="138"/>
      <c r="P149" s="138"/>
      <c r="Q149" s="80"/>
    </row>
    <row r="150" spans="2:19">
      <c r="B150" s="78"/>
      <c r="C150" s="78"/>
      <c r="E150" s="78"/>
      <c r="F150" s="78"/>
      <c r="G150" s="78"/>
      <c r="H150" s="78"/>
    </row>
    <row r="151" spans="2:19">
      <c r="B151" s="369" t="s">
        <v>284</v>
      </c>
      <c r="C151" s="130"/>
      <c r="D151" s="130"/>
      <c r="E151" s="130"/>
      <c r="F151" s="130"/>
      <c r="G151" s="131"/>
      <c r="H151" s="131"/>
    </row>
    <row r="152" spans="2:19">
      <c r="B152" s="162" t="s">
        <v>145</v>
      </c>
      <c r="C152" s="864" t="s">
        <v>271</v>
      </c>
      <c r="D152" s="162" t="s">
        <v>156</v>
      </c>
      <c r="E152" s="162" t="s">
        <v>207</v>
      </c>
      <c r="F152" s="162" t="s">
        <v>208</v>
      </c>
      <c r="G152" s="162" t="s">
        <v>209</v>
      </c>
      <c r="H152" s="162" t="s">
        <v>316</v>
      </c>
      <c r="I152" s="162" t="s">
        <v>210</v>
      </c>
      <c r="J152" s="162" t="s">
        <v>211</v>
      </c>
      <c r="K152" s="172" t="s">
        <v>212</v>
      </c>
      <c r="L152" s="172" t="s">
        <v>212</v>
      </c>
    </row>
    <row r="153" spans="2:19">
      <c r="B153" s="163"/>
      <c r="C153" s="865"/>
      <c r="D153" s="163"/>
      <c r="E153" s="163" t="s">
        <v>213</v>
      </c>
      <c r="F153" s="163" t="s">
        <v>214</v>
      </c>
      <c r="G153" s="163" t="s">
        <v>190</v>
      </c>
      <c r="H153" s="163" t="s">
        <v>190</v>
      </c>
      <c r="I153" s="163" t="s">
        <v>215</v>
      </c>
      <c r="J153" s="163" t="s">
        <v>216</v>
      </c>
      <c r="K153" s="173" t="s">
        <v>209</v>
      </c>
      <c r="L153" s="173"/>
    </row>
    <row r="154" spans="2:19">
      <c r="B154" s="133" t="s">
        <v>3179</v>
      </c>
      <c r="C154" s="133" t="s">
        <v>265</v>
      </c>
      <c r="D154" s="235">
        <v>44236</v>
      </c>
      <c r="E154" s="170">
        <v>25</v>
      </c>
      <c r="F154" s="523">
        <v>840348</v>
      </c>
      <c r="G154" s="171">
        <v>590240.17687074828</v>
      </c>
      <c r="H154" s="171">
        <v>250107.82312925172</v>
      </c>
      <c r="I154" s="171">
        <v>1</v>
      </c>
      <c r="J154" s="171">
        <v>10004.312925170068</v>
      </c>
      <c r="K154" s="174">
        <v>600244.48979591834</v>
      </c>
      <c r="L154" s="174">
        <v>240103.51020408166</v>
      </c>
      <c r="M154" s="409"/>
      <c r="N154" s="409"/>
      <c r="O154" s="409"/>
    </row>
    <row r="155" spans="2:19">
      <c r="B155" s="133" t="s">
        <v>289</v>
      </c>
      <c r="C155" s="133" t="s">
        <v>283</v>
      </c>
      <c r="D155" s="235">
        <v>44151</v>
      </c>
      <c r="E155" s="170">
        <v>11</v>
      </c>
      <c r="F155" s="523">
        <v>23010</v>
      </c>
      <c r="G155" s="171">
        <v>19492.89939637827</v>
      </c>
      <c r="H155" s="171">
        <v>3517.1006036217295</v>
      </c>
      <c r="I155" s="171">
        <v>1</v>
      </c>
      <c r="J155" s="171">
        <v>319.73641851106635</v>
      </c>
      <c r="K155" s="174">
        <v>19812.635814889338</v>
      </c>
      <c r="L155" s="174">
        <v>3197.3641851106622</v>
      </c>
      <c r="M155" s="409"/>
      <c r="N155" s="409"/>
      <c r="O155" s="409"/>
    </row>
    <row r="156" spans="2:19">
      <c r="B156" s="133" t="s">
        <v>286</v>
      </c>
      <c r="C156" s="133" t="s">
        <v>283</v>
      </c>
      <c r="D156" s="235">
        <v>44151</v>
      </c>
      <c r="E156" s="170">
        <v>11</v>
      </c>
      <c r="F156" s="171">
        <v>40010</v>
      </c>
      <c r="G156" s="171">
        <v>33895.814889336012</v>
      </c>
      <c r="H156" s="171">
        <v>6114.1851106639879</v>
      </c>
      <c r="I156" s="171">
        <v>1</v>
      </c>
      <c r="J156" s="171">
        <v>555.83501006036249</v>
      </c>
      <c r="K156" s="174">
        <v>34451.649899396376</v>
      </c>
      <c r="L156" s="174">
        <v>5558.350100603624</v>
      </c>
      <c r="M156" s="409"/>
      <c r="N156" s="409"/>
      <c r="O156" s="409"/>
    </row>
    <row r="157" spans="2:19">
      <c r="B157" s="133" t="s">
        <v>277</v>
      </c>
      <c r="C157" s="133" t="s">
        <v>283</v>
      </c>
      <c r="D157" s="235">
        <v>44151</v>
      </c>
      <c r="E157" s="170">
        <v>11</v>
      </c>
      <c r="F157" s="171">
        <v>120010</v>
      </c>
      <c r="G157" s="171">
        <v>101673.57545271629</v>
      </c>
      <c r="H157" s="171">
        <v>18336.424547283706</v>
      </c>
      <c r="I157" s="171">
        <v>1</v>
      </c>
      <c r="J157" s="171">
        <v>1666.9476861167007</v>
      </c>
      <c r="K157" s="174">
        <v>103340.523138833</v>
      </c>
      <c r="L157" s="174">
        <v>16669.476861167001</v>
      </c>
      <c r="M157" s="409"/>
      <c r="N157" s="409"/>
      <c r="O157" s="409"/>
    </row>
    <row r="158" spans="2:19">
      <c r="B158" s="133" t="s">
        <v>287</v>
      </c>
      <c r="C158" s="133" t="s">
        <v>283</v>
      </c>
      <c r="D158" s="235">
        <v>44151</v>
      </c>
      <c r="E158" s="170">
        <v>11</v>
      </c>
      <c r="F158" s="171">
        <v>220010</v>
      </c>
      <c r="G158" s="171">
        <v>186395.814889336</v>
      </c>
      <c r="H158" s="171">
        <v>33614.185110663995</v>
      </c>
      <c r="I158" s="171">
        <v>1</v>
      </c>
      <c r="J158" s="171">
        <v>3055.8350100603634</v>
      </c>
      <c r="K158" s="174">
        <v>189451.64989939638</v>
      </c>
      <c r="L158" s="174">
        <v>30558.350100603624</v>
      </c>
      <c r="M158" s="409"/>
      <c r="N158" s="409"/>
      <c r="O158" s="409"/>
    </row>
    <row r="159" spans="2:19">
      <c r="B159" s="133" t="s">
        <v>287</v>
      </c>
      <c r="C159" s="133" t="s">
        <v>240</v>
      </c>
      <c r="D159" s="235">
        <v>44151</v>
      </c>
      <c r="E159" s="170">
        <v>11</v>
      </c>
      <c r="F159" s="171">
        <v>220010</v>
      </c>
      <c r="G159" s="171">
        <v>186395.814889336</v>
      </c>
      <c r="H159" s="171">
        <v>33614.185110663995</v>
      </c>
      <c r="I159" s="171">
        <v>1</v>
      </c>
      <c r="J159" s="171">
        <v>3055.8350100603634</v>
      </c>
      <c r="K159" s="174">
        <v>189451.64989939638</v>
      </c>
      <c r="L159" s="174">
        <v>30558.350100603624</v>
      </c>
      <c r="M159" s="409"/>
      <c r="N159" s="409"/>
      <c r="O159" s="409"/>
    </row>
    <row r="160" spans="2:19">
      <c r="B160" s="133" t="s">
        <v>289</v>
      </c>
      <c r="C160" s="133" t="s">
        <v>240</v>
      </c>
      <c r="D160" s="235">
        <v>44151</v>
      </c>
      <c r="E160" s="170">
        <v>11</v>
      </c>
      <c r="F160" s="171">
        <v>23010</v>
      </c>
      <c r="G160" s="171">
        <v>19492.89939637827</v>
      </c>
      <c r="H160" s="171">
        <v>3517.1006036217295</v>
      </c>
      <c r="I160" s="171">
        <v>1</v>
      </c>
      <c r="J160" s="171">
        <v>319.73641851106635</v>
      </c>
      <c r="K160" s="174">
        <v>19812.635814889338</v>
      </c>
      <c r="L160" s="174">
        <v>3197.3641851106622</v>
      </c>
      <c r="M160" s="409"/>
      <c r="N160" s="409"/>
      <c r="O160" s="409"/>
    </row>
    <row r="161" spans="2:15">
      <c r="B161" s="133" t="s">
        <v>290</v>
      </c>
      <c r="C161" s="133" t="s">
        <v>240</v>
      </c>
      <c r="D161" s="235">
        <v>44151</v>
      </c>
      <c r="E161" s="170">
        <v>11</v>
      </c>
      <c r="F161" s="171">
        <v>50010</v>
      </c>
      <c r="G161" s="171">
        <v>42367.89939637827</v>
      </c>
      <c r="H161" s="171">
        <v>7642.1006036217295</v>
      </c>
      <c r="I161" s="171">
        <v>1</v>
      </c>
      <c r="J161" s="171">
        <v>694.73641851106629</v>
      </c>
      <c r="K161" s="174">
        <v>43062.635814889334</v>
      </c>
      <c r="L161" s="174">
        <v>6947.3641851106659</v>
      </c>
      <c r="M161" s="409"/>
      <c r="N161" s="409"/>
      <c r="O161" s="409"/>
    </row>
    <row r="162" spans="2:15">
      <c r="B162" s="133" t="s">
        <v>286</v>
      </c>
      <c r="C162" s="133" t="s">
        <v>240</v>
      </c>
      <c r="D162" s="235">
        <v>44151</v>
      </c>
      <c r="E162" s="170">
        <v>11</v>
      </c>
      <c r="F162" s="171">
        <v>40010</v>
      </c>
      <c r="G162" s="171">
        <v>33895.814889336012</v>
      </c>
      <c r="H162" s="171">
        <v>6114.1851106639879</v>
      </c>
      <c r="I162" s="171">
        <v>1</v>
      </c>
      <c r="J162" s="171">
        <v>555.83501006036249</v>
      </c>
      <c r="K162" s="174">
        <v>34451.649899396376</v>
      </c>
      <c r="L162" s="174">
        <v>5558.350100603624</v>
      </c>
      <c r="M162" s="409"/>
      <c r="N162" s="409"/>
      <c r="O162" s="409"/>
    </row>
    <row r="163" spans="2:15">
      <c r="B163" s="133" t="s">
        <v>285</v>
      </c>
      <c r="C163" s="133" t="s">
        <v>240</v>
      </c>
      <c r="D163" s="235">
        <v>44151</v>
      </c>
      <c r="E163" s="170">
        <v>11</v>
      </c>
      <c r="F163" s="171">
        <v>35010</v>
      </c>
      <c r="G163" s="171">
        <v>29659.617706237426</v>
      </c>
      <c r="H163" s="171">
        <v>5350.3822937625737</v>
      </c>
      <c r="I163" s="171">
        <v>1</v>
      </c>
      <c r="J163" s="171">
        <v>486.39839034205215</v>
      </c>
      <c r="K163" s="174">
        <v>30146.016096579478</v>
      </c>
      <c r="L163" s="174">
        <v>4863.9839034205215</v>
      </c>
      <c r="M163" s="409"/>
      <c r="N163" s="409"/>
      <c r="O163" s="409"/>
    </row>
    <row r="164" spans="2:15">
      <c r="B164" s="133" t="s">
        <v>287</v>
      </c>
      <c r="C164" s="133" t="s">
        <v>283</v>
      </c>
      <c r="D164" s="235">
        <v>44151</v>
      </c>
      <c r="E164" s="170">
        <v>11</v>
      </c>
      <c r="F164" s="171">
        <v>220010</v>
      </c>
      <c r="G164" s="171">
        <v>186395.814889336</v>
      </c>
      <c r="H164" s="171">
        <v>33614.185110663995</v>
      </c>
      <c r="I164" s="171">
        <v>1</v>
      </c>
      <c r="J164" s="171">
        <v>3055.8350100603634</v>
      </c>
      <c r="K164" s="174">
        <v>189451.64989939638</v>
      </c>
      <c r="L164" s="174">
        <v>30558.350100603624</v>
      </c>
      <c r="M164" s="409"/>
      <c r="N164" s="409"/>
      <c r="O164" s="409"/>
    </row>
    <row r="165" spans="2:15">
      <c r="B165" s="133" t="s">
        <v>289</v>
      </c>
      <c r="C165" s="133" t="s">
        <v>283</v>
      </c>
      <c r="D165" s="235">
        <v>44151</v>
      </c>
      <c r="E165" s="170">
        <v>11</v>
      </c>
      <c r="F165" s="171">
        <v>23010</v>
      </c>
      <c r="G165" s="171">
        <v>19492.89939637827</v>
      </c>
      <c r="H165" s="171">
        <v>3517.1006036217295</v>
      </c>
      <c r="I165" s="171">
        <v>1</v>
      </c>
      <c r="J165" s="171">
        <v>319.73641851106635</v>
      </c>
      <c r="K165" s="174">
        <v>19812.635814889338</v>
      </c>
      <c r="L165" s="174">
        <v>3197.3641851106622</v>
      </c>
      <c r="M165" s="409"/>
      <c r="N165" s="409"/>
      <c r="O165" s="409"/>
    </row>
    <row r="166" spans="2:15">
      <c r="B166" s="133" t="s">
        <v>285</v>
      </c>
      <c r="C166" s="133" t="s">
        <v>283</v>
      </c>
      <c r="D166" s="235">
        <v>44151</v>
      </c>
      <c r="E166" s="170">
        <v>11</v>
      </c>
      <c r="F166" s="171">
        <v>35010</v>
      </c>
      <c r="G166" s="171">
        <v>29659.617706237426</v>
      </c>
      <c r="H166" s="171">
        <v>5350.3822937625737</v>
      </c>
      <c r="I166" s="171">
        <v>1</v>
      </c>
      <c r="J166" s="171">
        <v>486.39839034205215</v>
      </c>
      <c r="K166" s="174">
        <v>30146.016096579478</v>
      </c>
      <c r="L166" s="174">
        <v>4863.9839034205215</v>
      </c>
      <c r="M166" s="409"/>
      <c r="N166" s="409"/>
      <c r="O166" s="409"/>
    </row>
    <row r="167" spans="2:15">
      <c r="B167" s="133" t="s">
        <v>292</v>
      </c>
      <c r="C167" s="133" t="s">
        <v>283</v>
      </c>
      <c r="D167" s="235">
        <v>44151</v>
      </c>
      <c r="E167" s="170">
        <v>11</v>
      </c>
      <c r="F167" s="171">
        <v>100010</v>
      </c>
      <c r="G167" s="171">
        <v>84729.096579476871</v>
      </c>
      <c r="H167" s="171">
        <v>15280.903420523129</v>
      </c>
      <c r="I167" s="171">
        <v>1</v>
      </c>
      <c r="J167" s="171">
        <v>1389.1730382293754</v>
      </c>
      <c r="K167" s="174">
        <v>86118.269617706246</v>
      </c>
      <c r="L167" s="174">
        <v>13891.730382293754</v>
      </c>
      <c r="M167" s="409"/>
      <c r="N167" s="409"/>
      <c r="O167" s="409"/>
    </row>
    <row r="168" spans="2:15">
      <c r="B168" s="133" t="s">
        <v>287</v>
      </c>
      <c r="C168" s="133" t="s">
        <v>266</v>
      </c>
      <c r="D168" s="235">
        <v>44151</v>
      </c>
      <c r="E168" s="170">
        <v>11</v>
      </c>
      <c r="F168" s="171">
        <v>220010</v>
      </c>
      <c r="G168" s="171">
        <v>186395.814889336</v>
      </c>
      <c r="H168" s="171">
        <v>33614.185110663995</v>
      </c>
      <c r="I168" s="171">
        <v>1</v>
      </c>
      <c r="J168" s="171">
        <v>3055.8350100603634</v>
      </c>
      <c r="K168" s="174">
        <v>189451.64989939638</v>
      </c>
      <c r="L168" s="174">
        <v>30558.350100603624</v>
      </c>
      <c r="M168" s="409"/>
      <c r="N168" s="409"/>
      <c r="O168" s="409"/>
    </row>
    <row r="169" spans="2:15">
      <c r="B169" s="133" t="s">
        <v>288</v>
      </c>
      <c r="C169" s="133" t="s">
        <v>266</v>
      </c>
      <c r="D169" s="235">
        <v>44151</v>
      </c>
      <c r="E169" s="170">
        <v>11</v>
      </c>
      <c r="F169" s="171">
        <v>30010</v>
      </c>
      <c r="G169" s="171">
        <v>25423.575452716297</v>
      </c>
      <c r="H169" s="171">
        <v>4586.4245472837029</v>
      </c>
      <c r="I169" s="171">
        <v>1</v>
      </c>
      <c r="J169" s="171">
        <v>416.94768611670025</v>
      </c>
      <c r="K169" s="174">
        <v>25840.523138832996</v>
      </c>
      <c r="L169" s="174">
        <v>4169.4768611670042</v>
      </c>
      <c r="M169" s="409"/>
      <c r="N169" s="409"/>
      <c r="O169" s="409"/>
    </row>
    <row r="170" spans="2:15">
      <c r="B170" s="133" t="s">
        <v>286</v>
      </c>
      <c r="C170" s="133" t="s">
        <v>266</v>
      </c>
      <c r="D170" s="235">
        <v>44151</v>
      </c>
      <c r="E170" s="170">
        <v>11</v>
      </c>
      <c r="F170" s="171">
        <v>40010</v>
      </c>
      <c r="G170" s="171">
        <v>33895.814889336012</v>
      </c>
      <c r="H170" s="171">
        <v>6114.1851106639879</v>
      </c>
      <c r="I170" s="171">
        <v>1</v>
      </c>
      <c r="J170" s="171">
        <v>555.83501006036249</v>
      </c>
      <c r="K170" s="174">
        <v>34451.649899396376</v>
      </c>
      <c r="L170" s="174">
        <v>5558.350100603624</v>
      </c>
      <c r="M170" s="409"/>
      <c r="N170" s="409"/>
      <c r="O170" s="409"/>
    </row>
    <row r="171" spans="2:15">
      <c r="B171" s="133" t="s">
        <v>287</v>
      </c>
      <c r="C171" s="133" t="s">
        <v>283</v>
      </c>
      <c r="D171" s="235">
        <v>44151</v>
      </c>
      <c r="E171" s="170">
        <v>11</v>
      </c>
      <c r="F171" s="171">
        <v>220010</v>
      </c>
      <c r="G171" s="171">
        <v>186395.814889336</v>
      </c>
      <c r="H171" s="171">
        <v>33614.185110663995</v>
      </c>
      <c r="I171" s="171">
        <v>1</v>
      </c>
      <c r="J171" s="171">
        <v>3055.8350100603634</v>
      </c>
      <c r="K171" s="174">
        <v>189451.64989939638</v>
      </c>
      <c r="L171" s="174">
        <v>30558.350100603624</v>
      </c>
      <c r="M171" s="409"/>
      <c r="N171" s="409"/>
      <c r="O171" s="409"/>
    </row>
    <row r="172" spans="2:15">
      <c r="B172" s="133" t="s">
        <v>289</v>
      </c>
      <c r="C172" s="133" t="s">
        <v>283</v>
      </c>
      <c r="D172" s="235">
        <v>44151</v>
      </c>
      <c r="E172" s="170">
        <v>11</v>
      </c>
      <c r="F172" s="171">
        <v>23010</v>
      </c>
      <c r="G172" s="171">
        <v>19492.89939637827</v>
      </c>
      <c r="H172" s="171">
        <v>3517.1006036217295</v>
      </c>
      <c r="I172" s="171">
        <v>1</v>
      </c>
      <c r="J172" s="171">
        <v>319.73641851106635</v>
      </c>
      <c r="K172" s="174">
        <v>19812.635814889338</v>
      </c>
      <c r="L172" s="174">
        <v>3197.3641851106622</v>
      </c>
      <c r="M172" s="409"/>
      <c r="N172" s="409"/>
      <c r="O172" s="409"/>
    </row>
    <row r="173" spans="2:15">
      <c r="B173" s="133" t="s">
        <v>290</v>
      </c>
      <c r="C173" s="133" t="s">
        <v>283</v>
      </c>
      <c r="D173" s="235">
        <v>44151</v>
      </c>
      <c r="E173" s="170">
        <v>11</v>
      </c>
      <c r="F173" s="171">
        <v>5010</v>
      </c>
      <c r="G173" s="171">
        <v>4242.8993963782696</v>
      </c>
      <c r="H173" s="171">
        <v>767.10060362173044</v>
      </c>
      <c r="I173" s="171">
        <v>1</v>
      </c>
      <c r="J173" s="171">
        <v>69.736418511066404</v>
      </c>
      <c r="K173" s="174">
        <v>4312.635814889336</v>
      </c>
      <c r="L173" s="174">
        <v>697.36418511066404</v>
      </c>
      <c r="M173" s="409"/>
      <c r="N173" s="409"/>
      <c r="O173" s="409"/>
    </row>
    <row r="174" spans="2:15">
      <c r="B174" s="133" t="s">
        <v>286</v>
      </c>
      <c r="C174" s="133" t="s">
        <v>283</v>
      </c>
      <c r="D174" s="235">
        <v>44151</v>
      </c>
      <c r="E174" s="170">
        <v>11</v>
      </c>
      <c r="F174" s="171">
        <v>40010</v>
      </c>
      <c r="G174" s="171">
        <v>33895.814889336012</v>
      </c>
      <c r="H174" s="171">
        <v>6114.1851106639879</v>
      </c>
      <c r="I174" s="171">
        <v>1</v>
      </c>
      <c r="J174" s="171">
        <v>555.83501006036249</v>
      </c>
      <c r="K174" s="174">
        <v>34451.649899396376</v>
      </c>
      <c r="L174" s="174">
        <v>5558.350100603624</v>
      </c>
      <c r="M174" s="409"/>
      <c r="N174" s="409"/>
      <c r="O174" s="409"/>
    </row>
    <row r="175" spans="2:15">
      <c r="B175" s="133" t="s">
        <v>285</v>
      </c>
      <c r="C175" s="133" t="s">
        <v>283</v>
      </c>
      <c r="D175" s="235">
        <v>44151</v>
      </c>
      <c r="E175" s="170">
        <v>11</v>
      </c>
      <c r="F175" s="171">
        <v>35010</v>
      </c>
      <c r="G175" s="171">
        <v>29659.617706237426</v>
      </c>
      <c r="H175" s="171">
        <v>5350.3822937625737</v>
      </c>
      <c r="I175" s="171">
        <v>1</v>
      </c>
      <c r="J175" s="171">
        <v>486.39839034205215</v>
      </c>
      <c r="K175" s="174">
        <v>30146.016096579478</v>
      </c>
      <c r="L175" s="174">
        <v>4863.9839034205215</v>
      </c>
      <c r="M175" s="409"/>
      <c r="N175" s="409"/>
      <c r="O175" s="409"/>
    </row>
    <row r="176" spans="2:15">
      <c r="B176" s="133" t="s">
        <v>291</v>
      </c>
      <c r="C176" s="133" t="s">
        <v>283</v>
      </c>
      <c r="D176" s="235">
        <v>44151</v>
      </c>
      <c r="E176" s="170">
        <v>11</v>
      </c>
      <c r="F176" s="171">
        <v>120010</v>
      </c>
      <c r="G176" s="171">
        <v>101673.57545271629</v>
      </c>
      <c r="H176" s="171">
        <v>18336.424547283706</v>
      </c>
      <c r="I176" s="171">
        <v>1</v>
      </c>
      <c r="J176" s="171">
        <v>1666.9476861167007</v>
      </c>
      <c r="K176" s="174">
        <v>103340.523138833</v>
      </c>
      <c r="L176" s="174">
        <v>16669.476861167001</v>
      </c>
      <c r="M176" s="409"/>
      <c r="N176" s="409"/>
      <c r="O176" s="409"/>
    </row>
    <row r="177" spans="2:15">
      <c r="B177" s="133" t="s">
        <v>348</v>
      </c>
      <c r="C177" s="133" t="s">
        <v>266</v>
      </c>
      <c r="D177" s="235">
        <v>44416</v>
      </c>
      <c r="E177" s="170">
        <v>19</v>
      </c>
      <c r="F177" s="171">
        <v>336146</v>
      </c>
      <c r="G177" s="171">
        <v>247437.24612403102</v>
      </c>
      <c r="H177" s="171">
        <v>88708.753875968978</v>
      </c>
      <c r="I177" s="171">
        <v>1</v>
      </c>
      <c r="J177" s="171">
        <v>4668.8817829457357</v>
      </c>
      <c r="K177" s="174">
        <v>252106.12790697676</v>
      </c>
      <c r="L177" s="174">
        <v>84039.872093023238</v>
      </c>
      <c r="M177" s="409"/>
      <c r="N177" s="409"/>
      <c r="O177" s="409"/>
    </row>
    <row r="178" spans="2:15">
      <c r="B178" s="133" t="s">
        <v>363</v>
      </c>
      <c r="C178" s="133" t="s">
        <v>347</v>
      </c>
      <c r="D178" s="235">
        <v>44470</v>
      </c>
      <c r="E178" s="170">
        <v>21</v>
      </c>
      <c r="F178" s="171">
        <v>1003616</v>
      </c>
      <c r="G178" s="171">
        <v>710891.16666666663</v>
      </c>
      <c r="H178" s="171">
        <v>292724.83333333337</v>
      </c>
      <c r="I178" s="171">
        <v>1</v>
      </c>
      <c r="J178" s="171">
        <v>13939.277777777779</v>
      </c>
      <c r="K178" s="174">
        <v>724830.44444444438</v>
      </c>
      <c r="L178" s="174">
        <v>278785.55555555562</v>
      </c>
      <c r="M178" s="409"/>
      <c r="N178" s="409"/>
      <c r="O178" s="409"/>
    </row>
    <row r="179" spans="2:15">
      <c r="B179" s="133" t="s">
        <v>376</v>
      </c>
      <c r="C179" s="133" t="s">
        <v>347</v>
      </c>
      <c r="D179" s="235">
        <v>44531</v>
      </c>
      <c r="E179" s="170">
        <v>23</v>
      </c>
      <c r="F179" s="171">
        <v>554615</v>
      </c>
      <c r="G179" s="171">
        <v>377444.62027186761</v>
      </c>
      <c r="H179" s="171">
        <v>177170.37972813239</v>
      </c>
      <c r="I179" s="171">
        <v>1</v>
      </c>
      <c r="J179" s="171">
        <v>7703.0599881796688</v>
      </c>
      <c r="K179" s="174">
        <v>385147.68026004726</v>
      </c>
      <c r="L179" s="174">
        <v>169467.31973995274</v>
      </c>
      <c r="M179" s="409"/>
      <c r="N179" s="409"/>
      <c r="O179" s="409"/>
    </row>
    <row r="180" spans="2:15">
      <c r="B180" s="133" t="s">
        <v>381</v>
      </c>
      <c r="C180" s="133" t="s">
        <v>265</v>
      </c>
      <c r="D180" s="235">
        <v>44579</v>
      </c>
      <c r="E180" s="170">
        <v>24</v>
      </c>
      <c r="F180" s="171">
        <v>1475109</v>
      </c>
      <c r="G180" s="171">
        <v>983404.33333333337</v>
      </c>
      <c r="H180" s="171">
        <v>491704.66666666663</v>
      </c>
      <c r="I180" s="171">
        <v>1</v>
      </c>
      <c r="J180" s="171">
        <v>20487.694444444442</v>
      </c>
      <c r="K180" s="174">
        <v>1003892.0277777779</v>
      </c>
      <c r="L180" s="174">
        <v>471216.97222222213</v>
      </c>
      <c r="M180" s="409"/>
      <c r="N180" s="409"/>
      <c r="O180" s="409"/>
    </row>
    <row r="181" spans="2:15">
      <c r="B181" s="133" t="s">
        <v>382</v>
      </c>
      <c r="C181" s="133" t="s">
        <v>265</v>
      </c>
      <c r="D181" s="235">
        <v>44579</v>
      </c>
      <c r="E181" s="170">
        <v>24</v>
      </c>
      <c r="F181" s="171">
        <v>721630</v>
      </c>
      <c r="G181" s="171">
        <v>481085</v>
      </c>
      <c r="H181" s="171">
        <v>240545</v>
      </c>
      <c r="I181" s="171">
        <v>1</v>
      </c>
      <c r="J181" s="171">
        <v>10022.708333333334</v>
      </c>
      <c r="K181" s="174">
        <v>491107.70833333331</v>
      </c>
      <c r="L181" s="174">
        <v>230522.29166666669</v>
      </c>
      <c r="M181" s="409"/>
      <c r="N181" s="409"/>
      <c r="O181" s="409"/>
    </row>
    <row r="182" spans="2:15">
      <c r="B182" s="133" t="s">
        <v>381</v>
      </c>
      <c r="C182" s="133" t="s">
        <v>265</v>
      </c>
      <c r="D182" s="235">
        <v>44579</v>
      </c>
      <c r="E182" s="170">
        <v>24</v>
      </c>
      <c r="F182" s="171">
        <v>1475109</v>
      </c>
      <c r="G182" s="171">
        <v>983404.33333333337</v>
      </c>
      <c r="H182" s="171">
        <v>491704.66666666663</v>
      </c>
      <c r="I182" s="171">
        <v>1</v>
      </c>
      <c r="J182" s="171">
        <v>20487.694444444442</v>
      </c>
      <c r="K182" s="174">
        <v>1003892.0277777779</v>
      </c>
      <c r="L182" s="174">
        <v>471216.97222222213</v>
      </c>
      <c r="M182" s="409"/>
      <c r="N182" s="409"/>
      <c r="O182" s="409"/>
    </row>
    <row r="183" spans="2:15">
      <c r="B183" s="133" t="s">
        <v>381</v>
      </c>
      <c r="C183" s="133" t="s">
        <v>265</v>
      </c>
      <c r="D183" s="235">
        <v>44579</v>
      </c>
      <c r="E183" s="170">
        <v>24</v>
      </c>
      <c r="F183" s="171">
        <v>721630</v>
      </c>
      <c r="G183" s="171">
        <v>481085</v>
      </c>
      <c r="H183" s="171">
        <v>240545</v>
      </c>
      <c r="I183" s="171">
        <v>1</v>
      </c>
      <c r="J183" s="171">
        <v>10022.708333333334</v>
      </c>
      <c r="K183" s="174">
        <v>491107.70833333331</v>
      </c>
      <c r="L183" s="174">
        <v>230522.29166666669</v>
      </c>
      <c r="M183" s="409"/>
      <c r="N183" s="409"/>
      <c r="O183" s="409"/>
    </row>
    <row r="184" spans="2:15">
      <c r="B184" s="133" t="s">
        <v>381</v>
      </c>
      <c r="C184" s="133" t="s">
        <v>265</v>
      </c>
      <c r="D184" s="235">
        <v>44634</v>
      </c>
      <c r="E184" s="170">
        <v>26</v>
      </c>
      <c r="F184" s="171">
        <v>1530343</v>
      </c>
      <c r="G184" s="171">
        <v>977717.55</v>
      </c>
      <c r="H184" s="171">
        <v>552625.44999999995</v>
      </c>
      <c r="I184" s="171">
        <v>1</v>
      </c>
      <c r="J184" s="171">
        <v>21254.824999999997</v>
      </c>
      <c r="K184" s="174">
        <v>998972.375</v>
      </c>
      <c r="L184" s="174">
        <v>531370.625</v>
      </c>
      <c r="M184" s="409"/>
      <c r="N184" s="409"/>
      <c r="O184" s="409"/>
    </row>
    <row r="185" spans="2:15">
      <c r="B185" s="133" t="s">
        <v>408</v>
      </c>
      <c r="C185" s="133" t="s">
        <v>265</v>
      </c>
      <c r="D185" s="235">
        <v>44713</v>
      </c>
      <c r="E185" s="170">
        <v>29</v>
      </c>
      <c r="F185" s="171">
        <v>50422</v>
      </c>
      <c r="G185" s="171">
        <v>30111.694968553456</v>
      </c>
      <c r="H185" s="171">
        <v>20310.305031446544</v>
      </c>
      <c r="I185" s="171">
        <v>1</v>
      </c>
      <c r="J185" s="171">
        <v>700.35534591194983</v>
      </c>
      <c r="K185" s="174">
        <v>30812.050314465407</v>
      </c>
      <c r="L185" s="174">
        <v>19609.949685534593</v>
      </c>
      <c r="M185" s="409"/>
      <c r="N185" s="409"/>
      <c r="O185" s="409"/>
    </row>
    <row r="186" spans="2:15">
      <c r="B186" s="133" t="s">
        <v>428</v>
      </c>
      <c r="C186" s="133" t="s">
        <v>265</v>
      </c>
      <c r="D186" s="235">
        <v>44743</v>
      </c>
      <c r="E186" s="170">
        <v>30</v>
      </c>
      <c r="F186" s="171">
        <v>580010</v>
      </c>
      <c r="G186" s="171">
        <v>338337.77777777775</v>
      </c>
      <c r="H186" s="171">
        <v>241672.22222222225</v>
      </c>
      <c r="I186" s="171">
        <v>1</v>
      </c>
      <c r="J186" s="171">
        <v>8055.7407407407418</v>
      </c>
      <c r="K186" s="174">
        <v>346393.51851851848</v>
      </c>
      <c r="L186" s="174">
        <v>233616.48148148152</v>
      </c>
      <c r="M186" s="409"/>
      <c r="N186" s="409"/>
      <c r="O186" s="409"/>
    </row>
    <row r="187" spans="2:15">
      <c r="B187" s="133" t="s">
        <v>802</v>
      </c>
      <c r="C187" s="133" t="s">
        <v>676</v>
      </c>
      <c r="D187" s="235">
        <v>44980</v>
      </c>
      <c r="E187" s="170">
        <v>38</v>
      </c>
      <c r="F187" s="171">
        <v>652010</v>
      </c>
      <c r="G187" s="171">
        <v>307892.75985663082</v>
      </c>
      <c r="H187" s="171">
        <v>344117.24014336918</v>
      </c>
      <c r="I187" s="171">
        <v>1</v>
      </c>
      <c r="J187" s="171">
        <v>9055.7168458781362</v>
      </c>
      <c r="K187" s="174">
        <v>316948.47670250892</v>
      </c>
      <c r="L187" s="174">
        <v>335061.52329749108</v>
      </c>
      <c r="M187" s="409"/>
      <c r="N187" s="409"/>
      <c r="O187" s="409"/>
    </row>
    <row r="188" spans="2:15">
      <c r="B188" s="133" t="s">
        <v>816</v>
      </c>
      <c r="C188" s="133" t="s">
        <v>676</v>
      </c>
      <c r="D188" s="235">
        <v>44986</v>
      </c>
      <c r="E188" s="170">
        <v>39</v>
      </c>
      <c r="F188" s="171">
        <v>123294</v>
      </c>
      <c r="G188" s="171">
        <v>56508.976190476184</v>
      </c>
      <c r="H188" s="171">
        <v>66785.023809523816</v>
      </c>
      <c r="I188" s="171">
        <v>1</v>
      </c>
      <c r="J188" s="171">
        <v>1712.4365079365082</v>
      </c>
      <c r="K188" s="174">
        <v>58221.412698412692</v>
      </c>
      <c r="L188" s="174">
        <v>65072.587301587308</v>
      </c>
      <c r="M188" s="409"/>
      <c r="N188" s="409"/>
      <c r="O188" s="409"/>
    </row>
    <row r="189" spans="2:15">
      <c r="B189" s="133" t="s">
        <v>1196</v>
      </c>
      <c r="C189" s="133" t="s">
        <v>676</v>
      </c>
      <c r="D189" s="235">
        <v>45036</v>
      </c>
      <c r="E189" s="170">
        <v>40</v>
      </c>
      <c r="F189" s="171">
        <v>3060010</v>
      </c>
      <c r="G189" s="171">
        <v>1360003.75</v>
      </c>
      <c r="H189" s="171">
        <v>1700006.25</v>
      </c>
      <c r="I189" s="171">
        <v>1</v>
      </c>
      <c r="J189" s="171">
        <v>42500.15625</v>
      </c>
      <c r="K189" s="174">
        <v>1402503.90625</v>
      </c>
      <c r="L189" s="174">
        <v>1657506.09375</v>
      </c>
      <c r="M189" s="409"/>
      <c r="N189" s="409"/>
      <c r="O189" s="409"/>
    </row>
    <row r="190" spans="2:15">
      <c r="B190" s="133" t="s">
        <v>1197</v>
      </c>
      <c r="C190" s="133" t="s">
        <v>265</v>
      </c>
      <c r="D190" s="235">
        <v>45043</v>
      </c>
      <c r="E190" s="170">
        <v>40</v>
      </c>
      <c r="F190" s="171">
        <v>1150010</v>
      </c>
      <c r="G190" s="171">
        <v>511114.86111111112</v>
      </c>
      <c r="H190" s="171">
        <v>638895.13888888888</v>
      </c>
      <c r="I190" s="171">
        <v>1</v>
      </c>
      <c r="J190" s="171">
        <v>15972.378472222223</v>
      </c>
      <c r="K190" s="174">
        <v>527087.23958333337</v>
      </c>
      <c r="L190" s="174">
        <v>622922.76041666663</v>
      </c>
      <c r="M190" s="409"/>
      <c r="N190" s="409"/>
      <c r="O190" s="409"/>
    </row>
    <row r="191" spans="2:15">
      <c r="B191" s="133" t="s">
        <v>1198</v>
      </c>
      <c r="C191" s="133" t="s">
        <v>676</v>
      </c>
      <c r="D191" s="235">
        <v>45046</v>
      </c>
      <c r="E191" s="170">
        <v>40</v>
      </c>
      <c r="F191" s="171">
        <v>1468805</v>
      </c>
      <c r="G191" s="171">
        <v>652801.52777777775</v>
      </c>
      <c r="H191" s="171">
        <v>816003.47222222225</v>
      </c>
      <c r="I191" s="171">
        <v>1</v>
      </c>
      <c r="J191" s="171">
        <v>20400.086805555555</v>
      </c>
      <c r="K191" s="174">
        <v>673201.61458333326</v>
      </c>
      <c r="L191" s="174">
        <v>795603.38541666674</v>
      </c>
      <c r="M191" s="409"/>
      <c r="N191" s="409"/>
      <c r="O191" s="409"/>
    </row>
    <row r="192" spans="2:15">
      <c r="B192" s="133" t="s">
        <v>1199</v>
      </c>
      <c r="C192" s="133" t="s">
        <v>676</v>
      </c>
      <c r="D192" s="235">
        <v>45046</v>
      </c>
      <c r="E192" s="170">
        <v>40</v>
      </c>
      <c r="F192" s="171">
        <v>1468805</v>
      </c>
      <c r="G192" s="171">
        <v>652801.52777777775</v>
      </c>
      <c r="H192" s="171">
        <v>816003.47222222225</v>
      </c>
      <c r="I192" s="171">
        <v>1</v>
      </c>
      <c r="J192" s="171">
        <v>20400.086805555555</v>
      </c>
      <c r="K192" s="174">
        <v>673201.61458333326</v>
      </c>
      <c r="L192" s="174">
        <v>795603.38541666674</v>
      </c>
      <c r="M192" s="409"/>
      <c r="N192" s="409"/>
      <c r="O192" s="409"/>
    </row>
    <row r="193" spans="2:15">
      <c r="B193" s="133" t="s">
        <v>1200</v>
      </c>
      <c r="C193" s="133" t="s">
        <v>676</v>
      </c>
      <c r="D193" s="235">
        <v>45046</v>
      </c>
      <c r="E193" s="170">
        <v>40</v>
      </c>
      <c r="F193" s="171">
        <v>1309311</v>
      </c>
      <c r="G193" s="171">
        <v>581915.3055555555</v>
      </c>
      <c r="H193" s="171">
        <v>727395.6944444445</v>
      </c>
      <c r="I193" s="171">
        <v>1</v>
      </c>
      <c r="J193" s="171">
        <v>18184.892361111113</v>
      </c>
      <c r="K193" s="174">
        <v>600100.19791666663</v>
      </c>
      <c r="L193" s="174">
        <v>709210.80208333337</v>
      </c>
      <c r="M193" s="409"/>
      <c r="N193" s="409"/>
      <c r="O193" s="409"/>
    </row>
    <row r="194" spans="2:15">
      <c r="B194" s="133" t="s">
        <v>1201</v>
      </c>
      <c r="C194" s="133" t="s">
        <v>676</v>
      </c>
      <c r="D194" s="235">
        <v>45046</v>
      </c>
      <c r="E194" s="170">
        <v>40</v>
      </c>
      <c r="F194" s="171">
        <v>1610366</v>
      </c>
      <c r="G194" s="171">
        <v>715717.52777777775</v>
      </c>
      <c r="H194" s="171">
        <v>894648.47222222225</v>
      </c>
      <c r="I194" s="171">
        <v>1</v>
      </c>
      <c r="J194" s="171">
        <v>22366.211805555555</v>
      </c>
      <c r="K194" s="174">
        <v>738083.73958333326</v>
      </c>
      <c r="L194" s="174">
        <v>872282.26041666674</v>
      </c>
      <c r="M194" s="409"/>
      <c r="N194" s="409"/>
      <c r="O194" s="409"/>
    </row>
    <row r="195" spans="2:15">
      <c r="B195" s="133" t="s">
        <v>1201</v>
      </c>
      <c r="C195" s="133" t="s">
        <v>676</v>
      </c>
      <c r="D195" s="235">
        <v>45046</v>
      </c>
      <c r="E195" s="170">
        <v>40</v>
      </c>
      <c r="F195" s="171">
        <v>1610366</v>
      </c>
      <c r="G195" s="171">
        <v>715717.52777777775</v>
      </c>
      <c r="H195" s="171">
        <v>894648.47222222225</v>
      </c>
      <c r="I195" s="171">
        <v>1</v>
      </c>
      <c r="J195" s="171">
        <v>22366.211805555555</v>
      </c>
      <c r="K195" s="174">
        <v>738083.73958333326</v>
      </c>
      <c r="L195" s="174">
        <v>872282.26041666674</v>
      </c>
      <c r="M195" s="409"/>
      <c r="N195" s="409"/>
      <c r="O195" s="409"/>
    </row>
    <row r="196" spans="2:15">
      <c r="B196" s="133" t="s">
        <v>1202</v>
      </c>
      <c r="C196" s="133" t="s">
        <v>265</v>
      </c>
      <c r="D196" s="235">
        <v>45046</v>
      </c>
      <c r="E196" s="170">
        <v>40</v>
      </c>
      <c r="F196" s="171">
        <v>5002500</v>
      </c>
      <c r="G196" s="171">
        <v>2223333.3333333335</v>
      </c>
      <c r="H196" s="171">
        <v>2779166.6666666665</v>
      </c>
      <c r="I196" s="171">
        <v>1</v>
      </c>
      <c r="J196" s="171">
        <v>69479.166666666657</v>
      </c>
      <c r="K196" s="174">
        <v>2292812.5</v>
      </c>
      <c r="L196" s="174">
        <v>2709687.5</v>
      </c>
      <c r="M196" s="409"/>
      <c r="N196" s="409"/>
      <c r="O196" s="409"/>
    </row>
    <row r="197" spans="2:15">
      <c r="B197" s="133" t="s">
        <v>1203</v>
      </c>
      <c r="C197" s="133" t="s">
        <v>676</v>
      </c>
      <c r="D197" s="235">
        <v>45046</v>
      </c>
      <c r="E197" s="170">
        <v>40</v>
      </c>
      <c r="F197" s="171">
        <v>439920</v>
      </c>
      <c r="G197" s="171">
        <v>195519.30555555556</v>
      </c>
      <c r="H197" s="171">
        <v>244400.69444444444</v>
      </c>
      <c r="I197" s="171">
        <v>1</v>
      </c>
      <c r="J197" s="171">
        <v>6110.0173611111113</v>
      </c>
      <c r="K197" s="174">
        <v>201629.32291666669</v>
      </c>
      <c r="L197" s="174">
        <v>238290.67708333331</v>
      </c>
      <c r="M197" s="409"/>
      <c r="N197" s="409"/>
      <c r="O197" s="409"/>
    </row>
    <row r="198" spans="2:15">
      <c r="B198" s="133" t="s">
        <v>1209</v>
      </c>
      <c r="C198" s="133" t="s">
        <v>265</v>
      </c>
      <c r="D198" s="235">
        <v>45051</v>
      </c>
      <c r="E198" s="170">
        <v>41</v>
      </c>
      <c r="F198" s="171">
        <v>199267</v>
      </c>
      <c r="G198" s="171">
        <v>85794.900641025626</v>
      </c>
      <c r="H198" s="171">
        <v>113472.09935897437</v>
      </c>
      <c r="I198" s="171">
        <v>1</v>
      </c>
      <c r="J198" s="171">
        <v>2767.6121794871797</v>
      </c>
      <c r="K198" s="174">
        <v>88562.512820512813</v>
      </c>
      <c r="L198" s="174">
        <v>110704.48717948719</v>
      </c>
      <c r="M198" s="409"/>
      <c r="N198" s="409"/>
      <c r="O198" s="409"/>
    </row>
    <row r="199" spans="2:15">
      <c r="B199" s="133" t="s">
        <v>1210</v>
      </c>
      <c r="C199" s="133" t="s">
        <v>265</v>
      </c>
      <c r="D199" s="235">
        <v>45056</v>
      </c>
      <c r="E199" s="170">
        <v>41</v>
      </c>
      <c r="F199" s="171">
        <v>60010</v>
      </c>
      <c r="G199" s="171">
        <v>25837.025641025641</v>
      </c>
      <c r="H199" s="171">
        <v>34172.974358974359</v>
      </c>
      <c r="I199" s="171">
        <v>1</v>
      </c>
      <c r="J199" s="171">
        <v>833.48717948717945</v>
      </c>
      <c r="K199" s="174">
        <v>26670.51282051282</v>
      </c>
      <c r="L199" s="174">
        <v>33339.48717948718</v>
      </c>
      <c r="M199" s="409"/>
      <c r="N199" s="409"/>
      <c r="O199" s="409"/>
    </row>
    <row r="200" spans="2:15">
      <c r="B200" s="133" t="s">
        <v>1211</v>
      </c>
      <c r="C200" s="133" t="s">
        <v>265</v>
      </c>
      <c r="D200" s="235">
        <v>45076</v>
      </c>
      <c r="E200" s="170">
        <v>41</v>
      </c>
      <c r="F200" s="171">
        <v>1150010</v>
      </c>
      <c r="G200" s="171">
        <v>495142.58119658119</v>
      </c>
      <c r="H200" s="171">
        <v>654867.41880341875</v>
      </c>
      <c r="I200" s="171">
        <v>1</v>
      </c>
      <c r="J200" s="171">
        <v>15972.376068376067</v>
      </c>
      <c r="K200" s="174">
        <v>511114.95726495725</v>
      </c>
      <c r="L200" s="174">
        <v>638895.04273504275</v>
      </c>
      <c r="M200" s="409"/>
      <c r="N200" s="409"/>
      <c r="O200" s="409"/>
    </row>
    <row r="201" spans="2:15">
      <c r="B201" s="133" t="s">
        <v>1349</v>
      </c>
      <c r="C201" s="133" t="s">
        <v>265</v>
      </c>
      <c r="D201" s="235">
        <v>45119</v>
      </c>
      <c r="E201" s="170">
        <v>43</v>
      </c>
      <c r="F201" s="171">
        <v>1433761</v>
      </c>
      <c r="G201" s="171">
        <v>577486.62375621882</v>
      </c>
      <c r="H201" s="171">
        <v>856274.37624378118</v>
      </c>
      <c r="I201" s="171">
        <v>1</v>
      </c>
      <c r="J201" s="171">
        <v>19913.357587064678</v>
      </c>
      <c r="K201" s="174">
        <v>597399.98134328355</v>
      </c>
      <c r="L201" s="174">
        <v>836361.01865671645</v>
      </c>
      <c r="M201" s="409"/>
      <c r="N201" s="409"/>
      <c r="O201" s="409"/>
    </row>
    <row r="202" spans="2:15">
      <c r="B202" s="133" t="s">
        <v>1351</v>
      </c>
      <c r="C202" s="133" t="s">
        <v>265</v>
      </c>
      <c r="D202" s="235">
        <v>45108</v>
      </c>
      <c r="E202" s="170">
        <v>43</v>
      </c>
      <c r="F202" s="171">
        <v>1150000</v>
      </c>
      <c r="G202" s="171">
        <v>463194.4444444445</v>
      </c>
      <c r="H202" s="171">
        <v>686805.5555555555</v>
      </c>
      <c r="I202" s="171">
        <v>1</v>
      </c>
      <c r="J202" s="171">
        <v>15972.222222222221</v>
      </c>
      <c r="K202" s="174">
        <v>479166.66666666674</v>
      </c>
      <c r="L202" s="174">
        <v>670833.33333333326</v>
      </c>
      <c r="M202" s="409"/>
      <c r="N202" s="409"/>
      <c r="O202" s="409"/>
    </row>
    <row r="203" spans="2:15">
      <c r="B203" s="133" t="s">
        <v>1350</v>
      </c>
      <c r="C203" s="133" t="s">
        <v>265</v>
      </c>
      <c r="D203" s="235">
        <v>45138</v>
      </c>
      <c r="E203" s="170">
        <v>43</v>
      </c>
      <c r="F203" s="171">
        <v>1150000</v>
      </c>
      <c r="G203" s="171">
        <v>463194.4444444445</v>
      </c>
      <c r="H203" s="171">
        <v>686805.5555555555</v>
      </c>
      <c r="I203" s="171">
        <v>1</v>
      </c>
      <c r="J203" s="171">
        <v>15972.222222222221</v>
      </c>
      <c r="K203" s="174">
        <v>479166.66666666674</v>
      </c>
      <c r="L203" s="174">
        <v>670833.33333333326</v>
      </c>
      <c r="M203" s="409"/>
      <c r="N203" s="409"/>
      <c r="O203" s="409"/>
    </row>
    <row r="204" spans="2:15">
      <c r="B204" s="133" t="s">
        <v>1404</v>
      </c>
      <c r="C204" s="133" t="s">
        <v>265</v>
      </c>
      <c r="D204" s="235">
        <v>45169</v>
      </c>
      <c r="E204" s="170">
        <v>44</v>
      </c>
      <c r="F204" s="171">
        <v>1150000</v>
      </c>
      <c r="G204" s="171">
        <v>447222.22222222225</v>
      </c>
      <c r="H204" s="171">
        <v>702777.77777777775</v>
      </c>
      <c r="I204" s="171">
        <v>1</v>
      </c>
      <c r="J204" s="171">
        <v>15972.222222222221</v>
      </c>
      <c r="K204" s="174">
        <v>463194.4444444445</v>
      </c>
      <c r="L204" s="174">
        <v>686805.5555555555</v>
      </c>
      <c r="M204" s="409"/>
      <c r="N204" s="409"/>
      <c r="O204" s="409"/>
    </row>
    <row r="205" spans="2:15">
      <c r="B205" s="133" t="s">
        <v>2135</v>
      </c>
      <c r="C205" s="133" t="s">
        <v>265</v>
      </c>
      <c r="D205" s="235">
        <v>45310</v>
      </c>
      <c r="E205" s="170">
        <v>49</v>
      </c>
      <c r="F205" s="171">
        <v>5404047</v>
      </c>
      <c r="G205" s="171">
        <v>1726292.7916666665</v>
      </c>
      <c r="H205" s="171">
        <v>3677754.2083333335</v>
      </c>
      <c r="I205" s="171">
        <v>1</v>
      </c>
      <c r="J205" s="171">
        <v>75056.208333333343</v>
      </c>
      <c r="K205" s="174">
        <v>1801348.9999999998</v>
      </c>
      <c r="L205" s="174">
        <v>3602698</v>
      </c>
      <c r="M205" s="409"/>
      <c r="N205" s="409"/>
      <c r="O205" s="409"/>
    </row>
    <row r="206" spans="2:15">
      <c r="B206" s="133" t="s">
        <v>2136</v>
      </c>
      <c r="C206" s="133" t="s">
        <v>283</v>
      </c>
      <c r="D206" s="235">
        <v>45351</v>
      </c>
      <c r="E206" s="170">
        <v>50</v>
      </c>
      <c r="F206" s="171">
        <v>1563008</v>
      </c>
      <c r="G206" s="171">
        <v>477585.77777777775</v>
      </c>
      <c r="H206" s="171">
        <v>1085422.2222222222</v>
      </c>
      <c r="I206" s="171">
        <v>1</v>
      </c>
      <c r="J206" s="171">
        <v>21708.444444444445</v>
      </c>
      <c r="K206" s="174">
        <v>499294.22222222219</v>
      </c>
      <c r="L206" s="174">
        <v>1063713.7777777778</v>
      </c>
      <c r="M206" s="409"/>
      <c r="N206" s="409"/>
      <c r="O206" s="409"/>
    </row>
    <row r="207" spans="2:15">
      <c r="B207" s="133" t="s">
        <v>2137</v>
      </c>
      <c r="C207" s="133" t="s">
        <v>283</v>
      </c>
      <c r="D207" s="235">
        <v>45356</v>
      </c>
      <c r="E207" s="170">
        <v>51</v>
      </c>
      <c r="F207" s="171">
        <v>2207810</v>
      </c>
      <c r="G207" s="171">
        <v>643944.58333333326</v>
      </c>
      <c r="H207" s="171">
        <v>1563865.4166666667</v>
      </c>
      <c r="I207" s="171">
        <v>1</v>
      </c>
      <c r="J207" s="171">
        <v>30664.027777777781</v>
      </c>
      <c r="K207" s="174">
        <v>674608.61111111101</v>
      </c>
      <c r="L207" s="174">
        <v>1533201.388888889</v>
      </c>
      <c r="M207" s="409"/>
      <c r="N207" s="409"/>
      <c r="O207" s="409"/>
    </row>
    <row r="208" spans="2:15">
      <c r="B208" s="133" t="s">
        <v>2138</v>
      </c>
      <c r="C208" s="133" t="s">
        <v>283</v>
      </c>
      <c r="D208" s="235">
        <v>45362</v>
      </c>
      <c r="E208" s="170">
        <v>51</v>
      </c>
      <c r="F208" s="171">
        <v>2559149</v>
      </c>
      <c r="G208" s="171">
        <v>746418.45833333326</v>
      </c>
      <c r="H208" s="171">
        <v>1812730.5416666667</v>
      </c>
      <c r="I208" s="171">
        <v>1</v>
      </c>
      <c r="J208" s="171">
        <v>35543.736111111109</v>
      </c>
      <c r="K208" s="174">
        <v>781962.19444444438</v>
      </c>
      <c r="L208" s="174">
        <v>1777186.8055555555</v>
      </c>
      <c r="M208" s="409"/>
      <c r="N208" s="409"/>
      <c r="O208" s="409"/>
    </row>
    <row r="209" spans="2:15">
      <c r="B209" s="133" t="s">
        <v>1938</v>
      </c>
      <c r="C209" s="133" t="s">
        <v>283</v>
      </c>
      <c r="D209" s="235">
        <v>45382</v>
      </c>
      <c r="E209" s="170">
        <v>51</v>
      </c>
      <c r="F209" s="171">
        <v>14354500</v>
      </c>
      <c r="G209" s="171">
        <v>4186729.166666667</v>
      </c>
      <c r="H209" s="171">
        <v>10167770.833333332</v>
      </c>
      <c r="I209" s="171">
        <v>1</v>
      </c>
      <c r="J209" s="171">
        <v>199368.05555555553</v>
      </c>
      <c r="K209" s="174">
        <v>4386097.2222222229</v>
      </c>
      <c r="L209" s="174">
        <v>9968402.7777777761</v>
      </c>
      <c r="M209" s="409"/>
      <c r="N209" s="409"/>
      <c r="O209" s="409"/>
    </row>
    <row r="210" spans="2:15">
      <c r="B210" s="133" t="s">
        <v>2139</v>
      </c>
      <c r="C210" s="133" t="s">
        <v>283</v>
      </c>
      <c r="D210" s="235">
        <v>45405</v>
      </c>
      <c r="E210" s="170">
        <v>52</v>
      </c>
      <c r="F210" s="171">
        <v>1101000</v>
      </c>
      <c r="G210" s="171">
        <v>305833.33333333331</v>
      </c>
      <c r="H210" s="171">
        <v>795166.66666666674</v>
      </c>
      <c r="I210" s="171">
        <v>1</v>
      </c>
      <c r="J210" s="171">
        <v>15291.666666666668</v>
      </c>
      <c r="K210" s="174">
        <v>321125</v>
      </c>
      <c r="L210" s="174">
        <v>779875</v>
      </c>
      <c r="M210" s="409"/>
      <c r="N210" s="409"/>
      <c r="O210" s="409"/>
    </row>
    <row r="211" spans="2:15">
      <c r="B211" s="133" t="s">
        <v>2140</v>
      </c>
      <c r="C211" s="133" t="s">
        <v>283</v>
      </c>
      <c r="D211" s="235">
        <v>45408</v>
      </c>
      <c r="E211" s="170">
        <v>52</v>
      </c>
      <c r="F211" s="171">
        <v>596801</v>
      </c>
      <c r="G211" s="171">
        <v>165778.05555555556</v>
      </c>
      <c r="H211" s="171">
        <v>431022.94444444444</v>
      </c>
      <c r="I211" s="171">
        <v>1</v>
      </c>
      <c r="J211" s="171">
        <v>8288.9027777777774</v>
      </c>
      <c r="K211" s="174">
        <v>174066.95833333334</v>
      </c>
      <c r="L211" s="174">
        <v>422734.04166666663</v>
      </c>
      <c r="M211" s="409"/>
      <c r="N211" s="409"/>
      <c r="O211" s="409"/>
    </row>
    <row r="212" spans="2:15">
      <c r="B212" s="133" t="s">
        <v>1897</v>
      </c>
      <c r="C212" s="133" t="s">
        <v>283</v>
      </c>
      <c r="D212" s="235">
        <v>45383</v>
      </c>
      <c r="E212" s="170">
        <v>52</v>
      </c>
      <c r="F212" s="171">
        <v>869565</v>
      </c>
      <c r="G212" s="171">
        <v>241545.83333333331</v>
      </c>
      <c r="H212" s="171">
        <v>628019.16666666674</v>
      </c>
      <c r="I212" s="171">
        <v>1</v>
      </c>
      <c r="J212" s="171">
        <v>12077.291666666668</v>
      </c>
      <c r="K212" s="174">
        <v>253623.12499999997</v>
      </c>
      <c r="L212" s="174">
        <v>615941.875</v>
      </c>
      <c r="M212" s="409"/>
      <c r="N212" s="409"/>
      <c r="O212" s="409"/>
    </row>
    <row r="213" spans="2:15">
      <c r="B213" s="133" t="s">
        <v>2141</v>
      </c>
      <c r="C213" s="133" t="s">
        <v>1896</v>
      </c>
      <c r="D213" s="235">
        <v>45396</v>
      </c>
      <c r="E213" s="170">
        <v>52</v>
      </c>
      <c r="F213" s="171">
        <v>463768</v>
      </c>
      <c r="G213" s="171">
        <v>128824.44444444445</v>
      </c>
      <c r="H213" s="171">
        <v>334943.55555555556</v>
      </c>
      <c r="I213" s="171">
        <v>1</v>
      </c>
      <c r="J213" s="171">
        <v>6441.2222222222226</v>
      </c>
      <c r="K213" s="174">
        <v>135265.66666666669</v>
      </c>
      <c r="L213" s="174">
        <v>328502.33333333331</v>
      </c>
      <c r="M213" s="409"/>
      <c r="N213" s="409"/>
      <c r="O213" s="409"/>
    </row>
    <row r="214" spans="2:15">
      <c r="B214" s="133" t="s">
        <v>2142</v>
      </c>
      <c r="C214" s="133" t="s">
        <v>283</v>
      </c>
      <c r="D214" s="235">
        <v>45382</v>
      </c>
      <c r="E214" s="170">
        <v>53</v>
      </c>
      <c r="F214" s="171">
        <v>4842402</v>
      </c>
      <c r="G214" s="171">
        <v>1277856.0833333335</v>
      </c>
      <c r="H214" s="171">
        <v>3564545.9166666665</v>
      </c>
      <c r="I214" s="171">
        <v>1</v>
      </c>
      <c r="J214" s="171">
        <v>67255.583333333328</v>
      </c>
      <c r="K214" s="174">
        <v>1345111.6666666667</v>
      </c>
      <c r="L214" s="174">
        <v>3497290.333333333</v>
      </c>
      <c r="M214" s="409"/>
      <c r="N214" s="409"/>
      <c r="O214" s="409"/>
    </row>
    <row r="215" spans="2:15">
      <c r="B215" s="133" t="s">
        <v>1939</v>
      </c>
      <c r="C215" s="133" t="s">
        <v>265</v>
      </c>
      <c r="D215" s="235">
        <v>45446</v>
      </c>
      <c r="E215" s="170">
        <v>54</v>
      </c>
      <c r="F215" s="171">
        <v>5445480</v>
      </c>
      <c r="G215" s="171">
        <v>1361370</v>
      </c>
      <c r="H215" s="171">
        <v>4084110</v>
      </c>
      <c r="I215" s="171">
        <v>1</v>
      </c>
      <c r="J215" s="171">
        <v>75631.666666666672</v>
      </c>
      <c r="K215" s="174">
        <v>1437001.6666666667</v>
      </c>
      <c r="L215" s="174">
        <v>4008478.333333333</v>
      </c>
      <c r="M215" s="409"/>
      <c r="N215" s="409"/>
      <c r="O215" s="409"/>
    </row>
    <row r="216" spans="2:15">
      <c r="B216" s="133" t="s">
        <v>2143</v>
      </c>
      <c r="C216" s="133" t="s">
        <v>1896</v>
      </c>
      <c r="D216" s="235">
        <v>45449</v>
      </c>
      <c r="E216" s="170">
        <v>54</v>
      </c>
      <c r="F216" s="171">
        <v>6435732</v>
      </c>
      <c r="G216" s="171">
        <v>1608933</v>
      </c>
      <c r="H216" s="171">
        <v>4826799</v>
      </c>
      <c r="I216" s="171">
        <v>1</v>
      </c>
      <c r="J216" s="171">
        <v>89385.166666666672</v>
      </c>
      <c r="K216" s="174">
        <v>1698318.1666666667</v>
      </c>
      <c r="L216" s="174">
        <v>4737413.833333333</v>
      </c>
      <c r="M216" s="409"/>
      <c r="N216" s="409"/>
      <c r="O216" s="409"/>
    </row>
    <row r="217" spans="2:15">
      <c r="B217" s="133" t="s">
        <v>1940</v>
      </c>
      <c r="C217" s="133" t="s">
        <v>1896</v>
      </c>
      <c r="D217" s="235">
        <v>45453</v>
      </c>
      <c r="E217" s="170">
        <v>54</v>
      </c>
      <c r="F217" s="171">
        <v>428478</v>
      </c>
      <c r="G217" s="171">
        <v>107119.5</v>
      </c>
      <c r="H217" s="171">
        <v>321358.5</v>
      </c>
      <c r="I217" s="171">
        <v>1</v>
      </c>
      <c r="J217" s="171">
        <v>5951.083333333333</v>
      </c>
      <c r="K217" s="174">
        <v>113070.58333333333</v>
      </c>
      <c r="L217" s="174">
        <v>315407.41666666669</v>
      </c>
      <c r="M217" s="409"/>
      <c r="N217" s="409"/>
      <c r="O217" s="409"/>
    </row>
    <row r="218" spans="2:15">
      <c r="B218" s="133" t="s">
        <v>2144</v>
      </c>
      <c r="C218" s="133" t="s">
        <v>283</v>
      </c>
      <c r="D218" s="235">
        <v>45504</v>
      </c>
      <c r="E218" s="170">
        <v>55</v>
      </c>
      <c r="F218" s="171">
        <v>2290000</v>
      </c>
      <c r="G218" s="171">
        <v>540694.44444444438</v>
      </c>
      <c r="H218" s="171">
        <v>1749305.5555555555</v>
      </c>
      <c r="I218" s="171">
        <v>1</v>
      </c>
      <c r="J218" s="171">
        <v>31805.555555555555</v>
      </c>
      <c r="K218" s="174">
        <v>572499.99999999988</v>
      </c>
      <c r="L218" s="174">
        <v>1717500</v>
      </c>
      <c r="M218" s="409"/>
      <c r="N218" s="409"/>
      <c r="O218" s="409"/>
    </row>
    <row r="219" spans="2:15">
      <c r="B219" s="133" t="s">
        <v>2151</v>
      </c>
      <c r="C219" s="133" t="s">
        <v>2226</v>
      </c>
      <c r="D219" s="235">
        <v>45547</v>
      </c>
      <c r="E219" s="170">
        <v>57</v>
      </c>
      <c r="F219" s="171">
        <v>1106475</v>
      </c>
      <c r="G219" s="171">
        <v>230515.625</v>
      </c>
      <c r="H219" s="171">
        <v>875959.375</v>
      </c>
      <c r="I219" s="171">
        <v>1</v>
      </c>
      <c r="J219" s="171">
        <v>15367.708333333334</v>
      </c>
      <c r="K219" s="174">
        <v>245883.33333333334</v>
      </c>
      <c r="L219" s="174">
        <v>860591.66666666663</v>
      </c>
      <c r="M219" s="409"/>
      <c r="N219" s="409"/>
      <c r="O219" s="409"/>
    </row>
    <row r="220" spans="2:15">
      <c r="B220" s="133" t="s">
        <v>2152</v>
      </c>
      <c r="C220" s="133" t="s">
        <v>2222</v>
      </c>
      <c r="D220" s="235">
        <v>45551</v>
      </c>
      <c r="E220" s="170">
        <v>57</v>
      </c>
      <c r="F220" s="171">
        <v>1581875</v>
      </c>
      <c r="G220" s="171">
        <v>329557.29166666669</v>
      </c>
      <c r="H220" s="171">
        <v>1252317.7083333333</v>
      </c>
      <c r="I220" s="171">
        <v>1</v>
      </c>
      <c r="J220" s="171">
        <v>21970.486111111109</v>
      </c>
      <c r="K220" s="174">
        <v>351527.77777777781</v>
      </c>
      <c r="L220" s="174">
        <v>1230347.2222222222</v>
      </c>
      <c r="M220" s="409"/>
      <c r="N220" s="409"/>
      <c r="O220" s="409"/>
    </row>
    <row r="221" spans="2:15">
      <c r="B221" s="133" t="s">
        <v>2229</v>
      </c>
      <c r="C221" s="133" t="s">
        <v>2226</v>
      </c>
      <c r="D221" s="235">
        <v>45560</v>
      </c>
      <c r="E221" s="170">
        <v>58</v>
      </c>
      <c r="F221" s="171">
        <v>65300</v>
      </c>
      <c r="G221" s="171">
        <v>12697.222222222223</v>
      </c>
      <c r="H221" s="171">
        <v>52602.777777777781</v>
      </c>
      <c r="I221" s="171">
        <v>1</v>
      </c>
      <c r="J221" s="171">
        <v>906.94444444444446</v>
      </c>
      <c r="K221" s="174">
        <v>13604.166666666668</v>
      </c>
      <c r="L221" s="174">
        <v>51695.833333333328</v>
      </c>
      <c r="M221" s="409"/>
      <c r="N221" s="409"/>
      <c r="O221" s="409"/>
    </row>
    <row r="222" spans="2:15">
      <c r="B222" s="133" t="s">
        <v>2230</v>
      </c>
      <c r="C222" s="133" t="s">
        <v>2226</v>
      </c>
      <c r="D222" s="235">
        <v>45575</v>
      </c>
      <c r="E222" s="170">
        <v>58</v>
      </c>
      <c r="F222" s="171">
        <v>141600</v>
      </c>
      <c r="G222" s="171">
        <v>27533.333333333332</v>
      </c>
      <c r="H222" s="171">
        <v>114066.66666666667</v>
      </c>
      <c r="I222" s="171">
        <v>1</v>
      </c>
      <c r="J222" s="171">
        <v>1966.6666666666667</v>
      </c>
      <c r="K222" s="174">
        <v>29500</v>
      </c>
      <c r="L222" s="174">
        <v>112100</v>
      </c>
      <c r="M222" s="409"/>
      <c r="N222" s="409"/>
      <c r="O222" s="409"/>
    </row>
    <row r="223" spans="2:15">
      <c r="B223" s="133" t="s">
        <v>2267</v>
      </c>
      <c r="C223" s="133" t="s">
        <v>2222</v>
      </c>
      <c r="D223" s="235">
        <v>45597</v>
      </c>
      <c r="E223" s="170">
        <v>59</v>
      </c>
      <c r="F223" s="171">
        <v>5612395</v>
      </c>
      <c r="G223" s="171">
        <v>1013349.097222222</v>
      </c>
      <c r="H223" s="171">
        <v>4599045.902777778</v>
      </c>
      <c r="I223" s="171">
        <v>1</v>
      </c>
      <c r="J223" s="171">
        <v>77949.930555555562</v>
      </c>
      <c r="K223" s="174">
        <v>1091299.0277777775</v>
      </c>
      <c r="L223" s="174">
        <v>4521095.972222222</v>
      </c>
      <c r="M223" s="409"/>
      <c r="N223" s="409"/>
      <c r="O223" s="409"/>
    </row>
    <row r="224" spans="2:15">
      <c r="B224" s="133" t="s">
        <v>2268</v>
      </c>
      <c r="C224" s="133" t="s">
        <v>2222</v>
      </c>
      <c r="D224" s="235">
        <v>45597</v>
      </c>
      <c r="E224" s="170">
        <v>59</v>
      </c>
      <c r="F224" s="171">
        <v>1581875</v>
      </c>
      <c r="G224" s="171">
        <v>285616.3194444445</v>
      </c>
      <c r="H224" s="171">
        <v>1296258.6805555555</v>
      </c>
      <c r="I224" s="171">
        <v>1</v>
      </c>
      <c r="J224" s="171">
        <v>21970.486111111109</v>
      </c>
      <c r="K224" s="174">
        <v>307586.80555555562</v>
      </c>
      <c r="L224" s="174">
        <v>1274288.1944444445</v>
      </c>
      <c r="M224" s="409"/>
      <c r="N224" s="409"/>
      <c r="O224" s="409"/>
    </row>
    <row r="225" spans="2:19">
      <c r="B225" s="133" t="s">
        <v>2269</v>
      </c>
      <c r="C225" s="133" t="s">
        <v>2222</v>
      </c>
      <c r="D225" s="235">
        <v>45597</v>
      </c>
      <c r="E225" s="170">
        <v>59</v>
      </c>
      <c r="F225" s="171">
        <v>252000</v>
      </c>
      <c r="G225" s="171">
        <v>45500</v>
      </c>
      <c r="H225" s="171">
        <v>206500</v>
      </c>
      <c r="I225" s="171">
        <v>1</v>
      </c>
      <c r="J225" s="171">
        <v>3500</v>
      </c>
      <c r="K225" s="174">
        <v>49000</v>
      </c>
      <c r="L225" s="174">
        <v>203000</v>
      </c>
      <c r="M225" s="409"/>
      <c r="N225" s="409"/>
      <c r="O225" s="409"/>
    </row>
    <row r="226" spans="2:19">
      <c r="B226" s="133" t="s">
        <v>2270</v>
      </c>
      <c r="C226" s="133" t="s">
        <v>2226</v>
      </c>
      <c r="D226" s="235">
        <v>45601</v>
      </c>
      <c r="E226" s="170">
        <v>59</v>
      </c>
      <c r="F226" s="171">
        <v>1902888</v>
      </c>
      <c r="G226" s="171">
        <v>343577</v>
      </c>
      <c r="H226" s="171">
        <v>1559311</v>
      </c>
      <c r="I226" s="171">
        <v>1</v>
      </c>
      <c r="J226" s="171">
        <v>26429</v>
      </c>
      <c r="K226" s="174">
        <v>370006</v>
      </c>
      <c r="L226" s="174">
        <v>1532882</v>
      </c>
      <c r="M226" s="409"/>
      <c r="N226" s="409"/>
      <c r="O226" s="409"/>
    </row>
    <row r="227" spans="2:19">
      <c r="B227" s="133" t="s">
        <v>2351</v>
      </c>
      <c r="C227" s="133" t="s">
        <v>2226</v>
      </c>
      <c r="D227" s="235">
        <v>45635</v>
      </c>
      <c r="E227" s="170">
        <v>72</v>
      </c>
      <c r="F227" s="171">
        <v>1902887</v>
      </c>
      <c r="G227" s="171">
        <v>271841</v>
      </c>
      <c r="H227" s="171">
        <v>1631046</v>
      </c>
      <c r="I227" s="171">
        <v>1</v>
      </c>
      <c r="J227" s="171">
        <v>22653.416666666668</v>
      </c>
      <c r="K227" s="174">
        <v>294494.41666666669</v>
      </c>
      <c r="L227" s="174">
        <v>1608392.5833333333</v>
      </c>
      <c r="M227" s="409"/>
      <c r="N227" s="409"/>
      <c r="O227" s="409"/>
    </row>
    <row r="228" spans="2:19">
      <c r="B228" s="166" t="s">
        <v>2352</v>
      </c>
      <c r="C228" s="133" t="s">
        <v>2226</v>
      </c>
      <c r="D228" s="235">
        <v>45639</v>
      </c>
      <c r="E228" s="170">
        <v>60</v>
      </c>
      <c r="F228" s="171">
        <v>204891</v>
      </c>
      <c r="G228" s="171">
        <v>34148.5</v>
      </c>
      <c r="H228" s="171">
        <v>170742.5</v>
      </c>
      <c r="I228" s="171">
        <v>1</v>
      </c>
      <c r="J228" s="171">
        <v>2845.7083333333335</v>
      </c>
      <c r="K228" s="174">
        <v>36994.208333333336</v>
      </c>
      <c r="L228" s="174">
        <v>167896.79166666666</v>
      </c>
      <c r="M228" s="409"/>
      <c r="N228" s="409">
        <v>0</v>
      </c>
      <c r="O228" s="138"/>
      <c r="P228" s="80"/>
      <c r="Q228" s="80"/>
      <c r="R228" s="256"/>
    </row>
    <row r="229" spans="2:19">
      <c r="B229" s="133" t="s">
        <v>2353</v>
      </c>
      <c r="C229" s="133" t="s">
        <v>2226</v>
      </c>
      <c r="D229" s="235">
        <v>45639</v>
      </c>
      <c r="E229" s="170">
        <v>60</v>
      </c>
      <c r="F229" s="171">
        <v>3813894</v>
      </c>
      <c r="G229" s="171">
        <v>635649</v>
      </c>
      <c r="H229" s="171">
        <v>3178245</v>
      </c>
      <c r="I229" s="171">
        <v>1</v>
      </c>
      <c r="J229" s="171">
        <v>52970.75</v>
      </c>
      <c r="K229" s="174">
        <v>688619.75</v>
      </c>
      <c r="L229" s="174">
        <v>3125274.25</v>
      </c>
      <c r="M229" s="409"/>
      <c r="N229" s="409">
        <v>0</v>
      </c>
      <c r="O229" s="138"/>
      <c r="P229" s="267"/>
      <c r="Q229" s="80"/>
      <c r="S229" s="154"/>
    </row>
    <row r="230" spans="2:19">
      <c r="B230" s="133" t="s">
        <v>2572</v>
      </c>
      <c r="C230" s="133" t="s">
        <v>2226</v>
      </c>
      <c r="D230" s="235">
        <v>45751</v>
      </c>
      <c r="E230" s="170">
        <v>28</v>
      </c>
      <c r="F230" s="171">
        <v>133172</v>
      </c>
      <c r="G230" s="171">
        <v>29593.777777777777</v>
      </c>
      <c r="H230" s="171">
        <v>103578.22222222222</v>
      </c>
      <c r="I230" s="171">
        <v>1</v>
      </c>
      <c r="J230" s="171">
        <v>3699.2222222222222</v>
      </c>
      <c r="K230" s="174">
        <v>33293</v>
      </c>
      <c r="L230" s="174">
        <v>99879</v>
      </c>
      <c r="M230" s="409"/>
      <c r="N230" s="409">
        <v>0</v>
      </c>
      <c r="O230" s="138"/>
      <c r="P230" s="267"/>
      <c r="Q230" s="80"/>
      <c r="S230" s="154"/>
    </row>
    <row r="231" spans="2:19">
      <c r="B231" s="133" t="s">
        <v>2573</v>
      </c>
      <c r="C231" s="133" t="s">
        <v>283</v>
      </c>
      <c r="D231" s="235">
        <v>45763</v>
      </c>
      <c r="E231" s="170">
        <v>28</v>
      </c>
      <c r="F231" s="171">
        <v>117480</v>
      </c>
      <c r="G231" s="171">
        <v>26106.666666666668</v>
      </c>
      <c r="H231" s="171">
        <v>91373.333333333328</v>
      </c>
      <c r="I231" s="171">
        <v>1</v>
      </c>
      <c r="J231" s="171">
        <v>3263.333333333333</v>
      </c>
      <c r="K231" s="174">
        <v>29370</v>
      </c>
      <c r="L231" s="174">
        <v>88110</v>
      </c>
      <c r="M231" s="409"/>
      <c r="N231" s="409"/>
      <c r="O231" s="138"/>
      <c r="P231" s="267"/>
      <c r="Q231" s="80"/>
      <c r="S231" s="154"/>
    </row>
    <row r="232" spans="2:19">
      <c r="B232" s="133" t="s">
        <v>2574</v>
      </c>
      <c r="C232" s="133" t="s">
        <v>349</v>
      </c>
      <c r="D232" s="235">
        <v>45763</v>
      </c>
      <c r="E232" s="170">
        <v>28</v>
      </c>
      <c r="F232" s="171">
        <v>58740</v>
      </c>
      <c r="G232" s="171">
        <v>13053.333333333334</v>
      </c>
      <c r="H232" s="171">
        <v>45686.666666666664</v>
      </c>
      <c r="I232" s="171">
        <v>1</v>
      </c>
      <c r="J232" s="171">
        <v>1631.6666666666665</v>
      </c>
      <c r="K232" s="174">
        <v>14685</v>
      </c>
      <c r="L232" s="174">
        <v>44055</v>
      </c>
      <c r="M232" s="409"/>
      <c r="N232" s="409"/>
      <c r="O232" s="138"/>
      <c r="P232" s="267"/>
      <c r="Q232" s="80"/>
      <c r="S232" s="154"/>
    </row>
    <row r="233" spans="2:19">
      <c r="B233" s="133" t="s">
        <v>2607</v>
      </c>
      <c r="C233" s="133" t="s">
        <v>283</v>
      </c>
      <c r="D233" s="235">
        <v>45783</v>
      </c>
      <c r="E233" s="170">
        <v>29</v>
      </c>
      <c r="F233" s="171">
        <v>58740</v>
      </c>
      <c r="G233" s="171">
        <v>11421.666666666668</v>
      </c>
      <c r="H233" s="171">
        <v>47318.333333333328</v>
      </c>
      <c r="I233" s="171">
        <v>1</v>
      </c>
      <c r="J233" s="171">
        <v>1631.6666666666665</v>
      </c>
      <c r="K233" s="174">
        <v>13053.333333333334</v>
      </c>
      <c r="L233" s="174">
        <v>45686.666666666664</v>
      </c>
      <c r="M233" s="409"/>
      <c r="N233" s="409"/>
      <c r="O233" s="138"/>
      <c r="P233" s="267"/>
      <c r="Q233" s="80"/>
      <c r="S233" s="154"/>
    </row>
    <row r="234" spans="2:19">
      <c r="B234" s="133" t="s">
        <v>3028</v>
      </c>
      <c r="C234" s="133" t="s">
        <v>283</v>
      </c>
      <c r="D234" s="235">
        <v>45964</v>
      </c>
      <c r="E234" s="170">
        <v>35</v>
      </c>
      <c r="F234" s="171">
        <v>1935870</v>
      </c>
      <c r="G234" s="171">
        <v>53774.166666666664</v>
      </c>
      <c r="H234" s="171">
        <v>1882095.8333333333</v>
      </c>
      <c r="I234" s="171">
        <v>1</v>
      </c>
      <c r="J234" s="171">
        <v>53774.166666666664</v>
      </c>
      <c r="K234" s="174">
        <v>107548.33333333333</v>
      </c>
      <c r="L234" s="174">
        <v>1828321.6666666667</v>
      </c>
      <c r="M234" s="409"/>
      <c r="N234" s="409"/>
      <c r="O234" s="138"/>
      <c r="P234" s="267"/>
      <c r="Q234" s="80"/>
      <c r="S234" s="154"/>
    </row>
    <row r="235" spans="2:19">
      <c r="B235" s="133" t="s">
        <v>3165</v>
      </c>
      <c r="C235" s="133"/>
      <c r="D235" s="235">
        <v>46041</v>
      </c>
      <c r="E235" s="170">
        <v>36</v>
      </c>
      <c r="F235" s="171">
        <v>5187174</v>
      </c>
      <c r="G235" s="171">
        <v>0</v>
      </c>
      <c r="H235" s="171">
        <v>5187174</v>
      </c>
      <c r="I235" s="171">
        <v>0</v>
      </c>
      <c r="J235" s="171">
        <v>0</v>
      </c>
      <c r="K235" s="174">
        <v>0</v>
      </c>
      <c r="L235" s="174">
        <v>5187174</v>
      </c>
      <c r="M235" s="409"/>
      <c r="N235" s="409"/>
      <c r="O235" s="138"/>
      <c r="P235" s="267"/>
      <c r="Q235" s="80"/>
      <c r="S235" s="154"/>
    </row>
    <row r="236" spans="2:19">
      <c r="B236" s="133"/>
      <c r="C236" s="133"/>
      <c r="D236" s="235"/>
      <c r="E236" s="170"/>
      <c r="F236" s="171"/>
      <c r="G236" s="171"/>
      <c r="H236" s="171"/>
      <c r="I236" s="171"/>
      <c r="J236" s="171"/>
      <c r="K236" s="174"/>
      <c r="L236" s="174"/>
      <c r="M236" s="409"/>
      <c r="N236" s="409"/>
      <c r="O236" s="138"/>
      <c r="P236" s="267"/>
      <c r="Q236" s="80"/>
      <c r="S236" s="154"/>
    </row>
    <row r="237" spans="2:19">
      <c r="B237" s="175" t="s">
        <v>335</v>
      </c>
      <c r="C237" s="175"/>
      <c r="D237" s="176"/>
      <c r="E237" s="177"/>
      <c r="F237" s="178">
        <f>SUM(F154:F236)</f>
        <v>109578639</v>
      </c>
      <c r="G237" s="178">
        <f t="shared" ref="G237:L237" si="2">SUM(G154:G236)</f>
        <v>35209840.423066899</v>
      </c>
      <c r="H237" s="178">
        <f t="shared" si="2"/>
        <v>74368798.576933071</v>
      </c>
      <c r="I237" s="178"/>
      <c r="J237" s="178">
        <f t="shared" si="2"/>
        <v>1476443.0292426152</v>
      </c>
      <c r="K237" s="178">
        <f t="shared" si="2"/>
        <v>36686283.452309519</v>
      </c>
      <c r="L237" s="178">
        <f t="shared" si="2"/>
        <v>72892355.547690496</v>
      </c>
      <c r="N237" s="409"/>
      <c r="O237" s="471"/>
    </row>
    <row r="238" spans="2:19">
      <c r="F238" s="256"/>
      <c r="H238" s="256"/>
      <c r="K238" s="256"/>
      <c r="N238" s="409"/>
    </row>
    <row r="239" spans="2:19">
      <c r="H239" s="256"/>
      <c r="K239" s="256"/>
      <c r="M239" s="409"/>
      <c r="N239" s="473"/>
    </row>
    <row r="240" spans="2:19">
      <c r="B240" s="861" t="s">
        <v>2364</v>
      </c>
      <c r="C240" s="862"/>
      <c r="D240" s="863"/>
      <c r="H240" s="267"/>
      <c r="I240" s="267"/>
      <c r="J240" s="267"/>
      <c r="K240" s="267"/>
      <c r="L240" s="267"/>
      <c r="M240" s="267"/>
    </row>
    <row r="241" spans="2:13">
      <c r="B241" s="377" t="s">
        <v>202</v>
      </c>
      <c r="C241" s="378" t="s">
        <v>156</v>
      </c>
      <c r="D241" s="160" t="s">
        <v>167</v>
      </c>
      <c r="H241" s="485"/>
      <c r="I241" s="485"/>
      <c r="J241" s="485"/>
      <c r="K241" s="485"/>
      <c r="L241" s="485"/>
      <c r="M241" s="485"/>
    </row>
    <row r="242" spans="2:13">
      <c r="B242" s="379" t="s">
        <v>2360</v>
      </c>
      <c r="C242" s="406" t="s">
        <v>2360</v>
      </c>
      <c r="D242" s="588">
        <f>41881933-16806723</f>
        <v>25075210</v>
      </c>
    </row>
    <row r="243" spans="2:13">
      <c r="B243" s="379" t="s">
        <v>3125</v>
      </c>
      <c r="C243" s="708">
        <v>46022</v>
      </c>
      <c r="D243" s="588">
        <v>2673426</v>
      </c>
    </row>
    <row r="244" spans="2:13">
      <c r="B244" s="518" t="s">
        <v>178</v>
      </c>
      <c r="C244" s="519"/>
      <c r="D244" s="520">
        <f>+D243+D242</f>
        <v>27748636</v>
      </c>
    </row>
    <row r="245" spans="2:13">
      <c r="B245" s="80"/>
      <c r="C245" s="80"/>
    </row>
    <row r="246" spans="2:13">
      <c r="B246" s="80"/>
      <c r="C246" s="80"/>
    </row>
    <row r="247" spans="2:13">
      <c r="B247" s="80"/>
      <c r="C247" s="80"/>
    </row>
    <row r="248" spans="2:13" ht="15.05" customHeight="1">
      <c r="B248" s="80"/>
      <c r="C248" s="80"/>
    </row>
    <row r="249" spans="2:13">
      <c r="B249" s="80"/>
      <c r="C249" s="80"/>
    </row>
  </sheetData>
  <mergeCells count="6">
    <mergeCell ref="B240:D240"/>
    <mergeCell ref="C152:C153"/>
    <mergeCell ref="C15:C16"/>
    <mergeCell ref="B1:L1"/>
    <mergeCell ref="B2:L2"/>
    <mergeCell ref="B3:L3"/>
  </mergeCells>
  <phoneticPr fontId="40" type="noConversion"/>
  <hyperlinks>
    <hyperlink ref="A1" location="'Balance 8 Columnas'!A1" display="'Balance 8 Columnas'!A1" xr:uid="{EB7C5BCA-6E03-4D03-95F2-5C9C6841143D}"/>
  </hyperlinks>
  <pageMargins left="0.70866141732283472" right="0.70866141732283472" top="0.74803149606299213" bottom="0.74803149606299213" header="0.31496062992125984" footer="0.31496062992125984"/>
  <pageSetup scale="37" orientation="landscape" r:id="rId1"/>
  <headerFooter>
    <oddFooter>&amp;C_x000D_&amp;1#&amp;"Calibri"&amp;10&amp;K000000 Calificación: Publico, apto para su distribución</oddFooter>
  </headerFooter>
  <rowBreaks count="1" manualBreakCount="1">
    <brk id="184" max="11" man="1"/>
  </rowBreaks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rgb="FF002060"/>
  </sheetPr>
  <dimension ref="A1:M58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6.296875" style="80" customWidth="1"/>
    <col min="2" max="2" width="66.296875" style="138" customWidth="1"/>
    <col min="3" max="3" width="19.8984375" style="80" customWidth="1"/>
    <col min="4" max="4" width="12.296875" style="80" customWidth="1"/>
    <col min="5" max="5" width="15.59765625" style="80" customWidth="1"/>
    <col min="6" max="6" width="12.296875" style="80" customWidth="1"/>
    <col min="7" max="8" width="19.8984375" style="80" customWidth="1"/>
    <col min="9" max="13" width="14.3984375" style="293"/>
    <col min="14" max="16384" width="14.3984375" style="80"/>
  </cols>
  <sheetData>
    <row r="1" spans="1:12" ht="20.95">
      <c r="A1" s="431" t="s">
        <v>590</v>
      </c>
      <c r="B1" s="810" t="s">
        <v>195</v>
      </c>
      <c r="C1" s="810"/>
      <c r="D1" s="810"/>
      <c r="E1" s="810"/>
      <c r="F1" s="810"/>
      <c r="G1" s="810"/>
      <c r="H1" s="810"/>
      <c r="J1" s="469">
        <f ca="1">C8+'Cuentas por pagar EERR'!D9-'Balance Clasificado'!D32</f>
        <v>1.744999885559082</v>
      </c>
    </row>
    <row r="2" spans="1:12" ht="14">
      <c r="B2" s="867" t="s">
        <v>526</v>
      </c>
      <c r="C2" s="867"/>
      <c r="D2" s="867"/>
      <c r="E2" s="867"/>
      <c r="F2" s="867"/>
      <c r="G2" s="867"/>
      <c r="H2" s="867"/>
    </row>
    <row r="3" spans="1:12" ht="14">
      <c r="B3" s="867" t="str">
        <f>+Carátula!A9</f>
        <v>Al 31 de enero de 2026</v>
      </c>
      <c r="C3" s="867"/>
      <c r="D3" s="867"/>
      <c r="E3" s="867"/>
      <c r="F3" s="867"/>
      <c r="G3" s="867"/>
      <c r="H3" s="867"/>
    </row>
    <row r="4" spans="1:12">
      <c r="B4" s="78"/>
      <c r="C4" s="78"/>
      <c r="D4" s="78"/>
      <c r="E4" s="78"/>
      <c r="F4" s="78"/>
      <c r="G4" s="181"/>
    </row>
    <row r="5" spans="1:12">
      <c r="B5" s="394" t="s">
        <v>527</v>
      </c>
      <c r="C5" s="78"/>
      <c r="D5" s="78"/>
      <c r="E5" s="78"/>
      <c r="F5" s="78"/>
      <c r="G5" s="181"/>
    </row>
    <row r="6" spans="1:12">
      <c r="B6" s="72" t="s">
        <v>62</v>
      </c>
      <c r="C6" s="72" t="s">
        <v>153</v>
      </c>
      <c r="D6" s="78"/>
      <c r="E6" s="78"/>
      <c r="F6" s="78"/>
      <c r="G6" s="181"/>
    </row>
    <row r="7" spans="1:12">
      <c r="B7" s="126" t="s">
        <v>26</v>
      </c>
      <c r="C7" s="127">
        <f>+H51</f>
        <v>146668722.26200002</v>
      </c>
      <c r="D7" s="78"/>
      <c r="E7" s="78"/>
      <c r="F7" s="78"/>
      <c r="G7" s="181"/>
    </row>
    <row r="8" spans="1:12">
      <c r="B8" s="128" t="s">
        <v>528</v>
      </c>
      <c r="C8" s="129">
        <f>SUM(C7:C7)</f>
        <v>146668722.26200002</v>
      </c>
      <c r="D8" s="78"/>
      <c r="E8" s="78"/>
      <c r="F8" s="78"/>
      <c r="G8" s="181"/>
    </row>
    <row r="9" spans="1:12">
      <c r="B9" s="78"/>
      <c r="C9" s="78"/>
      <c r="D9" s="78"/>
      <c r="E9" s="78"/>
      <c r="F9" s="78"/>
      <c r="G9" s="181"/>
    </row>
    <row r="10" spans="1:12" ht="14.25" customHeight="1">
      <c r="B10" s="866" t="s">
        <v>26</v>
      </c>
      <c r="C10" s="866"/>
      <c r="D10" s="866"/>
      <c r="E10" s="866"/>
      <c r="F10" s="866"/>
      <c r="G10" s="866"/>
      <c r="H10" s="866"/>
    </row>
    <row r="11" spans="1:12" ht="14.25" customHeight="1">
      <c r="B11" s="160" t="s">
        <v>202</v>
      </c>
      <c r="C11" s="400" t="s">
        <v>217</v>
      </c>
      <c r="D11" s="400" t="s">
        <v>218</v>
      </c>
      <c r="E11" s="400" t="s">
        <v>219</v>
      </c>
      <c r="F11" s="400" t="s">
        <v>220</v>
      </c>
      <c r="G11" s="400" t="s">
        <v>222</v>
      </c>
      <c r="H11" s="400" t="s">
        <v>221</v>
      </c>
    </row>
    <row r="12" spans="1:12">
      <c r="B12" s="185" t="s">
        <v>2582</v>
      </c>
      <c r="C12" s="186">
        <v>546720.16182589217</v>
      </c>
      <c r="D12" s="376">
        <v>844.69</v>
      </c>
      <c r="E12" s="187">
        <v>647.24</v>
      </c>
      <c r="F12" s="376">
        <f>+'Cajas y Bancos'!F56</f>
        <v>865.1</v>
      </c>
      <c r="G12" s="444">
        <f t="shared" ref="G12:G25" si="0">+H12-C12</f>
        <v>13207.162174107856</v>
      </c>
      <c r="H12" s="419">
        <f t="shared" ref="H12:H25" si="1">+E12*F12</f>
        <v>559927.32400000002</v>
      </c>
      <c r="K12" s="408"/>
      <c r="L12" s="409"/>
    </row>
    <row r="13" spans="1:12">
      <c r="B13" s="185" t="s">
        <v>2583</v>
      </c>
      <c r="C13" s="186">
        <v>963920.17652824463</v>
      </c>
      <c r="D13" s="376">
        <v>844.69</v>
      </c>
      <c r="E13" s="187">
        <v>1141.1500000000001</v>
      </c>
      <c r="F13" s="376">
        <f t="shared" ref="F13:F34" si="2">+F12</f>
        <v>865.1</v>
      </c>
      <c r="G13" s="444">
        <f t="shared" si="0"/>
        <v>23288.688471755479</v>
      </c>
      <c r="H13" s="419">
        <f t="shared" si="1"/>
        <v>987208.86500000011</v>
      </c>
      <c r="K13" s="408"/>
      <c r="L13" s="409"/>
    </row>
    <row r="14" spans="1:12" ht="14.55">
      <c r="B14" s="185" t="s">
        <v>1696</v>
      </c>
      <c r="C14" s="186">
        <f>+D14*E14</f>
        <v>1055381.0267</v>
      </c>
      <c r="D14" s="376">
        <v>844.69</v>
      </c>
      <c r="E14" s="187">
        <v>1249.43</v>
      </c>
      <c r="F14" s="376">
        <f t="shared" si="2"/>
        <v>865.1</v>
      </c>
      <c r="G14" s="444">
        <f t="shared" si="0"/>
        <v>25500.866300000111</v>
      </c>
      <c r="H14" s="419">
        <f t="shared" si="1"/>
        <v>1080881.8930000002</v>
      </c>
      <c r="J14" s="517"/>
      <c r="K14" s="408"/>
      <c r="L14" s="409"/>
    </row>
    <row r="15" spans="1:12">
      <c r="B15" s="185" t="s">
        <v>1697</v>
      </c>
      <c r="C15" s="186">
        <f t="shared" ref="C15:C27" si="3">+D15*E15</f>
        <v>956239.76139999996</v>
      </c>
      <c r="D15" s="376">
        <v>844.69</v>
      </c>
      <c r="E15" s="187">
        <v>1132.06</v>
      </c>
      <c r="F15" s="376">
        <f t="shared" si="2"/>
        <v>865.1</v>
      </c>
      <c r="G15" s="444">
        <f t="shared" si="0"/>
        <v>23105.344600000069</v>
      </c>
      <c r="H15" s="419">
        <f t="shared" si="1"/>
        <v>979345.10600000003</v>
      </c>
      <c r="K15" s="408"/>
      <c r="L15" s="409"/>
    </row>
    <row r="16" spans="1:12">
      <c r="B16" s="185" t="s">
        <v>1698</v>
      </c>
      <c r="C16" s="186">
        <f t="shared" si="3"/>
        <v>1082039.4431</v>
      </c>
      <c r="D16" s="376">
        <v>844.69</v>
      </c>
      <c r="E16" s="187">
        <v>1280.99</v>
      </c>
      <c r="F16" s="376">
        <f t="shared" si="2"/>
        <v>865.1</v>
      </c>
      <c r="G16" s="444">
        <f t="shared" si="0"/>
        <v>26145.005899999989</v>
      </c>
      <c r="H16" s="419">
        <f t="shared" si="1"/>
        <v>1108184.449</v>
      </c>
      <c r="K16" s="408"/>
      <c r="L16" s="409"/>
    </row>
    <row r="17" spans="2:12">
      <c r="B17" s="185" t="s">
        <v>1699</v>
      </c>
      <c r="C17" s="186">
        <f t="shared" si="3"/>
        <v>1034162.4139</v>
      </c>
      <c r="D17" s="376">
        <v>844.69</v>
      </c>
      <c r="E17" s="187">
        <v>1224.31</v>
      </c>
      <c r="F17" s="376">
        <f t="shared" si="2"/>
        <v>865.1</v>
      </c>
      <c r="G17" s="444">
        <f t="shared" si="0"/>
        <v>24988.167099999962</v>
      </c>
      <c r="H17" s="419">
        <f t="shared" si="1"/>
        <v>1059150.581</v>
      </c>
      <c r="K17" s="408"/>
      <c r="L17" s="409"/>
    </row>
    <row r="18" spans="2:12">
      <c r="B18" s="185" t="s">
        <v>1700</v>
      </c>
      <c r="C18" s="186">
        <f t="shared" si="3"/>
        <v>1033495.1088</v>
      </c>
      <c r="D18" s="376">
        <v>844.69</v>
      </c>
      <c r="E18" s="187">
        <v>1223.52</v>
      </c>
      <c r="F18" s="376">
        <f t="shared" si="2"/>
        <v>865.1</v>
      </c>
      <c r="G18" s="444">
        <f t="shared" si="0"/>
        <v>24972.043199999956</v>
      </c>
      <c r="H18" s="419">
        <f t="shared" si="1"/>
        <v>1058467.152</v>
      </c>
      <c r="K18" s="408"/>
      <c r="L18" s="409"/>
    </row>
    <row r="19" spans="2:12">
      <c r="B19" s="185" t="s">
        <v>1701</v>
      </c>
      <c r="C19" s="186">
        <f t="shared" si="3"/>
        <v>1005966.6617000002</v>
      </c>
      <c r="D19" s="376">
        <v>844.69</v>
      </c>
      <c r="E19" s="187">
        <v>1190.93</v>
      </c>
      <c r="F19" s="376">
        <f>+F18</f>
        <v>865.1</v>
      </c>
      <c r="G19" s="444">
        <f t="shared" si="0"/>
        <v>24306.881299999892</v>
      </c>
      <c r="H19" s="419">
        <f t="shared" si="1"/>
        <v>1030273.5430000001</v>
      </c>
      <c r="J19" s="410"/>
      <c r="K19" s="408"/>
      <c r="L19" s="409"/>
    </row>
    <row r="20" spans="2:12">
      <c r="B20" s="185" t="s">
        <v>1702</v>
      </c>
      <c r="C20" s="186">
        <f t="shared" si="3"/>
        <v>1279865.8411000001</v>
      </c>
      <c r="D20" s="376">
        <v>844.69</v>
      </c>
      <c r="E20" s="187">
        <v>1515.19</v>
      </c>
      <c r="F20" s="376">
        <f t="shared" si="2"/>
        <v>865.1</v>
      </c>
      <c r="G20" s="444">
        <f t="shared" si="0"/>
        <v>30925.027900000103</v>
      </c>
      <c r="H20" s="419">
        <f t="shared" si="1"/>
        <v>1310790.8690000002</v>
      </c>
      <c r="K20" s="408"/>
      <c r="L20" s="409"/>
    </row>
    <row r="21" spans="2:12">
      <c r="B21" s="185" t="s">
        <v>1703</v>
      </c>
      <c r="C21" s="186">
        <f t="shared" si="3"/>
        <v>1344814.0552000001</v>
      </c>
      <c r="D21" s="376">
        <v>844.69</v>
      </c>
      <c r="E21" s="187">
        <v>1592.08</v>
      </c>
      <c r="F21" s="376">
        <f t="shared" si="2"/>
        <v>865.1</v>
      </c>
      <c r="G21" s="444">
        <f t="shared" si="0"/>
        <v>32494.352799999993</v>
      </c>
      <c r="H21" s="419">
        <f t="shared" si="1"/>
        <v>1377308.4080000001</v>
      </c>
      <c r="K21" s="408"/>
      <c r="L21" s="409"/>
    </row>
    <row r="22" spans="2:12">
      <c r="B22" s="185" t="s">
        <v>1693</v>
      </c>
      <c r="C22" s="186">
        <f t="shared" si="3"/>
        <v>1419357.9477000001</v>
      </c>
      <c r="D22" s="376">
        <v>844.69</v>
      </c>
      <c r="E22" s="187">
        <v>1680.33</v>
      </c>
      <c r="F22" s="376">
        <f>+F21</f>
        <v>865.1</v>
      </c>
      <c r="G22" s="444">
        <f t="shared" si="0"/>
        <v>34295.535299999872</v>
      </c>
      <c r="H22" s="419">
        <f t="shared" si="1"/>
        <v>1453653.483</v>
      </c>
      <c r="K22" s="408"/>
      <c r="L22" s="409"/>
    </row>
    <row r="23" spans="2:12">
      <c r="B23" s="185" t="s">
        <v>1694</v>
      </c>
      <c r="C23" s="186">
        <f t="shared" si="3"/>
        <v>3278132.0803</v>
      </c>
      <c r="D23" s="376">
        <v>844.69</v>
      </c>
      <c r="E23" s="187">
        <v>3880.87</v>
      </c>
      <c r="F23" s="376">
        <f t="shared" si="2"/>
        <v>865.1</v>
      </c>
      <c r="G23" s="444">
        <f t="shared" si="0"/>
        <v>79208.556700000074</v>
      </c>
      <c r="H23" s="419">
        <f t="shared" si="1"/>
        <v>3357340.6370000001</v>
      </c>
      <c r="K23" s="408"/>
      <c r="L23" s="409"/>
    </row>
    <row r="24" spans="2:12">
      <c r="B24" s="185" t="s">
        <v>1695</v>
      </c>
      <c r="C24" s="186">
        <f t="shared" si="3"/>
        <v>3194947.0090999999</v>
      </c>
      <c r="D24" s="376">
        <v>844.69</v>
      </c>
      <c r="E24" s="187">
        <v>3782.39</v>
      </c>
      <c r="F24" s="376">
        <f t="shared" si="2"/>
        <v>865.1</v>
      </c>
      <c r="G24" s="444">
        <f t="shared" si="0"/>
        <v>77198.579900000244</v>
      </c>
      <c r="H24" s="419">
        <f t="shared" si="1"/>
        <v>3272145.5890000002</v>
      </c>
      <c r="K24" s="408"/>
      <c r="L24" s="409"/>
    </row>
    <row r="25" spans="2:12">
      <c r="B25" s="185" t="s">
        <v>1711</v>
      </c>
      <c r="C25" s="186">
        <f t="shared" si="3"/>
        <v>3693119.8304000008</v>
      </c>
      <c r="D25" s="376">
        <v>844.69</v>
      </c>
      <c r="E25" s="187">
        <f>4335.31+36.85</f>
        <v>4372.1600000000008</v>
      </c>
      <c r="F25" s="376">
        <f t="shared" si="2"/>
        <v>865.1</v>
      </c>
      <c r="G25" s="444">
        <f t="shared" si="0"/>
        <v>89235.785600000061</v>
      </c>
      <c r="H25" s="419">
        <f t="shared" si="1"/>
        <v>3782355.6160000009</v>
      </c>
      <c r="K25" s="408"/>
      <c r="L25" s="409"/>
    </row>
    <row r="26" spans="2:12">
      <c r="B26" s="185" t="s">
        <v>1704</v>
      </c>
      <c r="C26" s="186">
        <v>3476066</v>
      </c>
      <c r="D26" s="376">
        <v>804.2</v>
      </c>
      <c r="E26" s="187">
        <v>4322.3900000000003</v>
      </c>
      <c r="F26" s="376">
        <f t="shared" si="2"/>
        <v>865.1</v>
      </c>
      <c r="G26" s="444">
        <f t="shared" ref="G26:G44" si="4">+H26-C26</f>
        <v>263233.58900000015</v>
      </c>
      <c r="H26" s="419">
        <f t="shared" ref="H26:H44" si="5">+E26*F26</f>
        <v>3739299.5890000002</v>
      </c>
      <c r="K26" s="408"/>
      <c r="L26" s="409"/>
    </row>
    <row r="27" spans="2:12">
      <c r="B27" s="185" t="s">
        <v>1705</v>
      </c>
      <c r="C27" s="186">
        <f t="shared" si="3"/>
        <v>3219541.7496000002</v>
      </c>
      <c r="D27" s="376">
        <v>806.03</v>
      </c>
      <c r="E27" s="187">
        <v>3994.32</v>
      </c>
      <c r="F27" s="376">
        <f t="shared" si="2"/>
        <v>865.1</v>
      </c>
      <c r="G27" s="444">
        <f t="shared" si="4"/>
        <v>235944.4824000001</v>
      </c>
      <c r="H27" s="419">
        <f t="shared" si="5"/>
        <v>3455486.2320000003</v>
      </c>
      <c r="K27" s="408"/>
      <c r="L27" s="409"/>
    </row>
    <row r="28" spans="2:12">
      <c r="B28" s="185" t="s">
        <v>1706</v>
      </c>
      <c r="C28" s="186">
        <v>3859137.74</v>
      </c>
      <c r="D28" s="376">
        <v>807.88</v>
      </c>
      <c r="E28" s="187">
        <v>4776.87</v>
      </c>
      <c r="F28" s="376">
        <f t="shared" si="2"/>
        <v>865.1</v>
      </c>
      <c r="G28" s="444">
        <f t="shared" si="4"/>
        <v>273332.49699999997</v>
      </c>
      <c r="H28" s="419">
        <f t="shared" si="5"/>
        <v>4132470.2370000002</v>
      </c>
      <c r="K28" s="408"/>
      <c r="L28" s="409"/>
    </row>
    <row r="29" spans="2:12">
      <c r="B29" s="185" t="s">
        <v>1707</v>
      </c>
      <c r="C29" s="186">
        <v>4027299</v>
      </c>
      <c r="D29" s="376">
        <v>867.87</v>
      </c>
      <c r="E29" s="187">
        <v>4640.4399999999996</v>
      </c>
      <c r="F29" s="376">
        <f t="shared" si="2"/>
        <v>865.1</v>
      </c>
      <c r="G29" s="444">
        <f t="shared" si="4"/>
        <v>-12854.356000000145</v>
      </c>
      <c r="H29" s="419">
        <f t="shared" si="5"/>
        <v>4014444.6439999999</v>
      </c>
      <c r="K29" s="408"/>
      <c r="L29" s="409"/>
    </row>
    <row r="30" spans="2:12">
      <c r="B30" s="185" t="s">
        <v>1708</v>
      </c>
      <c r="C30" s="186">
        <v>4292901.4989</v>
      </c>
      <c r="D30" s="376">
        <v>817.99</v>
      </c>
      <c r="E30" s="187">
        <v>5248.11</v>
      </c>
      <c r="F30" s="376">
        <f t="shared" si="2"/>
        <v>865.1</v>
      </c>
      <c r="G30" s="444">
        <f t="shared" si="4"/>
        <v>247238.46210000012</v>
      </c>
      <c r="H30" s="419">
        <f t="shared" si="5"/>
        <v>4540139.9610000001</v>
      </c>
      <c r="K30" s="408"/>
      <c r="L30" s="409"/>
    </row>
    <row r="31" spans="2:12">
      <c r="B31" s="185" t="s">
        <v>1709</v>
      </c>
      <c r="C31" s="186">
        <v>4662776</v>
      </c>
      <c r="D31" s="376">
        <v>972.66</v>
      </c>
      <c r="E31" s="187">
        <v>4793.84</v>
      </c>
      <c r="F31" s="376">
        <f t="shared" si="2"/>
        <v>865.1</v>
      </c>
      <c r="G31" s="444">
        <f t="shared" ref="G31:G36" si="6">+H31-C31</f>
        <v>-515625.01599999983</v>
      </c>
      <c r="H31" s="419">
        <f t="shared" ref="H31:H36" si="7">+E31*F31</f>
        <v>4147150.9840000002</v>
      </c>
      <c r="K31" s="408"/>
      <c r="L31" s="409"/>
    </row>
    <row r="32" spans="2:12">
      <c r="B32" s="185" t="s">
        <v>441</v>
      </c>
      <c r="C32" s="186">
        <f>E32*D32</f>
        <v>4750887.6863000002</v>
      </c>
      <c r="D32" s="376">
        <v>903.91</v>
      </c>
      <c r="E32" s="187">
        <v>5255.93</v>
      </c>
      <c r="F32" s="376">
        <f t="shared" si="2"/>
        <v>865.1</v>
      </c>
      <c r="G32" s="444">
        <f t="shared" si="6"/>
        <v>-203982.64329999965</v>
      </c>
      <c r="H32" s="419">
        <f t="shared" si="7"/>
        <v>4546905.0430000005</v>
      </c>
      <c r="K32" s="408"/>
      <c r="L32" s="409"/>
    </row>
    <row r="33" spans="2:12">
      <c r="B33" s="185" t="s">
        <v>440</v>
      </c>
      <c r="C33" s="186">
        <f>E33*D33</f>
        <v>5271510.1104999995</v>
      </c>
      <c r="D33" s="376">
        <v>910.27</v>
      </c>
      <c r="E33" s="187">
        <v>5791.15</v>
      </c>
      <c r="F33" s="376">
        <f t="shared" si="2"/>
        <v>865.1</v>
      </c>
      <c r="G33" s="444">
        <f t="shared" si="6"/>
        <v>-261586.24549999926</v>
      </c>
      <c r="H33" s="419">
        <f t="shared" si="7"/>
        <v>5009923.8650000002</v>
      </c>
      <c r="K33" s="408"/>
      <c r="L33" s="409"/>
    </row>
    <row r="34" spans="2:12">
      <c r="B34" s="185" t="s">
        <v>455</v>
      </c>
      <c r="C34" s="186">
        <f>E34*D34</f>
        <v>5272973.0999999996</v>
      </c>
      <c r="D34" s="376">
        <v>943.92</v>
      </c>
      <c r="E34" s="187">
        <v>5586.25</v>
      </c>
      <c r="F34" s="376">
        <f t="shared" si="2"/>
        <v>865.1</v>
      </c>
      <c r="G34" s="444">
        <f t="shared" si="6"/>
        <v>-440308.22499999963</v>
      </c>
      <c r="H34" s="419">
        <f t="shared" si="7"/>
        <v>4832664.875</v>
      </c>
      <c r="K34" s="408"/>
      <c r="L34" s="409"/>
    </row>
    <row r="35" spans="2:12">
      <c r="B35" s="185" t="s">
        <v>483</v>
      </c>
      <c r="C35" s="186">
        <f>E35*D35</f>
        <v>5876644.1967000002</v>
      </c>
      <c r="D35" s="376">
        <v>932.37</v>
      </c>
      <c r="E35" s="187">
        <v>6302.91</v>
      </c>
      <c r="F35" s="376">
        <f>+F32</f>
        <v>865.1</v>
      </c>
      <c r="G35" s="444">
        <f t="shared" si="6"/>
        <v>-423996.75570000056</v>
      </c>
      <c r="H35" s="419">
        <f t="shared" si="7"/>
        <v>5452647.4409999996</v>
      </c>
      <c r="K35" s="408"/>
      <c r="L35" s="409"/>
    </row>
    <row r="36" spans="2:12">
      <c r="B36" s="185" t="s">
        <v>546</v>
      </c>
      <c r="C36" s="186">
        <f>E36*D36-1</f>
        <v>5414209.6670000004</v>
      </c>
      <c r="D36" s="376">
        <v>884.74</v>
      </c>
      <c r="E36" s="187">
        <v>6119.55</v>
      </c>
      <c r="F36" s="376">
        <f>+F33</f>
        <v>865.1</v>
      </c>
      <c r="G36" s="444">
        <f t="shared" si="6"/>
        <v>-120186.96200000029</v>
      </c>
      <c r="H36" s="419">
        <f t="shared" si="7"/>
        <v>5294022.7050000001</v>
      </c>
      <c r="K36" s="408"/>
      <c r="L36" s="409"/>
    </row>
    <row r="37" spans="2:12">
      <c r="B37" s="185" t="s">
        <v>587</v>
      </c>
      <c r="C37" s="186">
        <f t="shared" ref="C37:C43" si="8">E37*D37</f>
        <v>5568722.3144999994</v>
      </c>
      <c r="D37" s="376">
        <v>859.51</v>
      </c>
      <c r="E37" s="187">
        <v>6478.95</v>
      </c>
      <c r="F37" s="376">
        <f>+F34</f>
        <v>865.1</v>
      </c>
      <c r="G37" s="444">
        <f t="shared" si="4"/>
        <v>36217.330500000156</v>
      </c>
      <c r="H37" s="419">
        <f t="shared" si="5"/>
        <v>5604939.6449999996</v>
      </c>
      <c r="K37" s="408"/>
      <c r="L37" s="409"/>
    </row>
    <row r="38" spans="2:12">
      <c r="B38" s="185" t="s">
        <v>678</v>
      </c>
      <c r="C38" s="186">
        <f t="shared" si="8"/>
        <v>5285112.2209000001</v>
      </c>
      <c r="D38" s="376">
        <v>793.19</v>
      </c>
      <c r="E38" s="187">
        <v>6663.11</v>
      </c>
      <c r="F38" s="376">
        <f>+F34</f>
        <v>865.1</v>
      </c>
      <c r="G38" s="444">
        <f t="shared" si="4"/>
        <v>479144.24010000005</v>
      </c>
      <c r="H38" s="419">
        <f t="shared" si="5"/>
        <v>5764256.4610000001</v>
      </c>
      <c r="K38" s="408"/>
      <c r="L38" s="409"/>
    </row>
    <row r="39" spans="2:12">
      <c r="B39" s="185" t="s">
        <v>818</v>
      </c>
      <c r="C39" s="186">
        <f t="shared" si="8"/>
        <v>5038995.3119999999</v>
      </c>
      <c r="D39" s="376">
        <v>802.88</v>
      </c>
      <c r="E39" s="187">
        <v>6276.15</v>
      </c>
      <c r="F39" s="376">
        <f>+F34</f>
        <v>865.1</v>
      </c>
      <c r="G39" s="444">
        <f t="shared" si="4"/>
        <v>390502.05300000031</v>
      </c>
      <c r="H39" s="419">
        <f t="shared" si="5"/>
        <v>5429497.3650000002</v>
      </c>
      <c r="K39" s="408"/>
      <c r="L39" s="409"/>
    </row>
    <row r="40" spans="2:12">
      <c r="B40" s="185" t="s">
        <v>819</v>
      </c>
      <c r="C40" s="186">
        <f t="shared" si="8"/>
        <v>5617611.4967999998</v>
      </c>
      <c r="D40" s="376">
        <v>821.49</v>
      </c>
      <c r="E40" s="187">
        <v>6838.32</v>
      </c>
      <c r="F40" s="376">
        <f>+F34</f>
        <v>865.1</v>
      </c>
      <c r="G40" s="444">
        <f t="shared" si="4"/>
        <v>298219.13520000037</v>
      </c>
      <c r="H40" s="419">
        <f t="shared" si="5"/>
        <v>5915830.6320000002</v>
      </c>
      <c r="K40" s="408"/>
      <c r="L40" s="409"/>
    </row>
    <row r="41" spans="2:12">
      <c r="B41" s="185" t="s">
        <v>1257</v>
      </c>
      <c r="C41" s="186">
        <f t="shared" si="8"/>
        <v>5369347.1018000003</v>
      </c>
      <c r="D41" s="376">
        <v>793.43</v>
      </c>
      <c r="E41" s="187">
        <v>6767.26</v>
      </c>
      <c r="F41" s="376">
        <f>+F34</f>
        <v>865.1</v>
      </c>
      <c r="G41" s="444">
        <f t="shared" si="4"/>
        <v>485009.52419999987</v>
      </c>
      <c r="H41" s="419">
        <f t="shared" si="5"/>
        <v>5854356.6260000002</v>
      </c>
      <c r="K41" s="408"/>
      <c r="L41" s="409"/>
    </row>
    <row r="42" spans="2:12">
      <c r="B42" s="185" t="s">
        <v>1268</v>
      </c>
      <c r="C42" s="186">
        <f t="shared" si="8"/>
        <v>5636806.9078000002</v>
      </c>
      <c r="D42" s="376">
        <v>797.74</v>
      </c>
      <c r="E42" s="187">
        <v>7065.97</v>
      </c>
      <c r="F42" s="376">
        <f>+F34</f>
        <v>865.1</v>
      </c>
      <c r="G42" s="444">
        <f t="shared" si="4"/>
        <v>475963.73920000065</v>
      </c>
      <c r="H42" s="419">
        <f t="shared" si="5"/>
        <v>6112770.6470000008</v>
      </c>
      <c r="K42" s="408"/>
      <c r="L42" s="409"/>
    </row>
    <row r="43" spans="2:12">
      <c r="B43" s="185" t="s">
        <v>1354</v>
      </c>
      <c r="C43" s="186">
        <f t="shared" si="8"/>
        <v>5424079.8339999998</v>
      </c>
      <c r="D43" s="376">
        <v>797.87</v>
      </c>
      <c r="E43" s="187">
        <v>6798.2</v>
      </c>
      <c r="F43" s="376">
        <f>+F34</f>
        <v>865.1</v>
      </c>
      <c r="G43" s="444">
        <f t="shared" si="4"/>
        <v>457042.9860000005</v>
      </c>
      <c r="H43" s="419">
        <f t="shared" si="5"/>
        <v>5881122.8200000003</v>
      </c>
      <c r="K43" s="408"/>
      <c r="L43" s="409"/>
    </row>
    <row r="44" spans="2:12">
      <c r="B44" s="185" t="s">
        <v>1405</v>
      </c>
      <c r="C44" s="186">
        <v>5728445</v>
      </c>
      <c r="D44" s="376">
        <f>C44/E44</f>
        <v>840.69002257124328</v>
      </c>
      <c r="E44" s="187">
        <v>6813.98</v>
      </c>
      <c r="F44" s="376">
        <f>+F34</f>
        <v>865.1</v>
      </c>
      <c r="G44" s="444">
        <f t="shared" si="4"/>
        <v>166329.09800000023</v>
      </c>
      <c r="H44" s="419">
        <f t="shared" si="5"/>
        <v>5894774.0980000002</v>
      </c>
      <c r="K44" s="408"/>
      <c r="L44" s="409"/>
    </row>
    <row r="45" spans="2:12">
      <c r="B45" s="185" t="s">
        <v>1554</v>
      </c>
      <c r="C45" s="186">
        <v>5730266</v>
      </c>
      <c r="D45" s="376">
        <f>C45/E45</f>
        <v>872.92001803646292</v>
      </c>
      <c r="E45" s="187">
        <v>6564.48</v>
      </c>
      <c r="F45" s="376">
        <f>+F34</f>
        <v>865.1</v>
      </c>
      <c r="G45" s="444">
        <f t="shared" ref="G45:G50" si="9">+H45-C45</f>
        <v>-51334.351999999955</v>
      </c>
      <c r="H45" s="419">
        <f t="shared" ref="H45:H50" si="10">+E45*F45</f>
        <v>5678931.648</v>
      </c>
      <c r="K45" s="408"/>
      <c r="L45" s="409"/>
    </row>
    <row r="46" spans="2:12">
      <c r="B46" s="185" t="s">
        <v>1606</v>
      </c>
      <c r="C46" s="186">
        <v>5576966.5175999999</v>
      </c>
      <c r="D46" s="376">
        <f>C46/E46</f>
        <v>912.42000000000007</v>
      </c>
      <c r="E46" s="187">
        <v>6112.28</v>
      </c>
      <c r="F46" s="376">
        <f>+F34</f>
        <v>865.1</v>
      </c>
      <c r="G46" s="444">
        <f t="shared" si="9"/>
        <v>-289233.0895999996</v>
      </c>
      <c r="H46" s="419">
        <f t="shared" si="10"/>
        <v>5287733.4280000003</v>
      </c>
      <c r="K46" s="408"/>
      <c r="L46" s="409"/>
    </row>
    <row r="47" spans="2:12">
      <c r="B47" s="185" t="s">
        <v>1659</v>
      </c>
      <c r="C47" s="186">
        <v>6066516</v>
      </c>
      <c r="D47" s="376">
        <f>C47/E47</f>
        <v>886.28004417874865</v>
      </c>
      <c r="E47" s="187">
        <v>6844.92</v>
      </c>
      <c r="F47" s="376">
        <f>+F33</f>
        <v>865.1</v>
      </c>
      <c r="G47" s="444">
        <f t="shared" si="9"/>
        <v>-144975.70799999963</v>
      </c>
      <c r="H47" s="419">
        <f t="shared" si="10"/>
        <v>5921540.2920000004</v>
      </c>
      <c r="K47" s="408"/>
      <c r="L47" s="409"/>
    </row>
    <row r="48" spans="2:12">
      <c r="B48" s="185" t="s">
        <v>1664</v>
      </c>
      <c r="C48" s="186">
        <v>6032326.2771999994</v>
      </c>
      <c r="D48" s="376">
        <v>874.42</v>
      </c>
      <c r="E48" s="187">
        <v>6898.66</v>
      </c>
      <c r="F48" s="376">
        <f>+F34</f>
        <v>865.1</v>
      </c>
      <c r="G48" s="444">
        <f t="shared" si="9"/>
        <v>-64295.511199999601</v>
      </c>
      <c r="H48" s="419">
        <f t="shared" si="10"/>
        <v>5968030.7659999998</v>
      </c>
      <c r="K48" s="408"/>
      <c r="L48" s="409"/>
    </row>
    <row r="49" spans="2:12">
      <c r="B49" s="185" t="s">
        <v>1665</v>
      </c>
      <c r="C49" s="186">
        <v>6027534.4556</v>
      </c>
      <c r="D49" s="376">
        <v>874.42</v>
      </c>
      <c r="E49" s="187">
        <v>6893.18</v>
      </c>
      <c r="F49" s="376">
        <f>+F35</f>
        <v>865.1</v>
      </c>
      <c r="G49" s="444">
        <f t="shared" si="9"/>
        <v>-64244.43759999983</v>
      </c>
      <c r="H49" s="419">
        <f t="shared" si="10"/>
        <v>5963290.0180000002</v>
      </c>
      <c r="K49" s="408"/>
      <c r="L49" s="409"/>
    </row>
    <row r="50" spans="2:12">
      <c r="B50" s="185" t="s">
        <v>2355</v>
      </c>
      <c r="C50" s="186">
        <v>-219470</v>
      </c>
      <c r="D50" s="376">
        <f>C50/E50</f>
        <v>996.45856980703741</v>
      </c>
      <c r="E50" s="187">
        <v>-220.25</v>
      </c>
      <c r="F50" s="376">
        <f>+F36</f>
        <v>865.1</v>
      </c>
      <c r="G50" s="444">
        <f t="shared" si="9"/>
        <v>28931.725000000006</v>
      </c>
      <c r="H50" s="419">
        <f t="shared" si="10"/>
        <v>-190538.27499999999</v>
      </c>
      <c r="K50" s="408"/>
      <c r="L50" s="409"/>
    </row>
    <row r="51" spans="2:12">
      <c r="B51" s="182" t="s">
        <v>178</v>
      </c>
      <c r="C51" s="183">
        <f>SUM(C12:C50)</f>
        <v>144895367.70495415</v>
      </c>
      <c r="D51" s="182"/>
      <c r="E51" s="184">
        <f>SUM(E12:E50)</f>
        <v>169539.62000000002</v>
      </c>
      <c r="F51" s="376"/>
      <c r="G51" s="443">
        <f>SUM(G12:G50)</f>
        <v>1773357.5570458681</v>
      </c>
      <c r="H51" s="183">
        <f>SUM(H12:H50)-3</f>
        <v>146668722.26200002</v>
      </c>
      <c r="I51" s="735" t="s">
        <v>482</v>
      </c>
    </row>
    <row r="52" spans="2:12">
      <c r="E52" s="438"/>
      <c r="F52" s="438"/>
      <c r="G52" s="479"/>
      <c r="H52" s="486">
        <v>153794472</v>
      </c>
      <c r="I52" s="486"/>
      <c r="J52" s="611"/>
    </row>
    <row r="53" spans="2:12">
      <c r="E53" s="715">
        <f>+E51+'Cuentas por pagar EERR'!F325+'Cuentas por pagar EERR'!F328+'Cuentas por pagar EERR'!F16</f>
        <v>1596510.9500000002</v>
      </c>
      <c r="F53" s="438"/>
      <c r="G53" s="746"/>
      <c r="H53" s="486">
        <f>H51-H52</f>
        <v>-7125749.7379999757</v>
      </c>
      <c r="I53" s="438" t="s">
        <v>1720</v>
      </c>
      <c r="J53" s="611"/>
    </row>
    <row r="54" spans="2:12">
      <c r="G54" s="479"/>
      <c r="H54" s="479"/>
      <c r="I54" s="479"/>
      <c r="J54" s="611"/>
    </row>
    <row r="55" spans="2:12">
      <c r="G55" s="479"/>
      <c r="H55" s="479"/>
      <c r="I55" s="479"/>
      <c r="J55" s="611"/>
    </row>
    <row r="56" spans="2:12">
      <c r="G56" s="650"/>
      <c r="H56" s="650"/>
      <c r="I56" s="650"/>
      <c r="J56" s="611"/>
    </row>
    <row r="57" spans="2:12">
      <c r="G57" s="611"/>
      <c r="H57" s="611"/>
      <c r="I57" s="611"/>
      <c r="J57" s="611"/>
    </row>
    <row r="58" spans="2:12" ht="14">
      <c r="H58" s="536"/>
    </row>
  </sheetData>
  <mergeCells count="4">
    <mergeCell ref="B10:H10"/>
    <mergeCell ref="B2:H2"/>
    <mergeCell ref="B3:H3"/>
    <mergeCell ref="B1:H1"/>
  </mergeCells>
  <hyperlinks>
    <hyperlink ref="A1" location="'Balance 8 Columnas'!A1" display="'Balance 8 Columnas'!A1" xr:uid="{2B6DB91E-273F-41C9-84DC-073603E5F9D4}"/>
  </hyperlinks>
  <pageMargins left="1.2736614173228347" right="0.70866141732283472" top="0.74803149606299213" bottom="0.74803149606299213" header="0.31496062992125984" footer="0.31496062992125984"/>
  <pageSetup paperSize="9" scale="63" orientation="landscape" r:id="rId1"/>
  <headerFooter>
    <oddFooter>&amp;C_x000D_&amp;1#&amp;"Calibri"&amp;10&amp;K000000 Calificación: Publico, apto para su distribución</oddFooter>
  </headerFooter>
  <ignoredErrors>
    <ignoredError sqref="C36" formula="1"/>
  </ignoredErrors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4D3-42AC-4B99-8C2E-0E19E9A982E3}">
  <sheetPr codeName="Hoja20">
    <tabColor rgb="FF002060"/>
  </sheetPr>
  <dimension ref="A1:N25"/>
  <sheetViews>
    <sheetView showGridLines="0" zoomScale="90" zoomScaleNormal="90" workbookViewId="0">
      <selection activeCell="J61" sqref="J61"/>
    </sheetView>
  </sheetViews>
  <sheetFormatPr baseColWidth="10" defaultColWidth="11.3984375" defaultRowHeight="14"/>
  <cols>
    <col min="1" max="1" width="6" style="158" customWidth="1"/>
    <col min="2" max="2" width="49" style="180" bestFit="1" customWidth="1"/>
    <col min="3" max="3" width="23.69921875" style="180" customWidth="1"/>
    <col min="4" max="4" width="16" style="180" bestFit="1" customWidth="1"/>
    <col min="5" max="5" width="16.3984375" style="180" customWidth="1"/>
    <col min="6" max="6" width="15" style="180" bestFit="1" customWidth="1"/>
    <col min="7" max="7" width="17.69921875" style="180" customWidth="1"/>
    <col min="8" max="8" width="16.59765625" style="158" customWidth="1"/>
    <col min="9" max="9" width="13.09765625" style="158" bestFit="1" customWidth="1"/>
    <col min="10" max="10" width="14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1" t="s">
        <v>590</v>
      </c>
      <c r="B1" s="810" t="s">
        <v>195</v>
      </c>
      <c r="C1" s="810"/>
      <c r="D1" s="810"/>
      <c r="E1" s="810"/>
      <c r="F1" s="810"/>
      <c r="G1" s="810"/>
      <c r="H1" s="225"/>
      <c r="I1" s="227">
        <f ca="1">+C10-'Balance Clasificado'!D30</f>
        <v>0</v>
      </c>
      <c r="J1" s="147"/>
    </row>
    <row r="2" spans="1:10" s="80" customFormat="1">
      <c r="B2" s="867" t="s">
        <v>526</v>
      </c>
      <c r="C2" s="867"/>
      <c r="D2" s="867"/>
      <c r="E2" s="867"/>
      <c r="F2" s="867"/>
      <c r="G2" s="867"/>
      <c r="H2" s="514"/>
    </row>
    <row r="3" spans="1:10" s="80" customFormat="1">
      <c r="B3" s="867" t="str">
        <f>+'Activo fijo'!B3:G3</f>
        <v>Al 31 de enero de 2026</v>
      </c>
      <c r="C3" s="867"/>
      <c r="D3" s="867"/>
      <c r="E3" s="867"/>
      <c r="F3" s="867"/>
      <c r="G3" s="867"/>
      <c r="H3" s="514"/>
    </row>
    <row r="6" spans="1:10">
      <c r="B6" s="179" t="s">
        <v>527</v>
      </c>
    </row>
    <row r="7" spans="1:10">
      <c r="B7" s="72" t="s">
        <v>62</v>
      </c>
      <c r="C7" s="72" t="s">
        <v>153</v>
      </c>
    </row>
    <row r="8" spans="1:10">
      <c r="B8" s="126" t="s">
        <v>2964</v>
      </c>
      <c r="C8" s="143">
        <f>+D17</f>
        <v>4868888</v>
      </c>
    </row>
    <row r="9" spans="1:10">
      <c r="B9" s="126" t="s">
        <v>327</v>
      </c>
      <c r="C9" s="143">
        <f>+D23</f>
        <v>-570836</v>
      </c>
    </row>
    <row r="10" spans="1:10">
      <c r="B10" s="128" t="s">
        <v>528</v>
      </c>
      <c r="C10" s="129">
        <f>SUM(C8:C9)</f>
        <v>4298052</v>
      </c>
      <c r="D10" s="249"/>
    </row>
    <row r="12" spans="1:10">
      <c r="B12" s="179" t="s">
        <v>529</v>
      </c>
    </row>
    <row r="13" spans="1:10">
      <c r="B13" s="179"/>
    </row>
    <row r="14" spans="1:10">
      <c r="B14" s="861" t="s">
        <v>3001</v>
      </c>
      <c r="C14" s="862"/>
      <c r="D14" s="863"/>
    </row>
    <row r="15" spans="1:10">
      <c r="B15" s="184" t="s">
        <v>145</v>
      </c>
      <c r="C15" s="161" t="s">
        <v>156</v>
      </c>
      <c r="D15" s="161" t="s">
        <v>167</v>
      </c>
    </row>
    <row r="16" spans="1:10">
      <c r="B16" s="159" t="s">
        <v>2966</v>
      </c>
      <c r="C16" s="660">
        <v>46053</v>
      </c>
      <c r="D16" s="248">
        <v>4868888</v>
      </c>
    </row>
    <row r="17" spans="2:14">
      <c r="B17" s="868" t="s">
        <v>1845</v>
      </c>
      <c r="C17" s="869"/>
      <c r="D17" s="59">
        <f>SUM(D16:D16)</f>
        <v>4868888</v>
      </c>
      <c r="E17" s="736" t="s">
        <v>2430</v>
      </c>
    </row>
    <row r="18" spans="2:14">
      <c r="B18" s="179"/>
    </row>
    <row r="19" spans="2:14">
      <c r="B19" s="861" t="s">
        <v>327</v>
      </c>
      <c r="C19" s="862"/>
      <c r="D19" s="863"/>
    </row>
    <row r="20" spans="2:14" ht="16.55" customHeight="1">
      <c r="B20" s="184" t="s">
        <v>145</v>
      </c>
      <c r="C20" s="161" t="s">
        <v>156</v>
      </c>
      <c r="D20" s="161" t="s">
        <v>167</v>
      </c>
    </row>
    <row r="21" spans="2:14">
      <c r="B21" s="159" t="s">
        <v>3065</v>
      </c>
      <c r="C21" s="403">
        <v>46022</v>
      </c>
      <c r="D21" s="248">
        <f>3345848-2405680-2095615</f>
        <v>-1155447</v>
      </c>
    </row>
    <row r="22" spans="2:14">
      <c r="B22" s="159" t="s">
        <v>3169</v>
      </c>
      <c r="C22" s="403">
        <v>46036</v>
      </c>
      <c r="D22" s="248">
        <f>-3498892+4083503</f>
        <v>584611</v>
      </c>
    </row>
    <row r="23" spans="2:14">
      <c r="B23" s="868" t="s">
        <v>1845</v>
      </c>
      <c r="C23" s="869"/>
      <c r="D23" s="59">
        <f>SUM(D21:D22)</f>
        <v>-570836</v>
      </c>
      <c r="E23" s="736" t="s">
        <v>2430</v>
      </c>
    </row>
    <row r="24" spans="2:14">
      <c r="B24" s="179"/>
    </row>
    <row r="25" spans="2:14">
      <c r="B25" s="238"/>
      <c r="C25" s="238"/>
      <c r="D25" s="238"/>
      <c r="E25" s="388"/>
      <c r="F25" s="389"/>
      <c r="G25" s="390"/>
      <c r="H25" s="390"/>
      <c r="I25" s="390"/>
      <c r="J25" s="390"/>
      <c r="K25" s="390"/>
      <c r="L25" s="390"/>
      <c r="M25" s="390"/>
      <c r="N25" s="390"/>
    </row>
  </sheetData>
  <mergeCells count="7">
    <mergeCell ref="B19:D19"/>
    <mergeCell ref="B23:C23"/>
    <mergeCell ref="B3:G3"/>
    <mergeCell ref="B2:G2"/>
    <mergeCell ref="B1:G1"/>
    <mergeCell ref="B14:D14"/>
    <mergeCell ref="B17:C17"/>
  </mergeCells>
  <hyperlinks>
    <hyperlink ref="A1" location="'Balance 8 Columnas'!A1" display="'Balance 8 Columnas'!A1" xr:uid="{EEB20C24-0C71-4E35-945D-EEB994AF0DB2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0191-C21A-499A-AC5C-8239CCB4C841}">
  <sheetPr codeName="Hoja22">
    <tabColor rgb="FF002060"/>
  </sheetPr>
  <dimension ref="A1:BB487"/>
  <sheetViews>
    <sheetView zoomScale="90" zoomScaleNormal="90" zoomScaleSheetLayoutView="90" workbookViewId="0">
      <pane xSplit="1" ySplit="14" topLeftCell="D15" activePane="bottomRight" state="frozen"/>
      <selection activeCell="J61" sqref="J61"/>
      <selection pane="topRight" activeCell="J61" sqref="J61"/>
      <selection pane="bottomLeft" activeCell="J61" sqref="J61"/>
      <selection pane="bottomRight" activeCell="J61" sqref="J61"/>
    </sheetView>
  </sheetViews>
  <sheetFormatPr baseColWidth="10" defaultColWidth="11.3984375" defaultRowHeight="14"/>
  <cols>
    <col min="1" max="1" width="6" style="331" customWidth="1"/>
    <col min="2" max="2" width="16.69921875" style="374" customWidth="1"/>
    <col min="3" max="3" width="61.8984375" style="374" customWidth="1"/>
    <col min="4" max="4" width="21.296875" style="374" bestFit="1" customWidth="1"/>
    <col min="5" max="5" width="12.09765625" style="374" customWidth="1"/>
    <col min="6" max="6" width="18" style="374" customWidth="1"/>
    <col min="7" max="7" width="13" style="374" customWidth="1"/>
    <col min="8" max="8" width="20.69921875" style="374" customWidth="1"/>
    <col min="9" max="9" width="25.09765625" style="331" bestFit="1" customWidth="1"/>
    <col min="10" max="10" width="16.296875" style="515" bestFit="1" customWidth="1"/>
    <col min="11" max="11" width="11.09765625" style="515" customWidth="1"/>
    <col min="12" max="12" width="16.09765625" style="515" customWidth="1"/>
    <col min="13" max="13" width="16.3984375" style="515" customWidth="1"/>
    <col min="14" max="14" width="15.69921875" style="705" customWidth="1"/>
    <col min="15" max="15" width="23.69921875" style="478" customWidth="1"/>
    <col min="16" max="16" width="22.69921875" style="475" customWidth="1"/>
    <col min="17" max="17" width="19.59765625" style="478" customWidth="1"/>
    <col min="18" max="54" width="11.3984375" style="475"/>
    <col min="55" max="16384" width="11.3984375" style="331"/>
  </cols>
  <sheetData>
    <row r="1" spans="1:54" s="80" customFormat="1" ht="20.95">
      <c r="A1" s="431" t="s">
        <v>590</v>
      </c>
      <c r="B1" s="810" t="s">
        <v>195</v>
      </c>
      <c r="C1" s="810"/>
      <c r="D1" s="810"/>
      <c r="E1" s="810"/>
      <c r="F1" s="810"/>
      <c r="G1" s="810"/>
      <c r="H1" s="810"/>
      <c r="I1" s="810"/>
      <c r="J1" s="747"/>
      <c r="K1" s="747"/>
      <c r="L1" s="747"/>
      <c r="M1" s="438"/>
      <c r="N1" s="707">
        <f ca="1">D9+'Acreedores diversos (prestamo)'!C8-'Balance Clasificado'!D32</f>
        <v>1.744999885559082</v>
      </c>
      <c r="O1" s="479"/>
      <c r="P1" s="293"/>
      <c r="Q1" s="479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</row>
    <row r="2" spans="1:54" s="80" customFormat="1">
      <c r="B2" s="867" t="s">
        <v>534</v>
      </c>
      <c r="C2" s="867"/>
      <c r="D2" s="867"/>
      <c r="E2" s="867"/>
      <c r="F2" s="867"/>
      <c r="G2" s="867"/>
      <c r="H2" s="867"/>
      <c r="I2" s="867"/>
      <c r="J2" s="748"/>
      <c r="K2" s="748"/>
      <c r="L2" s="748"/>
      <c r="M2" s="438"/>
      <c r="N2" s="650"/>
      <c r="O2" s="479"/>
      <c r="P2" s="293"/>
      <c r="Q2" s="479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3"/>
    </row>
    <row r="3" spans="1:54" s="80" customFormat="1">
      <c r="B3" s="867" t="str">
        <f>+Carátula!A9</f>
        <v>Al 31 de enero de 2026</v>
      </c>
      <c r="C3" s="867"/>
      <c r="D3" s="867"/>
      <c r="E3" s="867"/>
      <c r="F3" s="867"/>
      <c r="G3" s="867"/>
      <c r="H3" s="867"/>
      <c r="I3" s="867"/>
      <c r="J3" s="748"/>
      <c r="K3" s="748"/>
      <c r="L3" s="748"/>
      <c r="M3" s="438"/>
      <c r="N3" s="650"/>
      <c r="O3" s="479"/>
      <c r="P3" s="293"/>
      <c r="Q3" s="479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293"/>
      <c r="AR3" s="293"/>
      <c r="AS3" s="293"/>
      <c r="AT3" s="293"/>
      <c r="AU3" s="293"/>
      <c r="AV3" s="293"/>
      <c r="AW3" s="293"/>
      <c r="AX3" s="293"/>
      <c r="AY3" s="293"/>
      <c r="AZ3" s="293"/>
      <c r="BA3" s="293"/>
      <c r="BB3" s="293"/>
    </row>
    <row r="6" spans="1:54">
      <c r="B6" s="394" t="s">
        <v>535</v>
      </c>
    </row>
    <row r="7" spans="1:54">
      <c r="B7" s="871" t="s">
        <v>62</v>
      </c>
      <c r="C7" s="872"/>
      <c r="D7" s="72" t="s">
        <v>153</v>
      </c>
      <c r="I7" s="374"/>
      <c r="J7" s="437"/>
      <c r="K7" s="437"/>
      <c r="L7" s="437"/>
    </row>
    <row r="8" spans="1:54">
      <c r="B8" s="873" t="s">
        <v>27</v>
      </c>
      <c r="C8" s="874"/>
      <c r="D8" s="143">
        <f>+I339</f>
        <v>1234904580.4829998</v>
      </c>
      <c r="I8" s="374"/>
      <c r="J8" s="437"/>
      <c r="K8" s="437"/>
      <c r="L8" s="437"/>
    </row>
    <row r="9" spans="1:54">
      <c r="B9" s="128" t="s">
        <v>536</v>
      </c>
      <c r="C9" s="128"/>
      <c r="D9" s="129">
        <f>SUM(D8:D8)</f>
        <v>1234904580.4829998</v>
      </c>
      <c r="E9" s="395"/>
      <c r="I9" s="374"/>
      <c r="J9" s="437"/>
      <c r="K9" s="437"/>
      <c r="L9" s="437"/>
    </row>
    <row r="11" spans="1:54">
      <c r="B11" s="394" t="s">
        <v>537</v>
      </c>
    </row>
    <row r="12" spans="1:54">
      <c r="B12" s="394"/>
      <c r="G12" s="437">
        <v>899.44</v>
      </c>
    </row>
    <row r="13" spans="1:54">
      <c r="B13" s="396" t="s">
        <v>27</v>
      </c>
      <c r="C13" s="397"/>
      <c r="D13" s="397"/>
      <c r="E13" s="397"/>
      <c r="F13" s="397"/>
      <c r="G13" s="398"/>
      <c r="H13" s="398"/>
      <c r="I13" s="399"/>
      <c r="M13" s="749"/>
      <c r="N13" s="706"/>
      <c r="O13" s="481"/>
      <c r="P13" s="476"/>
    </row>
    <row r="14" spans="1:54" s="482" customFormat="1">
      <c r="B14" s="435" t="s">
        <v>156</v>
      </c>
      <c r="C14" s="480" t="s">
        <v>145</v>
      </c>
      <c r="D14" s="436" t="s">
        <v>326</v>
      </c>
      <c r="E14" s="414" t="s">
        <v>218</v>
      </c>
      <c r="F14" s="413" t="s">
        <v>219</v>
      </c>
      <c r="G14" s="414" t="s">
        <v>220</v>
      </c>
      <c r="H14" s="436" t="s">
        <v>222</v>
      </c>
      <c r="I14" s="436" t="s">
        <v>221</v>
      </c>
      <c r="J14" s="750"/>
      <c r="K14" s="749"/>
      <c r="L14" s="751"/>
      <c r="M14" s="752"/>
      <c r="N14" s="706"/>
      <c r="O14" s="646"/>
      <c r="P14" s="512"/>
      <c r="Q14" s="481"/>
    </row>
    <row r="15" spans="1:54">
      <c r="B15" s="156">
        <v>45218</v>
      </c>
      <c r="C15" s="185" t="s">
        <v>1591</v>
      </c>
      <c r="D15" s="402">
        <v>71227.960000000006</v>
      </c>
      <c r="E15" s="376">
        <v>937.21</v>
      </c>
      <c r="F15" s="561">
        <v>76</v>
      </c>
      <c r="G15" s="376">
        <v>865.1</v>
      </c>
      <c r="H15" s="402">
        <f>+I15-D15</f>
        <v>-5480.3600000000006</v>
      </c>
      <c r="I15" s="402">
        <f>+F15*G15</f>
        <v>65747.600000000006</v>
      </c>
      <c r="J15" s="753">
        <f>+I15</f>
        <v>65747.600000000006</v>
      </c>
      <c r="K15" s="515">
        <v>907.13</v>
      </c>
      <c r="L15" s="648">
        <f>K15*F15</f>
        <v>68941.88</v>
      </c>
      <c r="M15" s="754">
        <f>I15-L15</f>
        <v>-3194.2799999999988</v>
      </c>
      <c r="O15" s="647"/>
      <c r="P15" s="513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</row>
    <row r="16" spans="1:54" s="482" customFormat="1">
      <c r="B16" s="435"/>
      <c r="C16" s="480" t="s">
        <v>789</v>
      </c>
      <c r="D16" s="436">
        <f>SUM(D15:D15)</f>
        <v>71227.960000000006</v>
      </c>
      <c r="E16" s="414"/>
      <c r="F16" s="413">
        <f>SUM(F15:F15)</f>
        <v>76</v>
      </c>
      <c r="G16" s="414"/>
      <c r="H16" s="436">
        <f>SUM(H15:H15)</f>
        <v>-5480.3600000000006</v>
      </c>
      <c r="I16" s="436">
        <f>SUM(I15:I15)</f>
        <v>65747.600000000006</v>
      </c>
      <c r="J16" s="750">
        <f>SUM(J15:J15)</f>
        <v>65747.600000000006</v>
      </c>
      <c r="K16" s="749"/>
      <c r="L16" s="751">
        <f>SUM(L15:L15)</f>
        <v>68941.88</v>
      </c>
      <c r="M16" s="752">
        <f>I16-L16</f>
        <v>-3194.2799999999988</v>
      </c>
      <c r="N16" s="706" t="s">
        <v>1710</v>
      </c>
      <c r="O16" s="646"/>
      <c r="P16" s="512"/>
      <c r="Q16" s="481"/>
    </row>
    <row r="17" spans="2:54" s="482" customFormat="1">
      <c r="B17" s="435"/>
      <c r="C17" s="480"/>
      <c r="D17" s="436"/>
      <c r="E17" s="414"/>
      <c r="F17" s="413"/>
      <c r="G17" s="414"/>
      <c r="H17" s="436"/>
      <c r="I17" s="436"/>
      <c r="J17" s="750"/>
      <c r="K17" s="749"/>
      <c r="L17" s="751"/>
      <c r="M17" s="752"/>
      <c r="N17" s="706"/>
      <c r="O17" s="646"/>
      <c r="P17" s="512"/>
      <c r="Q17" s="481"/>
    </row>
    <row r="18" spans="2:54">
      <c r="B18" s="156">
        <v>44861</v>
      </c>
      <c r="C18" s="185" t="s">
        <v>450</v>
      </c>
      <c r="D18" s="402">
        <v>2860772.58</v>
      </c>
      <c r="E18" s="376">
        <v>953</v>
      </c>
      <c r="F18" s="613">
        <v>3001.86</v>
      </c>
      <c r="G18" s="376">
        <v>865.1</v>
      </c>
      <c r="H18" s="402">
        <f>+I18-D18</f>
        <v>-263863.49399999995</v>
      </c>
      <c r="I18" s="402">
        <f>+F18*G18</f>
        <v>2596909.0860000001</v>
      </c>
      <c r="J18" s="753">
        <f>+I18</f>
        <v>2596909.0860000001</v>
      </c>
      <c r="K18" s="515">
        <v>907.13</v>
      </c>
      <c r="L18" s="648">
        <f>K18*F18</f>
        <v>2723077.2618</v>
      </c>
      <c r="M18" s="754">
        <f>I18-L18</f>
        <v>-126168.17579999985</v>
      </c>
      <c r="O18" s="647"/>
      <c r="P18" s="513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</row>
    <row r="19" spans="2:54">
      <c r="B19" s="156">
        <v>45197</v>
      </c>
      <c r="C19" s="185" t="s">
        <v>1547</v>
      </c>
      <c r="D19" s="402">
        <v>1327982.1599999999</v>
      </c>
      <c r="E19" s="376">
        <v>904.62</v>
      </c>
      <c r="F19" s="613">
        <v>1468</v>
      </c>
      <c r="G19" s="376">
        <f>+G18</f>
        <v>865.1</v>
      </c>
      <c r="H19" s="402">
        <f t="shared" ref="H19:H22" si="0">+I19-D19</f>
        <v>-58015.35999999987</v>
      </c>
      <c r="I19" s="402">
        <f t="shared" ref="I19:I22" si="1">+F19*G19</f>
        <v>1269966.8</v>
      </c>
      <c r="J19" s="753">
        <f>+I19</f>
        <v>1269966.8</v>
      </c>
      <c r="K19" s="515">
        <f>+K18</f>
        <v>907.13</v>
      </c>
      <c r="L19" s="648">
        <f t="shared" ref="L19:L22" si="2">K19*F19</f>
        <v>1331666.8400000001</v>
      </c>
      <c r="M19" s="754">
        <f t="shared" ref="M19:M22" si="3">I19-L19</f>
        <v>-61700.040000000037</v>
      </c>
      <c r="O19" s="647"/>
      <c r="P19" s="513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1"/>
      <c r="BB19" s="331"/>
    </row>
    <row r="20" spans="2:54">
      <c r="B20" s="156">
        <v>45254</v>
      </c>
      <c r="C20" s="185" t="s">
        <v>1610</v>
      </c>
      <c r="D20" s="402">
        <v>1158935.3999999999</v>
      </c>
      <c r="E20" s="376">
        <v>871.38</v>
      </c>
      <c r="F20" s="613">
        <v>1330</v>
      </c>
      <c r="G20" s="376">
        <f t="shared" ref="G20:G22" si="4">+G19</f>
        <v>865.1</v>
      </c>
      <c r="H20" s="402">
        <f t="shared" si="0"/>
        <v>-8352.3999999999069</v>
      </c>
      <c r="I20" s="402">
        <f t="shared" si="1"/>
        <v>1150583</v>
      </c>
      <c r="J20" s="753">
        <f>SUM(I20:I20)</f>
        <v>1150583</v>
      </c>
      <c r="K20" s="515">
        <f t="shared" ref="K20:K22" si="5">+K19</f>
        <v>907.13</v>
      </c>
      <c r="L20" s="648">
        <f t="shared" si="2"/>
        <v>1206482.8999999999</v>
      </c>
      <c r="M20" s="754">
        <f t="shared" si="3"/>
        <v>-55899.899999999907</v>
      </c>
      <c r="O20" s="647"/>
      <c r="P20" s="513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1"/>
      <c r="BB20" s="331"/>
    </row>
    <row r="21" spans="2:54">
      <c r="B21" s="156">
        <v>45274</v>
      </c>
      <c r="C21" s="185" t="s">
        <v>1666</v>
      </c>
      <c r="D21" s="402">
        <v>1166104.0999999999</v>
      </c>
      <c r="E21" s="376">
        <v>876.77</v>
      </c>
      <c r="F21" s="613">
        <v>1330</v>
      </c>
      <c r="G21" s="376">
        <f t="shared" si="4"/>
        <v>865.1</v>
      </c>
      <c r="H21" s="402">
        <f t="shared" si="0"/>
        <v>-15521.09999999986</v>
      </c>
      <c r="I21" s="402">
        <f t="shared" si="1"/>
        <v>1150583</v>
      </c>
      <c r="J21" s="753">
        <f>SUM(I21:I21)</f>
        <v>1150583</v>
      </c>
      <c r="K21" s="515">
        <f t="shared" si="5"/>
        <v>907.13</v>
      </c>
      <c r="L21" s="648">
        <f t="shared" si="2"/>
        <v>1206482.8999999999</v>
      </c>
      <c r="M21" s="754">
        <f t="shared" si="3"/>
        <v>-55899.899999999907</v>
      </c>
      <c r="O21" s="647"/>
      <c r="P21" s="513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</row>
    <row r="22" spans="2:54">
      <c r="B22" s="156">
        <v>45310</v>
      </c>
      <c r="C22" s="185" t="s">
        <v>1713</v>
      </c>
      <c r="D22" s="402">
        <f>F22*E22</f>
        <v>1221764.6000000001</v>
      </c>
      <c r="E22" s="376">
        <v>918.62</v>
      </c>
      <c r="F22" s="613">
        <v>1330</v>
      </c>
      <c r="G22" s="376">
        <f t="shared" si="4"/>
        <v>865.1</v>
      </c>
      <c r="H22" s="402">
        <f t="shared" si="0"/>
        <v>-71181.600000000093</v>
      </c>
      <c r="I22" s="402">
        <f t="shared" si="1"/>
        <v>1150583</v>
      </c>
      <c r="J22" s="753">
        <f>SUM(I22:I22)</f>
        <v>1150583</v>
      </c>
      <c r="K22" s="515">
        <f t="shared" si="5"/>
        <v>907.13</v>
      </c>
      <c r="L22" s="648">
        <f t="shared" si="2"/>
        <v>1206482.8999999999</v>
      </c>
      <c r="M22" s="754">
        <f t="shared" si="3"/>
        <v>-55899.899999999907</v>
      </c>
      <c r="O22" s="647"/>
      <c r="P22" s="513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</row>
    <row r="23" spans="2:54">
      <c r="B23" s="156">
        <v>45513</v>
      </c>
      <c r="C23" s="185" t="s">
        <v>2354</v>
      </c>
      <c r="D23" s="402">
        <f t="shared" ref="D23" si="6">F23*E23</f>
        <v>-158078.41439999998</v>
      </c>
      <c r="E23" s="376">
        <v>996.46</v>
      </c>
      <c r="F23" s="401">
        <v>-158.63999999999999</v>
      </c>
      <c r="G23" s="376">
        <f>+G22</f>
        <v>865.1</v>
      </c>
      <c r="H23" s="402">
        <f t="shared" ref="H23" si="7">+I23-D23</f>
        <v>20838.950400000002</v>
      </c>
      <c r="I23" s="402">
        <f t="shared" ref="I23" si="8">+F23*G23</f>
        <v>-137239.46399999998</v>
      </c>
      <c r="J23" s="753">
        <f>+I23</f>
        <v>-137239.46399999998</v>
      </c>
      <c r="K23" s="515">
        <f>+K22</f>
        <v>907.13</v>
      </c>
      <c r="L23" s="648">
        <f t="shared" ref="L23" si="9">K23*F23</f>
        <v>-143907.10319999998</v>
      </c>
      <c r="M23" s="754">
        <f t="shared" ref="M23" si="10">I23-L23</f>
        <v>6667.6392000000051</v>
      </c>
      <c r="O23" s="647"/>
      <c r="P23" s="513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</row>
    <row r="24" spans="2:54">
      <c r="B24" s="156">
        <v>45700</v>
      </c>
      <c r="C24" s="185" t="s">
        <v>2431</v>
      </c>
      <c r="D24" s="402">
        <v>1211981.3999999999</v>
      </c>
      <c r="E24" s="376">
        <v>961.89</v>
      </c>
      <c r="F24" s="613">
        <v>1260</v>
      </c>
      <c r="G24" s="376">
        <f>+G23</f>
        <v>865.1</v>
      </c>
      <c r="H24" s="402">
        <f t="shared" ref="H24" si="11">+I24-D24</f>
        <v>-121955.39999999991</v>
      </c>
      <c r="I24" s="402">
        <f t="shared" ref="I24" si="12">+F24*G24</f>
        <v>1090026</v>
      </c>
      <c r="J24" s="753">
        <f>+I24</f>
        <v>1090026</v>
      </c>
      <c r="K24" s="515">
        <f>+K23</f>
        <v>907.13</v>
      </c>
      <c r="L24" s="648">
        <f t="shared" ref="L24" si="13">K24*F24</f>
        <v>1142983.8</v>
      </c>
      <c r="M24" s="754">
        <f t="shared" ref="M24:M325" si="14">I24-L24</f>
        <v>-52957.800000000047</v>
      </c>
      <c r="O24" s="647"/>
      <c r="P24" s="513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1"/>
      <c r="BB24" s="331"/>
    </row>
    <row r="25" spans="2:54">
      <c r="B25" s="156">
        <v>45728</v>
      </c>
      <c r="C25" s="185" t="s">
        <v>2494</v>
      </c>
      <c r="D25" s="402">
        <v>14797648.25</v>
      </c>
      <c r="E25" s="376">
        <v>937.45</v>
      </c>
      <c r="F25" s="401">
        <v>15785</v>
      </c>
      <c r="G25" s="376">
        <f>+G24</f>
        <v>865.1</v>
      </c>
      <c r="H25" s="402">
        <f t="shared" ref="H25:H72" si="15">+I25-D25</f>
        <v>-1142044.75</v>
      </c>
      <c r="I25" s="402">
        <f t="shared" ref="I25:I72" si="16">+F25*G25</f>
        <v>13655603.5</v>
      </c>
      <c r="J25" s="753"/>
      <c r="K25" s="515">
        <f>+K24</f>
        <v>907.13</v>
      </c>
      <c r="L25" s="648">
        <f t="shared" ref="L25:L46" si="17">K25*F25</f>
        <v>14319047.050000001</v>
      </c>
      <c r="M25" s="754">
        <f t="shared" si="14"/>
        <v>-663443.55000000075</v>
      </c>
      <c r="O25" s="647"/>
      <c r="P25" s="513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1"/>
      <c r="BB25" s="331"/>
    </row>
    <row r="26" spans="2:54">
      <c r="B26" s="156">
        <v>45728</v>
      </c>
      <c r="C26" s="185" t="s">
        <v>2498</v>
      </c>
      <c r="D26" s="402">
        <v>2965341.84</v>
      </c>
      <c r="E26" s="376">
        <v>937.45</v>
      </c>
      <c r="F26" s="401">
        <v>3163.2</v>
      </c>
      <c r="G26" s="376">
        <f>+G25</f>
        <v>865.1</v>
      </c>
      <c r="H26" s="402">
        <f t="shared" si="15"/>
        <v>-228857.52000000002</v>
      </c>
      <c r="I26" s="402">
        <f t="shared" si="16"/>
        <v>2736484.32</v>
      </c>
      <c r="J26" s="753"/>
      <c r="K26" s="515">
        <f>+K25</f>
        <v>907.13</v>
      </c>
      <c r="L26" s="648">
        <f t="shared" si="17"/>
        <v>2869433.6159999999</v>
      </c>
      <c r="M26" s="754">
        <f t="shared" si="14"/>
        <v>-132949.29600000009</v>
      </c>
      <c r="O26" s="647"/>
      <c r="P26" s="513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</row>
    <row r="27" spans="2:54">
      <c r="B27" s="156">
        <v>45728</v>
      </c>
      <c r="C27" s="185" t="s">
        <v>2499</v>
      </c>
      <c r="D27" s="402">
        <v>1675410.6400000001</v>
      </c>
      <c r="E27" s="376">
        <v>937.45</v>
      </c>
      <c r="F27" s="401">
        <v>1787.2</v>
      </c>
      <c r="G27" s="376">
        <f t="shared" ref="G27:G48" si="18">+G26</f>
        <v>865.1</v>
      </c>
      <c r="H27" s="402">
        <f t="shared" si="15"/>
        <v>-129303.92000000016</v>
      </c>
      <c r="I27" s="402">
        <f t="shared" si="16"/>
        <v>1546106.72</v>
      </c>
      <c r="J27" s="753"/>
      <c r="K27" s="515">
        <f t="shared" ref="K27:K48" si="19">+K26</f>
        <v>907.13</v>
      </c>
      <c r="L27" s="648">
        <f t="shared" si="17"/>
        <v>1621222.736</v>
      </c>
      <c r="M27" s="754">
        <f t="shared" si="14"/>
        <v>-75116.016000000061</v>
      </c>
      <c r="O27" s="647"/>
      <c r="P27" s="513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1"/>
      <c r="BB27" s="331"/>
    </row>
    <row r="28" spans="2:54">
      <c r="B28" s="156">
        <v>45728</v>
      </c>
      <c r="C28" s="185" t="s">
        <v>2500</v>
      </c>
      <c r="D28" s="402">
        <v>3003589.8000000003</v>
      </c>
      <c r="E28" s="376">
        <v>937.45</v>
      </c>
      <c r="F28" s="401">
        <v>3204</v>
      </c>
      <c r="G28" s="376">
        <f t="shared" si="18"/>
        <v>865.1</v>
      </c>
      <c r="H28" s="402">
        <f t="shared" si="15"/>
        <v>-231809.40000000037</v>
      </c>
      <c r="I28" s="402">
        <f t="shared" si="16"/>
        <v>2771780.4</v>
      </c>
      <c r="J28" s="753"/>
      <c r="K28" s="515">
        <f t="shared" si="19"/>
        <v>907.13</v>
      </c>
      <c r="L28" s="648">
        <f t="shared" si="17"/>
        <v>2906444.52</v>
      </c>
      <c r="M28" s="754">
        <f t="shared" si="14"/>
        <v>-134664.12000000011</v>
      </c>
      <c r="O28" s="647"/>
      <c r="P28" s="513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</row>
    <row r="29" spans="2:54">
      <c r="B29" s="156">
        <v>45728</v>
      </c>
      <c r="C29" s="185" t="s">
        <v>2501</v>
      </c>
      <c r="D29" s="402">
        <v>1675410.6400000001</v>
      </c>
      <c r="E29" s="376">
        <v>937.45</v>
      </c>
      <c r="F29" s="401">
        <v>1787.2</v>
      </c>
      <c r="G29" s="376">
        <f t="shared" si="18"/>
        <v>865.1</v>
      </c>
      <c r="H29" s="402">
        <f t="shared" si="15"/>
        <v>-129303.92000000016</v>
      </c>
      <c r="I29" s="402">
        <f t="shared" si="16"/>
        <v>1546106.72</v>
      </c>
      <c r="J29" s="753"/>
      <c r="K29" s="515">
        <f t="shared" si="19"/>
        <v>907.13</v>
      </c>
      <c r="L29" s="648">
        <f t="shared" si="17"/>
        <v>1621222.736</v>
      </c>
      <c r="M29" s="754">
        <f t="shared" si="14"/>
        <v>-75116.016000000061</v>
      </c>
      <c r="O29" s="647"/>
      <c r="P29" s="513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</row>
    <row r="30" spans="2:54">
      <c r="B30" s="156">
        <v>45728</v>
      </c>
      <c r="C30" s="185" t="s">
        <v>2502</v>
      </c>
      <c r="D30" s="402">
        <v>3003589.8000000003</v>
      </c>
      <c r="E30" s="376">
        <v>937.45</v>
      </c>
      <c r="F30" s="401">
        <v>3204</v>
      </c>
      <c r="G30" s="376">
        <f t="shared" si="18"/>
        <v>865.1</v>
      </c>
      <c r="H30" s="402">
        <f t="shared" si="15"/>
        <v>-231809.40000000037</v>
      </c>
      <c r="I30" s="402">
        <f t="shared" si="16"/>
        <v>2771780.4</v>
      </c>
      <c r="J30" s="753"/>
      <c r="K30" s="515">
        <f t="shared" si="19"/>
        <v>907.13</v>
      </c>
      <c r="L30" s="648">
        <f t="shared" si="17"/>
        <v>2906444.52</v>
      </c>
      <c r="M30" s="754">
        <f t="shared" si="14"/>
        <v>-134664.12000000011</v>
      </c>
      <c r="O30" s="647"/>
      <c r="P30" s="513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</row>
    <row r="31" spans="2:54">
      <c r="B31" s="156">
        <v>45728</v>
      </c>
      <c r="C31" s="185" t="s">
        <v>2504</v>
      </c>
      <c r="D31" s="402">
        <v>3003589.8000000003</v>
      </c>
      <c r="E31" s="376">
        <v>937.45</v>
      </c>
      <c r="F31" s="401">
        <v>3204</v>
      </c>
      <c r="G31" s="376">
        <f>+G30</f>
        <v>865.1</v>
      </c>
      <c r="H31" s="402">
        <f t="shared" si="15"/>
        <v>-231809.40000000037</v>
      </c>
      <c r="I31" s="402">
        <f t="shared" si="16"/>
        <v>2771780.4</v>
      </c>
      <c r="J31" s="753"/>
      <c r="K31" s="515">
        <f>+K30</f>
        <v>907.13</v>
      </c>
      <c r="L31" s="648">
        <f t="shared" si="17"/>
        <v>2906444.52</v>
      </c>
      <c r="M31" s="754">
        <f t="shared" si="14"/>
        <v>-134664.12000000011</v>
      </c>
      <c r="O31" s="647"/>
      <c r="P31" s="513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</row>
    <row r="32" spans="2:54">
      <c r="B32" s="156">
        <v>45728</v>
      </c>
      <c r="C32" s="185" t="s">
        <v>2505</v>
      </c>
      <c r="D32" s="402">
        <v>1325648.0449999999</v>
      </c>
      <c r="E32" s="376">
        <v>937.45</v>
      </c>
      <c r="F32" s="401">
        <v>1414.1</v>
      </c>
      <c r="G32" s="376">
        <f t="shared" si="18"/>
        <v>865.1</v>
      </c>
      <c r="H32" s="402">
        <f t="shared" si="15"/>
        <v>-102310.13500000001</v>
      </c>
      <c r="I32" s="402">
        <f t="shared" si="16"/>
        <v>1223337.9099999999</v>
      </c>
      <c r="J32" s="753"/>
      <c r="K32" s="515">
        <f t="shared" si="19"/>
        <v>907.13</v>
      </c>
      <c r="L32" s="648">
        <f t="shared" si="17"/>
        <v>1282772.5329999998</v>
      </c>
      <c r="M32" s="754">
        <f t="shared" si="14"/>
        <v>-59434.622999999905</v>
      </c>
      <c r="O32" s="647"/>
      <c r="P32" s="513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</row>
    <row r="33" spans="2:54">
      <c r="B33" s="156">
        <v>45728</v>
      </c>
      <c r="C33" s="185" t="s">
        <v>2506</v>
      </c>
      <c r="D33" s="402">
        <v>3003589.8000000003</v>
      </c>
      <c r="E33" s="376">
        <v>937.45</v>
      </c>
      <c r="F33" s="401">
        <v>3204</v>
      </c>
      <c r="G33" s="376">
        <f t="shared" si="18"/>
        <v>865.1</v>
      </c>
      <c r="H33" s="402">
        <f t="shared" si="15"/>
        <v>-231809.40000000037</v>
      </c>
      <c r="I33" s="402">
        <f t="shared" si="16"/>
        <v>2771780.4</v>
      </c>
      <c r="J33" s="753"/>
      <c r="K33" s="515">
        <f t="shared" si="19"/>
        <v>907.13</v>
      </c>
      <c r="L33" s="648">
        <f t="shared" si="17"/>
        <v>2906444.52</v>
      </c>
      <c r="M33" s="754">
        <f t="shared" si="14"/>
        <v>-134664.12000000011</v>
      </c>
      <c r="O33" s="647"/>
      <c r="P33" s="513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</row>
    <row r="34" spans="2:54">
      <c r="B34" s="156">
        <v>45728</v>
      </c>
      <c r="C34" s="185" t="s">
        <v>2508</v>
      </c>
      <c r="D34" s="402">
        <v>1325648.0449999999</v>
      </c>
      <c r="E34" s="376">
        <v>937.45</v>
      </c>
      <c r="F34" s="401">
        <v>1414.1</v>
      </c>
      <c r="G34" s="376">
        <f>+G33</f>
        <v>865.1</v>
      </c>
      <c r="H34" s="402">
        <f t="shared" si="15"/>
        <v>-102310.13500000001</v>
      </c>
      <c r="I34" s="402">
        <f t="shared" si="16"/>
        <v>1223337.9099999999</v>
      </c>
      <c r="J34" s="753"/>
      <c r="K34" s="515">
        <f>+K33</f>
        <v>907.13</v>
      </c>
      <c r="L34" s="648">
        <f t="shared" si="17"/>
        <v>1282772.5329999998</v>
      </c>
      <c r="M34" s="754">
        <f t="shared" si="14"/>
        <v>-59434.622999999905</v>
      </c>
      <c r="O34" s="647"/>
      <c r="P34" s="513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/>
    </row>
    <row r="35" spans="2:54">
      <c r="B35" s="156">
        <v>45728</v>
      </c>
      <c r="C35" s="185" t="s">
        <v>2509</v>
      </c>
      <c r="D35" s="402">
        <v>3003589.8000000003</v>
      </c>
      <c r="E35" s="376">
        <v>937.45</v>
      </c>
      <c r="F35" s="401">
        <v>3204</v>
      </c>
      <c r="G35" s="376">
        <f t="shared" si="18"/>
        <v>865.1</v>
      </c>
      <c r="H35" s="402">
        <f t="shared" si="15"/>
        <v>-231809.40000000037</v>
      </c>
      <c r="I35" s="402">
        <f t="shared" si="16"/>
        <v>2771780.4</v>
      </c>
      <c r="J35" s="753"/>
      <c r="K35" s="515">
        <f t="shared" si="19"/>
        <v>907.13</v>
      </c>
      <c r="L35" s="648">
        <f t="shared" si="17"/>
        <v>2906444.52</v>
      </c>
      <c r="M35" s="754">
        <f t="shared" si="14"/>
        <v>-134664.12000000011</v>
      </c>
      <c r="O35" s="647"/>
      <c r="P35" s="513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</row>
    <row r="36" spans="2:54">
      <c r="B36" s="156">
        <v>45728</v>
      </c>
      <c r="C36" s="185" t="s">
        <v>2510</v>
      </c>
      <c r="D36" s="402">
        <v>809394.33000000007</v>
      </c>
      <c r="E36" s="376">
        <v>937.45</v>
      </c>
      <c r="F36" s="401">
        <v>863.4</v>
      </c>
      <c r="G36" s="376">
        <f t="shared" si="18"/>
        <v>865.1</v>
      </c>
      <c r="H36" s="402">
        <f t="shared" si="15"/>
        <v>-62466.990000000107</v>
      </c>
      <c r="I36" s="402">
        <f t="shared" si="16"/>
        <v>746927.34</v>
      </c>
      <c r="J36" s="753"/>
      <c r="K36" s="515">
        <f t="shared" si="19"/>
        <v>907.13</v>
      </c>
      <c r="L36" s="648">
        <f t="shared" si="17"/>
        <v>783216.04200000002</v>
      </c>
      <c r="M36" s="754">
        <f t="shared" si="14"/>
        <v>-36288.702000000048</v>
      </c>
      <c r="O36" s="647"/>
      <c r="P36" s="513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</row>
    <row r="37" spans="2:54">
      <c r="B37" s="156">
        <v>45728</v>
      </c>
      <c r="C37" s="185" t="s">
        <v>2511</v>
      </c>
      <c r="D37" s="402">
        <v>3003589.8000000003</v>
      </c>
      <c r="E37" s="376">
        <v>937.45</v>
      </c>
      <c r="F37" s="401">
        <v>3204</v>
      </c>
      <c r="G37" s="376">
        <f t="shared" si="18"/>
        <v>865.1</v>
      </c>
      <c r="H37" s="402">
        <f t="shared" si="15"/>
        <v>-231809.40000000037</v>
      </c>
      <c r="I37" s="402">
        <f t="shared" si="16"/>
        <v>2771780.4</v>
      </c>
      <c r="J37" s="753"/>
      <c r="K37" s="515">
        <f t="shared" si="19"/>
        <v>907.13</v>
      </c>
      <c r="L37" s="648">
        <f t="shared" si="17"/>
        <v>2906444.52</v>
      </c>
      <c r="M37" s="754">
        <f t="shared" si="14"/>
        <v>-134664.12000000011</v>
      </c>
      <c r="O37" s="647"/>
      <c r="P37" s="513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31"/>
      <c r="AW37" s="331"/>
      <c r="AX37" s="331"/>
      <c r="AY37" s="331"/>
      <c r="AZ37" s="331"/>
      <c r="BA37" s="331"/>
      <c r="BB37" s="331"/>
    </row>
    <row r="38" spans="2:54">
      <c r="B38" s="156">
        <v>45728</v>
      </c>
      <c r="C38" s="185" t="s">
        <v>2512</v>
      </c>
      <c r="D38" s="402">
        <v>1325648.0449999999</v>
      </c>
      <c r="E38" s="376">
        <v>937.45</v>
      </c>
      <c r="F38" s="401">
        <v>1414.1</v>
      </c>
      <c r="G38" s="376">
        <f t="shared" si="18"/>
        <v>865.1</v>
      </c>
      <c r="H38" s="402">
        <f t="shared" si="15"/>
        <v>-102310.13500000001</v>
      </c>
      <c r="I38" s="402">
        <f t="shared" si="16"/>
        <v>1223337.9099999999</v>
      </c>
      <c r="J38" s="753"/>
      <c r="K38" s="515">
        <f t="shared" si="19"/>
        <v>907.13</v>
      </c>
      <c r="L38" s="648">
        <f t="shared" si="17"/>
        <v>1282772.5329999998</v>
      </c>
      <c r="M38" s="754">
        <f t="shared" si="14"/>
        <v>-59434.622999999905</v>
      </c>
      <c r="O38" s="647"/>
      <c r="P38" s="513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1"/>
      <c r="BA38" s="331"/>
      <c r="BB38" s="331"/>
    </row>
    <row r="39" spans="2:54">
      <c r="B39" s="156">
        <v>45728</v>
      </c>
      <c r="C39" s="185" t="s">
        <v>2513</v>
      </c>
      <c r="D39" s="402">
        <v>3003589.8000000003</v>
      </c>
      <c r="E39" s="376">
        <v>937.45</v>
      </c>
      <c r="F39" s="401">
        <v>3204</v>
      </c>
      <c r="G39" s="376">
        <f t="shared" si="18"/>
        <v>865.1</v>
      </c>
      <c r="H39" s="402">
        <f t="shared" si="15"/>
        <v>-231809.40000000037</v>
      </c>
      <c r="I39" s="402">
        <f t="shared" si="16"/>
        <v>2771780.4</v>
      </c>
      <c r="J39" s="753"/>
      <c r="K39" s="515">
        <f t="shared" si="19"/>
        <v>907.13</v>
      </c>
      <c r="L39" s="648">
        <f t="shared" si="17"/>
        <v>2906444.52</v>
      </c>
      <c r="M39" s="754">
        <f t="shared" si="14"/>
        <v>-134664.12000000011</v>
      </c>
      <c r="O39" s="647"/>
      <c r="P39" s="513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31"/>
      <c r="AW39" s="331"/>
      <c r="AX39" s="331"/>
      <c r="AY39" s="331"/>
      <c r="AZ39" s="331"/>
      <c r="BA39" s="331"/>
      <c r="BB39" s="331"/>
    </row>
    <row r="40" spans="2:54">
      <c r="B40" s="156">
        <v>45728</v>
      </c>
      <c r="C40" s="185" t="s">
        <v>2514</v>
      </c>
      <c r="D40" s="402">
        <v>1675410.6400000001</v>
      </c>
      <c r="E40" s="376">
        <v>937.45</v>
      </c>
      <c r="F40" s="401">
        <v>1787.2</v>
      </c>
      <c r="G40" s="376">
        <f t="shared" si="18"/>
        <v>865.1</v>
      </c>
      <c r="H40" s="402">
        <f t="shared" si="15"/>
        <v>-129303.92000000016</v>
      </c>
      <c r="I40" s="402">
        <f t="shared" si="16"/>
        <v>1546106.72</v>
      </c>
      <c r="J40" s="753"/>
      <c r="K40" s="515">
        <f t="shared" si="19"/>
        <v>907.13</v>
      </c>
      <c r="L40" s="648">
        <f t="shared" si="17"/>
        <v>1621222.736</v>
      </c>
      <c r="M40" s="754">
        <f t="shared" si="14"/>
        <v>-75116.016000000061</v>
      </c>
      <c r="O40" s="647"/>
      <c r="P40" s="513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1"/>
      <c r="BA40" s="331"/>
      <c r="BB40" s="331"/>
    </row>
    <row r="41" spans="2:54">
      <c r="B41" s="156">
        <v>45728</v>
      </c>
      <c r="C41" s="185" t="s">
        <v>2515</v>
      </c>
      <c r="D41" s="402">
        <v>3003589.8000000003</v>
      </c>
      <c r="E41" s="376">
        <v>937.45</v>
      </c>
      <c r="F41" s="401">
        <v>3204</v>
      </c>
      <c r="G41" s="376">
        <f t="shared" si="18"/>
        <v>865.1</v>
      </c>
      <c r="H41" s="402">
        <f t="shared" si="15"/>
        <v>-231809.40000000037</v>
      </c>
      <c r="I41" s="402">
        <f t="shared" si="16"/>
        <v>2771780.4</v>
      </c>
      <c r="J41" s="753"/>
      <c r="K41" s="515">
        <f t="shared" si="19"/>
        <v>907.13</v>
      </c>
      <c r="L41" s="648">
        <f t="shared" si="17"/>
        <v>2906444.52</v>
      </c>
      <c r="M41" s="754">
        <f t="shared" si="14"/>
        <v>-134664.12000000011</v>
      </c>
      <c r="O41" s="647"/>
      <c r="P41" s="513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  <c r="AW41" s="331"/>
      <c r="AX41" s="331"/>
      <c r="AY41" s="331"/>
      <c r="AZ41" s="331"/>
      <c r="BA41" s="331"/>
      <c r="BB41" s="331"/>
    </row>
    <row r="42" spans="2:54">
      <c r="B42" s="156">
        <v>45728</v>
      </c>
      <c r="C42" s="185" t="s">
        <v>2516</v>
      </c>
      <c r="D42" s="402">
        <v>1256557.9800000002</v>
      </c>
      <c r="E42" s="376">
        <v>937.45</v>
      </c>
      <c r="F42" s="401">
        <v>1340.4</v>
      </c>
      <c r="G42" s="376">
        <f t="shared" si="18"/>
        <v>865.1</v>
      </c>
      <c r="H42" s="402">
        <f t="shared" si="15"/>
        <v>-96977.940000000177</v>
      </c>
      <c r="I42" s="402">
        <f t="shared" si="16"/>
        <v>1159580.04</v>
      </c>
      <c r="J42" s="753"/>
      <c r="K42" s="515">
        <f t="shared" si="19"/>
        <v>907.13</v>
      </c>
      <c r="L42" s="648">
        <f t="shared" si="17"/>
        <v>1215917.0520000001</v>
      </c>
      <c r="M42" s="754">
        <f t="shared" si="14"/>
        <v>-56337.012000000104</v>
      </c>
      <c r="O42" s="647"/>
      <c r="P42" s="513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31"/>
      <c r="AW42" s="331"/>
      <c r="AX42" s="331"/>
      <c r="AY42" s="331"/>
      <c r="AZ42" s="331"/>
      <c r="BA42" s="331"/>
      <c r="BB42" s="331"/>
    </row>
    <row r="43" spans="2:54">
      <c r="B43" s="156">
        <v>45728</v>
      </c>
      <c r="C43" s="185" t="s">
        <v>2517</v>
      </c>
      <c r="D43" s="402">
        <v>3003589.8000000003</v>
      </c>
      <c r="E43" s="376">
        <v>937.45</v>
      </c>
      <c r="F43" s="401">
        <v>3204</v>
      </c>
      <c r="G43" s="376">
        <f t="shared" si="18"/>
        <v>865.1</v>
      </c>
      <c r="H43" s="402">
        <f t="shared" si="15"/>
        <v>-231809.40000000037</v>
      </c>
      <c r="I43" s="402">
        <f t="shared" si="16"/>
        <v>2771780.4</v>
      </c>
      <c r="J43" s="753"/>
      <c r="K43" s="515">
        <f t="shared" si="19"/>
        <v>907.13</v>
      </c>
      <c r="L43" s="648">
        <f t="shared" si="17"/>
        <v>2906444.52</v>
      </c>
      <c r="M43" s="754">
        <f t="shared" si="14"/>
        <v>-134664.12000000011</v>
      </c>
      <c r="O43" s="647"/>
      <c r="P43" s="513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31"/>
      <c r="AW43" s="331"/>
      <c r="AX43" s="331"/>
      <c r="AY43" s="331"/>
      <c r="AZ43" s="331"/>
      <c r="BA43" s="331"/>
      <c r="BB43" s="331"/>
    </row>
    <row r="44" spans="2:54">
      <c r="B44" s="156">
        <v>45728</v>
      </c>
      <c r="C44" s="185" t="s">
        <v>2518</v>
      </c>
      <c r="D44" s="402">
        <v>8855387.0625</v>
      </c>
      <c r="E44" s="376">
        <v>937.45</v>
      </c>
      <c r="F44" s="401">
        <v>9446.25</v>
      </c>
      <c r="G44" s="376">
        <f t="shared" si="18"/>
        <v>865.1</v>
      </c>
      <c r="H44" s="402">
        <f t="shared" si="15"/>
        <v>-683436.1875</v>
      </c>
      <c r="I44" s="402">
        <f t="shared" si="16"/>
        <v>8171950.875</v>
      </c>
      <c r="J44" s="753"/>
      <c r="K44" s="515">
        <f t="shared" si="19"/>
        <v>907.13</v>
      </c>
      <c r="L44" s="648">
        <f t="shared" si="17"/>
        <v>8568976.7624999993</v>
      </c>
      <c r="M44" s="754">
        <f t="shared" si="14"/>
        <v>-397025.88749999925</v>
      </c>
      <c r="O44" s="647"/>
      <c r="P44" s="513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331"/>
      <c r="BA44" s="331"/>
      <c r="BB44" s="331"/>
    </row>
    <row r="45" spans="2:54">
      <c r="B45" s="156">
        <v>45728</v>
      </c>
      <c r="C45" s="185" t="s">
        <v>2519</v>
      </c>
      <c r="D45" s="402">
        <v>2754696.8250000002</v>
      </c>
      <c r="E45" s="376">
        <v>937.45</v>
      </c>
      <c r="F45" s="401">
        <v>2938.5</v>
      </c>
      <c r="G45" s="376">
        <f t="shared" si="18"/>
        <v>865.1</v>
      </c>
      <c r="H45" s="402">
        <f t="shared" si="15"/>
        <v>-212600.47500000009</v>
      </c>
      <c r="I45" s="402">
        <f t="shared" si="16"/>
        <v>2542096.35</v>
      </c>
      <c r="J45" s="753"/>
      <c r="K45" s="515">
        <f t="shared" si="19"/>
        <v>907.13</v>
      </c>
      <c r="L45" s="648">
        <f t="shared" si="17"/>
        <v>2665601.5049999999</v>
      </c>
      <c r="M45" s="754">
        <f t="shared" si="14"/>
        <v>-123505.1549999998</v>
      </c>
      <c r="O45" s="647"/>
      <c r="P45" s="513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1"/>
      <c r="BA45" s="331"/>
      <c r="BB45" s="331"/>
    </row>
    <row r="46" spans="2:54">
      <c r="B46" s="156">
        <v>45728</v>
      </c>
      <c r="C46" s="185" t="s">
        <v>2520</v>
      </c>
      <c r="D46" s="402">
        <v>77439744.660000011</v>
      </c>
      <c r="E46" s="376">
        <v>937.45</v>
      </c>
      <c r="F46" s="401">
        <v>82606.8</v>
      </c>
      <c r="G46" s="376">
        <f t="shared" si="18"/>
        <v>865.1</v>
      </c>
      <c r="H46" s="402">
        <f t="shared" si="15"/>
        <v>-5976601.9800000042</v>
      </c>
      <c r="I46" s="402">
        <f t="shared" si="16"/>
        <v>71463142.680000007</v>
      </c>
      <c r="J46" s="753"/>
      <c r="K46" s="515">
        <f t="shared" si="19"/>
        <v>907.13</v>
      </c>
      <c r="L46" s="648">
        <f t="shared" si="17"/>
        <v>74935106.483999997</v>
      </c>
      <c r="M46" s="754">
        <f t="shared" si="14"/>
        <v>-3471963.8039999902</v>
      </c>
      <c r="O46" s="647"/>
      <c r="P46" s="513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1"/>
      <c r="AZ46" s="331"/>
      <c r="BA46" s="331"/>
      <c r="BB46" s="331"/>
    </row>
    <row r="47" spans="2:54">
      <c r="B47" s="156">
        <v>45728</v>
      </c>
      <c r="C47" s="185" t="s">
        <v>2521</v>
      </c>
      <c r="D47" s="402">
        <v>8079319.0800000001</v>
      </c>
      <c r="E47" s="376">
        <v>937.45</v>
      </c>
      <c r="F47" s="401">
        <v>8618.4</v>
      </c>
      <c r="G47" s="376">
        <f t="shared" si="18"/>
        <v>865.1</v>
      </c>
      <c r="H47" s="402">
        <f t="shared" si="15"/>
        <v>-623541.24000000022</v>
      </c>
      <c r="I47" s="402">
        <f t="shared" si="16"/>
        <v>7455777.8399999999</v>
      </c>
      <c r="J47" s="753"/>
      <c r="K47" s="515">
        <f t="shared" si="19"/>
        <v>907.13</v>
      </c>
      <c r="L47" s="648">
        <f t="shared" ref="L47:L72" si="20">K47*F47</f>
        <v>7818009.1919999998</v>
      </c>
      <c r="M47" s="754">
        <f t="shared" si="14"/>
        <v>-362231.35199999996</v>
      </c>
      <c r="O47" s="647"/>
      <c r="P47" s="513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31"/>
      <c r="AW47" s="331"/>
      <c r="AX47" s="331"/>
      <c r="AY47" s="331"/>
      <c r="AZ47" s="331"/>
      <c r="BA47" s="331"/>
      <c r="BB47" s="331"/>
    </row>
    <row r="48" spans="2:54">
      <c r="B48" s="156">
        <v>45728</v>
      </c>
      <c r="C48" s="185" t="s">
        <v>2522</v>
      </c>
      <c r="D48" s="402">
        <v>13289759.925000001</v>
      </c>
      <c r="E48" s="376">
        <v>937.45</v>
      </c>
      <c r="F48" s="401">
        <v>14176.5</v>
      </c>
      <c r="G48" s="376">
        <f t="shared" si="18"/>
        <v>865.1</v>
      </c>
      <c r="H48" s="402">
        <f t="shared" si="15"/>
        <v>-1025669.7750000004</v>
      </c>
      <c r="I48" s="402">
        <f t="shared" si="16"/>
        <v>12264090.15</v>
      </c>
      <c r="J48" s="753"/>
      <c r="K48" s="515">
        <f t="shared" si="19"/>
        <v>907.13</v>
      </c>
      <c r="L48" s="648">
        <f t="shared" si="20"/>
        <v>12859928.445</v>
      </c>
      <c r="M48" s="754">
        <f t="shared" si="14"/>
        <v>-595838.29499999993</v>
      </c>
      <c r="O48" s="647"/>
      <c r="P48" s="513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31"/>
      <c r="AX48" s="331"/>
      <c r="AY48" s="331"/>
      <c r="AZ48" s="331"/>
      <c r="BA48" s="331"/>
      <c r="BB48" s="331"/>
    </row>
    <row r="49" spans="2:54">
      <c r="B49" s="156">
        <v>45728</v>
      </c>
      <c r="C49" s="185" t="s">
        <v>2523</v>
      </c>
      <c r="D49" s="402">
        <v>2502991.5</v>
      </c>
      <c r="E49" s="376">
        <v>937.45</v>
      </c>
      <c r="F49" s="401">
        <v>2670</v>
      </c>
      <c r="G49" s="376">
        <f t="shared" ref="G49:G111" si="21">+G48</f>
        <v>865.1</v>
      </c>
      <c r="H49" s="402">
        <f t="shared" si="15"/>
        <v>-193174.5</v>
      </c>
      <c r="I49" s="402">
        <f t="shared" si="16"/>
        <v>2309817</v>
      </c>
      <c r="J49" s="753"/>
      <c r="K49" s="515">
        <f t="shared" ref="K49:K111" si="22">+K48</f>
        <v>907.13</v>
      </c>
      <c r="L49" s="648">
        <f t="shared" si="20"/>
        <v>2422037.1</v>
      </c>
      <c r="M49" s="754">
        <f t="shared" si="14"/>
        <v>-112220.10000000009</v>
      </c>
      <c r="O49" s="647"/>
      <c r="P49" s="513"/>
      <c r="R49" s="331"/>
      <c r="S49" s="331"/>
      <c r="T49" s="331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331"/>
      <c r="BB49" s="331"/>
    </row>
    <row r="50" spans="2:54">
      <c r="B50" s="156">
        <v>45728</v>
      </c>
      <c r="C50" s="185" t="s">
        <v>2524</v>
      </c>
      <c r="D50" s="402">
        <v>8367163.102500001</v>
      </c>
      <c r="E50" s="376">
        <v>937.45</v>
      </c>
      <c r="F50" s="401">
        <v>8925.4500000000007</v>
      </c>
      <c r="G50" s="376">
        <f t="shared" si="21"/>
        <v>865.1</v>
      </c>
      <c r="H50" s="402">
        <f t="shared" si="15"/>
        <v>-645756.30750000011</v>
      </c>
      <c r="I50" s="402">
        <f t="shared" si="16"/>
        <v>7721406.7950000009</v>
      </c>
      <c r="J50" s="753"/>
      <c r="K50" s="515">
        <f t="shared" si="22"/>
        <v>907.13</v>
      </c>
      <c r="L50" s="648">
        <f t="shared" si="20"/>
        <v>8096543.4585000006</v>
      </c>
      <c r="M50" s="754">
        <f t="shared" si="14"/>
        <v>-375136.66349999979</v>
      </c>
      <c r="O50" s="647"/>
      <c r="P50" s="513"/>
      <c r="R50" s="331"/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31"/>
      <c r="AW50" s="331"/>
      <c r="AX50" s="331"/>
      <c r="AY50" s="331"/>
      <c r="AZ50" s="331"/>
      <c r="BA50" s="331"/>
      <c r="BB50" s="331"/>
    </row>
    <row r="51" spans="2:54">
      <c r="B51" s="156">
        <v>45728</v>
      </c>
      <c r="C51" s="185" t="s">
        <v>2525</v>
      </c>
      <c r="D51" s="402">
        <v>2754696.8250000002</v>
      </c>
      <c r="E51" s="376">
        <v>937.45</v>
      </c>
      <c r="F51" s="401">
        <v>2938.5</v>
      </c>
      <c r="G51" s="376">
        <f t="shared" si="21"/>
        <v>865.1</v>
      </c>
      <c r="H51" s="402">
        <f t="shared" si="15"/>
        <v>-212600.47500000009</v>
      </c>
      <c r="I51" s="402">
        <f t="shared" si="16"/>
        <v>2542096.35</v>
      </c>
      <c r="J51" s="753"/>
      <c r="K51" s="515">
        <f t="shared" si="22"/>
        <v>907.13</v>
      </c>
      <c r="L51" s="648">
        <f t="shared" si="20"/>
        <v>2665601.5049999999</v>
      </c>
      <c r="M51" s="754">
        <f t="shared" si="14"/>
        <v>-123505.1549999998</v>
      </c>
      <c r="O51" s="647"/>
      <c r="P51" s="513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31"/>
      <c r="AW51" s="331"/>
      <c r="AX51" s="331"/>
      <c r="AY51" s="331"/>
      <c r="AZ51" s="331"/>
      <c r="BA51" s="331"/>
      <c r="BB51" s="331"/>
    </row>
    <row r="52" spans="2:54">
      <c r="B52" s="156">
        <v>45728</v>
      </c>
      <c r="C52" s="185" t="s">
        <v>2526</v>
      </c>
      <c r="D52" s="402">
        <v>7814114.4750000006</v>
      </c>
      <c r="E52" s="376">
        <v>937.45</v>
      </c>
      <c r="F52" s="401">
        <v>8335.5</v>
      </c>
      <c r="G52" s="376">
        <f t="shared" si="21"/>
        <v>865.1</v>
      </c>
      <c r="H52" s="402">
        <f t="shared" si="15"/>
        <v>-603073.42500000075</v>
      </c>
      <c r="I52" s="402">
        <f t="shared" si="16"/>
        <v>7211041.0499999998</v>
      </c>
      <c r="J52" s="753"/>
      <c r="K52" s="515">
        <f t="shared" si="22"/>
        <v>907.13</v>
      </c>
      <c r="L52" s="648">
        <f t="shared" si="20"/>
        <v>7561382.1150000002</v>
      </c>
      <c r="M52" s="754">
        <f t="shared" si="14"/>
        <v>-350341.06500000041</v>
      </c>
      <c r="O52" s="647"/>
      <c r="P52" s="513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</row>
    <row r="53" spans="2:54">
      <c r="B53" s="156">
        <v>45728</v>
      </c>
      <c r="C53" s="185" t="s">
        <v>2527</v>
      </c>
      <c r="D53" s="402">
        <v>2754696.8250000002</v>
      </c>
      <c r="E53" s="376">
        <v>937.45</v>
      </c>
      <c r="F53" s="401">
        <v>2938.5</v>
      </c>
      <c r="G53" s="376">
        <f t="shared" si="21"/>
        <v>865.1</v>
      </c>
      <c r="H53" s="402">
        <f t="shared" si="15"/>
        <v>-212600.47500000009</v>
      </c>
      <c r="I53" s="402">
        <f t="shared" si="16"/>
        <v>2542096.35</v>
      </c>
      <c r="J53" s="753"/>
      <c r="K53" s="515">
        <f t="shared" si="22"/>
        <v>907.13</v>
      </c>
      <c r="L53" s="648">
        <f t="shared" si="20"/>
        <v>2665601.5049999999</v>
      </c>
      <c r="M53" s="754">
        <f t="shared" si="14"/>
        <v>-123505.1549999998</v>
      </c>
      <c r="O53" s="647"/>
      <c r="P53" s="513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31"/>
      <c r="AW53" s="331"/>
      <c r="AX53" s="331"/>
      <c r="AY53" s="331"/>
      <c r="AZ53" s="331"/>
      <c r="BA53" s="331"/>
      <c r="BB53" s="331"/>
    </row>
    <row r="54" spans="2:54">
      <c r="B54" s="156">
        <v>45728</v>
      </c>
      <c r="C54" s="185" t="s">
        <v>2528</v>
      </c>
      <c r="D54" s="402">
        <v>6402642.8825000003</v>
      </c>
      <c r="E54" s="376">
        <v>937.45</v>
      </c>
      <c r="F54" s="401">
        <v>6829.85</v>
      </c>
      <c r="G54" s="376">
        <f t="shared" si="21"/>
        <v>865.1</v>
      </c>
      <c r="H54" s="402">
        <f t="shared" si="15"/>
        <v>-494139.64749999996</v>
      </c>
      <c r="I54" s="402">
        <f t="shared" si="16"/>
        <v>5908503.2350000003</v>
      </c>
      <c r="J54" s="753"/>
      <c r="K54" s="515">
        <f t="shared" si="22"/>
        <v>907.13</v>
      </c>
      <c r="L54" s="648">
        <f t="shared" si="20"/>
        <v>6195561.8305000002</v>
      </c>
      <c r="M54" s="754">
        <f t="shared" si="14"/>
        <v>-287058.59549999982</v>
      </c>
      <c r="O54" s="647"/>
      <c r="P54" s="513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31"/>
      <c r="AW54" s="331"/>
      <c r="AX54" s="331"/>
      <c r="AY54" s="331"/>
      <c r="AZ54" s="331"/>
      <c r="BA54" s="331"/>
      <c r="BB54" s="331"/>
    </row>
    <row r="55" spans="2:54">
      <c r="B55" s="156">
        <v>45728</v>
      </c>
      <c r="C55" s="185" t="s">
        <v>2529</v>
      </c>
      <c r="D55" s="402">
        <v>2246130.2000000002</v>
      </c>
      <c r="E55" s="376">
        <v>937.45</v>
      </c>
      <c r="F55" s="401">
        <v>2396</v>
      </c>
      <c r="G55" s="376">
        <f t="shared" si="21"/>
        <v>865.1</v>
      </c>
      <c r="H55" s="402">
        <f t="shared" si="15"/>
        <v>-173350.60000000009</v>
      </c>
      <c r="I55" s="402">
        <f t="shared" si="16"/>
        <v>2072779.6</v>
      </c>
      <c r="J55" s="753"/>
      <c r="K55" s="515">
        <f t="shared" si="22"/>
        <v>907.13</v>
      </c>
      <c r="L55" s="648">
        <f t="shared" si="20"/>
        <v>2173483.48</v>
      </c>
      <c r="M55" s="754">
        <f t="shared" si="14"/>
        <v>-100703.87999999989</v>
      </c>
      <c r="O55" s="647"/>
      <c r="P55" s="513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31"/>
      <c r="AW55" s="331"/>
      <c r="AX55" s="331"/>
      <c r="AY55" s="331"/>
      <c r="AZ55" s="331"/>
      <c r="BA55" s="331"/>
      <c r="BB55" s="331"/>
    </row>
    <row r="56" spans="2:54">
      <c r="B56" s="156">
        <v>45728</v>
      </c>
      <c r="C56" s="185" t="s">
        <v>2530</v>
      </c>
      <c r="D56" s="402">
        <v>7814114.4750000006</v>
      </c>
      <c r="E56" s="376">
        <v>937.45</v>
      </c>
      <c r="F56" s="401">
        <v>8335.5</v>
      </c>
      <c r="G56" s="376">
        <f t="shared" si="21"/>
        <v>865.1</v>
      </c>
      <c r="H56" s="402">
        <f t="shared" si="15"/>
        <v>-603073.42500000075</v>
      </c>
      <c r="I56" s="402">
        <f t="shared" si="16"/>
        <v>7211041.0499999998</v>
      </c>
      <c r="J56" s="753"/>
      <c r="K56" s="515">
        <f t="shared" si="22"/>
        <v>907.13</v>
      </c>
      <c r="L56" s="648">
        <f t="shared" si="20"/>
        <v>7561382.1150000002</v>
      </c>
      <c r="M56" s="754">
        <f t="shared" si="14"/>
        <v>-350341.06500000041</v>
      </c>
      <c r="O56" s="647"/>
      <c r="P56" s="513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31"/>
      <c r="AW56" s="331"/>
      <c r="AX56" s="331"/>
      <c r="AY56" s="331"/>
      <c r="AZ56" s="331"/>
      <c r="BA56" s="331"/>
      <c r="BB56" s="331"/>
    </row>
    <row r="57" spans="2:54">
      <c r="B57" s="156">
        <v>45728</v>
      </c>
      <c r="C57" s="185" t="s">
        <v>2531</v>
      </c>
      <c r="D57" s="402">
        <v>2754696.8250000002</v>
      </c>
      <c r="E57" s="376">
        <v>937.45</v>
      </c>
      <c r="F57" s="401">
        <v>2938.5</v>
      </c>
      <c r="G57" s="376">
        <f t="shared" si="21"/>
        <v>865.1</v>
      </c>
      <c r="H57" s="402">
        <f t="shared" si="15"/>
        <v>-212600.47500000009</v>
      </c>
      <c r="I57" s="402">
        <f t="shared" si="16"/>
        <v>2542096.35</v>
      </c>
      <c r="J57" s="753"/>
      <c r="K57" s="515">
        <f t="shared" si="22"/>
        <v>907.13</v>
      </c>
      <c r="L57" s="648">
        <f t="shared" si="20"/>
        <v>2665601.5049999999</v>
      </c>
      <c r="M57" s="754">
        <f t="shared" si="14"/>
        <v>-123505.1549999998</v>
      </c>
      <c r="O57" s="647"/>
      <c r="P57" s="513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31"/>
      <c r="AW57" s="331"/>
      <c r="AX57" s="331"/>
      <c r="AY57" s="331"/>
      <c r="AZ57" s="331"/>
      <c r="BA57" s="331"/>
      <c r="BB57" s="331"/>
    </row>
    <row r="58" spans="2:54">
      <c r="B58" s="156">
        <v>45728</v>
      </c>
      <c r="C58" s="185" t="s">
        <v>2532</v>
      </c>
      <c r="D58" s="402">
        <v>6636161.6775000002</v>
      </c>
      <c r="E58" s="376">
        <v>937.45</v>
      </c>
      <c r="F58" s="401">
        <v>7078.95</v>
      </c>
      <c r="G58" s="376">
        <f t="shared" si="21"/>
        <v>865.1</v>
      </c>
      <c r="H58" s="402">
        <f t="shared" si="15"/>
        <v>-512162.03250000067</v>
      </c>
      <c r="I58" s="402">
        <f t="shared" si="16"/>
        <v>6123999.6449999996</v>
      </c>
      <c r="J58" s="753"/>
      <c r="K58" s="515">
        <f t="shared" si="22"/>
        <v>907.13</v>
      </c>
      <c r="L58" s="648">
        <f t="shared" si="20"/>
        <v>6421527.9134999998</v>
      </c>
      <c r="M58" s="754">
        <f t="shared" si="14"/>
        <v>-297528.26850000024</v>
      </c>
      <c r="O58" s="647"/>
      <c r="P58" s="513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31"/>
      <c r="AW58" s="331"/>
      <c r="AX58" s="331"/>
      <c r="AY58" s="331"/>
      <c r="AZ58" s="331"/>
      <c r="BA58" s="331"/>
      <c r="BB58" s="331"/>
    </row>
    <row r="59" spans="2:54">
      <c r="B59" s="156">
        <v>45728</v>
      </c>
      <c r="C59" s="185" t="s">
        <v>2533</v>
      </c>
      <c r="D59" s="402">
        <v>2469243.3000000003</v>
      </c>
      <c r="E59" s="376">
        <v>937.45</v>
      </c>
      <c r="F59" s="401">
        <v>2634</v>
      </c>
      <c r="G59" s="376">
        <f t="shared" si="21"/>
        <v>865.1</v>
      </c>
      <c r="H59" s="402">
        <f t="shared" si="15"/>
        <v>-190569.90000000037</v>
      </c>
      <c r="I59" s="402">
        <f t="shared" si="16"/>
        <v>2278673.4</v>
      </c>
      <c r="J59" s="753"/>
      <c r="K59" s="515">
        <f t="shared" si="22"/>
        <v>907.13</v>
      </c>
      <c r="L59" s="648">
        <f t="shared" si="20"/>
        <v>2389380.42</v>
      </c>
      <c r="M59" s="754">
        <f t="shared" si="14"/>
        <v>-110707.02000000002</v>
      </c>
      <c r="O59" s="647"/>
      <c r="P59" s="513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31"/>
      <c r="AW59" s="331"/>
      <c r="AX59" s="331"/>
      <c r="AY59" s="331"/>
      <c r="AZ59" s="331"/>
      <c r="BA59" s="331"/>
      <c r="BB59" s="331"/>
    </row>
    <row r="60" spans="2:54">
      <c r="B60" s="156">
        <v>45728</v>
      </c>
      <c r="C60" s="185" t="s">
        <v>2534</v>
      </c>
      <c r="D60" s="402">
        <v>7044093.0450000009</v>
      </c>
      <c r="E60" s="376">
        <v>937.45</v>
      </c>
      <c r="F60" s="401">
        <v>7514.1</v>
      </c>
      <c r="G60" s="376">
        <f t="shared" si="21"/>
        <v>865.1</v>
      </c>
      <c r="H60" s="402">
        <f t="shared" si="15"/>
        <v>-543645.13500000071</v>
      </c>
      <c r="I60" s="402">
        <f t="shared" si="16"/>
        <v>6500447.9100000001</v>
      </c>
      <c r="J60" s="753"/>
      <c r="K60" s="515">
        <f t="shared" si="22"/>
        <v>907.13</v>
      </c>
      <c r="L60" s="648">
        <f t="shared" si="20"/>
        <v>6816265.5330000008</v>
      </c>
      <c r="M60" s="754">
        <f t="shared" si="14"/>
        <v>-315817.6230000006</v>
      </c>
      <c r="O60" s="647"/>
      <c r="P60" s="513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</row>
    <row r="61" spans="2:54">
      <c r="B61" s="156">
        <v>45728</v>
      </c>
      <c r="C61" s="185" t="s">
        <v>2535</v>
      </c>
      <c r="D61" s="402">
        <v>2469243.3000000003</v>
      </c>
      <c r="E61" s="376">
        <v>937.45</v>
      </c>
      <c r="F61" s="401">
        <v>2634</v>
      </c>
      <c r="G61" s="376">
        <f t="shared" si="21"/>
        <v>865.1</v>
      </c>
      <c r="H61" s="402">
        <f t="shared" si="15"/>
        <v>-190569.90000000037</v>
      </c>
      <c r="I61" s="402">
        <f t="shared" si="16"/>
        <v>2278673.4</v>
      </c>
      <c r="J61" s="753"/>
      <c r="K61" s="515">
        <f t="shared" si="22"/>
        <v>907.13</v>
      </c>
      <c r="L61" s="648">
        <f t="shared" si="20"/>
        <v>2389380.42</v>
      </c>
      <c r="M61" s="754">
        <f t="shared" si="14"/>
        <v>-110707.02000000002</v>
      </c>
      <c r="O61" s="647"/>
      <c r="P61" s="513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31"/>
      <c r="AW61" s="331"/>
      <c r="AX61" s="331"/>
      <c r="AY61" s="331"/>
      <c r="AZ61" s="331"/>
      <c r="BA61" s="331"/>
      <c r="BB61" s="331"/>
    </row>
    <row r="62" spans="2:54">
      <c r="B62" s="156">
        <v>45728</v>
      </c>
      <c r="C62" s="185" t="s">
        <v>2536</v>
      </c>
      <c r="D62" s="402">
        <v>1909585.6500000001</v>
      </c>
      <c r="E62" s="376">
        <v>937.45</v>
      </c>
      <c r="F62" s="401">
        <v>2037</v>
      </c>
      <c r="G62" s="376">
        <f t="shared" si="21"/>
        <v>865.1</v>
      </c>
      <c r="H62" s="402">
        <f t="shared" si="15"/>
        <v>-147376.95000000019</v>
      </c>
      <c r="I62" s="402">
        <f t="shared" si="16"/>
        <v>1762208.7</v>
      </c>
      <c r="J62" s="753"/>
      <c r="K62" s="515">
        <f t="shared" si="22"/>
        <v>907.13</v>
      </c>
      <c r="L62" s="648">
        <f t="shared" si="20"/>
        <v>1847823.81</v>
      </c>
      <c r="M62" s="754">
        <f t="shared" si="14"/>
        <v>-85615.110000000102</v>
      </c>
      <c r="O62" s="647"/>
      <c r="P62" s="513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</row>
    <row r="63" spans="2:54">
      <c r="B63" s="156">
        <v>45728</v>
      </c>
      <c r="C63" s="185" t="s">
        <v>2537</v>
      </c>
      <c r="D63" s="402">
        <v>6450359.0875000004</v>
      </c>
      <c r="E63" s="376">
        <v>937.45</v>
      </c>
      <c r="F63" s="401">
        <v>6880.75</v>
      </c>
      <c r="G63" s="376">
        <f t="shared" si="21"/>
        <v>865.1</v>
      </c>
      <c r="H63" s="402">
        <f t="shared" si="15"/>
        <v>-497822.26250000019</v>
      </c>
      <c r="I63" s="402">
        <f t="shared" si="16"/>
        <v>5952536.8250000002</v>
      </c>
      <c r="J63" s="753"/>
      <c r="K63" s="515">
        <f t="shared" si="22"/>
        <v>907.13</v>
      </c>
      <c r="L63" s="648">
        <f t="shared" si="20"/>
        <v>6241734.7474999996</v>
      </c>
      <c r="M63" s="754">
        <f t="shared" si="14"/>
        <v>-289197.9224999994</v>
      </c>
      <c r="O63" s="647"/>
      <c r="P63" s="513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</row>
    <row r="64" spans="2:54">
      <c r="B64" s="156">
        <v>45728</v>
      </c>
      <c r="C64" s="185" t="s">
        <v>2538</v>
      </c>
      <c r="D64" s="402">
        <v>2469243.3000000003</v>
      </c>
      <c r="E64" s="376">
        <v>937.45</v>
      </c>
      <c r="F64" s="401">
        <v>2634</v>
      </c>
      <c r="G64" s="376">
        <f t="shared" si="21"/>
        <v>865.1</v>
      </c>
      <c r="H64" s="402">
        <f t="shared" si="15"/>
        <v>-190569.90000000037</v>
      </c>
      <c r="I64" s="402">
        <f t="shared" si="16"/>
        <v>2278673.4</v>
      </c>
      <c r="J64" s="753"/>
      <c r="K64" s="515">
        <f t="shared" si="22"/>
        <v>907.13</v>
      </c>
      <c r="L64" s="648">
        <f t="shared" si="20"/>
        <v>2389380.42</v>
      </c>
      <c r="M64" s="754">
        <f t="shared" si="14"/>
        <v>-110707.02000000002</v>
      </c>
      <c r="O64" s="647"/>
      <c r="P64" s="513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</row>
    <row r="65" spans="2:54">
      <c r="B65" s="156">
        <v>45728</v>
      </c>
      <c r="C65" s="185" t="s">
        <v>2539</v>
      </c>
      <c r="D65" s="402">
        <v>6804246.4625000004</v>
      </c>
      <c r="E65" s="376">
        <v>937.45</v>
      </c>
      <c r="F65" s="401">
        <v>7258.25</v>
      </c>
      <c r="G65" s="376">
        <f t="shared" si="21"/>
        <v>865.1</v>
      </c>
      <c r="H65" s="402">
        <f t="shared" si="15"/>
        <v>-525134.38750000019</v>
      </c>
      <c r="I65" s="402">
        <f t="shared" si="16"/>
        <v>6279112.0750000002</v>
      </c>
      <c r="J65" s="753"/>
      <c r="K65" s="515">
        <f t="shared" si="22"/>
        <v>907.13</v>
      </c>
      <c r="L65" s="648">
        <f t="shared" si="20"/>
        <v>6584176.3224999998</v>
      </c>
      <c r="M65" s="754">
        <f t="shared" si="14"/>
        <v>-305064.24749999959</v>
      </c>
      <c r="O65" s="647"/>
      <c r="P65" s="513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</row>
    <row r="66" spans="2:54">
      <c r="B66" s="156">
        <v>45728</v>
      </c>
      <c r="C66" s="185" t="s">
        <v>2540</v>
      </c>
      <c r="D66" s="402">
        <v>2754696.8250000002</v>
      </c>
      <c r="E66" s="376">
        <v>937.45</v>
      </c>
      <c r="F66" s="401">
        <v>2938.5</v>
      </c>
      <c r="G66" s="376">
        <f t="shared" si="21"/>
        <v>865.1</v>
      </c>
      <c r="H66" s="402">
        <f t="shared" si="15"/>
        <v>-212600.47500000009</v>
      </c>
      <c r="I66" s="402">
        <f t="shared" si="16"/>
        <v>2542096.35</v>
      </c>
      <c r="J66" s="753"/>
      <c r="K66" s="515">
        <f t="shared" si="22"/>
        <v>907.13</v>
      </c>
      <c r="L66" s="648">
        <f t="shared" si="20"/>
        <v>2665601.5049999999</v>
      </c>
      <c r="M66" s="754">
        <f t="shared" si="14"/>
        <v>-123505.1549999998</v>
      </c>
      <c r="O66" s="647"/>
      <c r="P66" s="513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31"/>
      <c r="AW66" s="331"/>
      <c r="AX66" s="331"/>
      <c r="AY66" s="331"/>
      <c r="AZ66" s="331"/>
      <c r="BA66" s="331"/>
      <c r="BB66" s="331"/>
    </row>
    <row r="67" spans="2:54">
      <c r="B67" s="156">
        <v>45728</v>
      </c>
      <c r="C67" s="185" t="s">
        <v>2541</v>
      </c>
      <c r="D67" s="402">
        <v>5875421.0025000004</v>
      </c>
      <c r="E67" s="376">
        <v>937.45</v>
      </c>
      <c r="F67" s="401">
        <v>6267.45</v>
      </c>
      <c r="G67" s="376">
        <f t="shared" si="21"/>
        <v>865.1</v>
      </c>
      <c r="H67" s="402">
        <f t="shared" si="15"/>
        <v>-453450.0075000003</v>
      </c>
      <c r="I67" s="402">
        <f t="shared" si="16"/>
        <v>5421970.9950000001</v>
      </c>
      <c r="J67" s="753"/>
      <c r="K67" s="515">
        <f t="shared" si="22"/>
        <v>907.13</v>
      </c>
      <c r="L67" s="648">
        <f t="shared" si="20"/>
        <v>5685391.9184999997</v>
      </c>
      <c r="M67" s="754">
        <f t="shared" si="14"/>
        <v>-263420.92349999957</v>
      </c>
      <c r="O67" s="647"/>
      <c r="P67" s="513"/>
      <c r="R67" s="331"/>
      <c r="S67" s="331"/>
      <c r="T67" s="331"/>
      <c r="U67" s="331"/>
      <c r="V67" s="331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31"/>
      <c r="AW67" s="331"/>
      <c r="AX67" s="331"/>
      <c r="AY67" s="331"/>
      <c r="AZ67" s="331"/>
      <c r="BA67" s="331"/>
      <c r="BB67" s="331"/>
    </row>
    <row r="68" spans="2:54">
      <c r="B68" s="156">
        <v>45728</v>
      </c>
      <c r="C68" s="185" t="s">
        <v>2542</v>
      </c>
      <c r="D68" s="402">
        <v>2469243.3000000003</v>
      </c>
      <c r="E68" s="376">
        <v>937.45</v>
      </c>
      <c r="F68" s="401">
        <v>2634</v>
      </c>
      <c r="G68" s="376">
        <f t="shared" si="21"/>
        <v>865.1</v>
      </c>
      <c r="H68" s="402">
        <f t="shared" si="15"/>
        <v>-190569.90000000037</v>
      </c>
      <c r="I68" s="402">
        <f t="shared" si="16"/>
        <v>2278673.4</v>
      </c>
      <c r="J68" s="753"/>
      <c r="K68" s="515">
        <f t="shared" si="22"/>
        <v>907.13</v>
      </c>
      <c r="L68" s="648">
        <f t="shared" si="20"/>
        <v>2389380.42</v>
      </c>
      <c r="M68" s="754">
        <f t="shared" si="14"/>
        <v>-110707.02000000002</v>
      </c>
      <c r="O68" s="647"/>
      <c r="P68" s="513"/>
      <c r="R68" s="331"/>
      <c r="S68" s="331"/>
      <c r="T68" s="331"/>
      <c r="U68" s="331"/>
      <c r="V68" s="331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31"/>
      <c r="AW68" s="331"/>
      <c r="AX68" s="331"/>
      <c r="AY68" s="331"/>
      <c r="AZ68" s="331"/>
      <c r="BA68" s="331"/>
      <c r="BB68" s="331"/>
    </row>
    <row r="69" spans="2:54">
      <c r="B69" s="156">
        <v>45728</v>
      </c>
      <c r="C69" s="185" t="s">
        <v>2543</v>
      </c>
      <c r="D69" s="402">
        <v>167334.82500000001</v>
      </c>
      <c r="E69" s="376">
        <v>937.45</v>
      </c>
      <c r="F69" s="401">
        <v>178.5</v>
      </c>
      <c r="G69" s="376">
        <f t="shared" si="21"/>
        <v>865.1</v>
      </c>
      <c r="H69" s="402">
        <f t="shared" si="15"/>
        <v>-12914.475000000006</v>
      </c>
      <c r="I69" s="402">
        <f t="shared" si="16"/>
        <v>154420.35</v>
      </c>
      <c r="J69" s="753"/>
      <c r="K69" s="515">
        <f t="shared" si="22"/>
        <v>907.13</v>
      </c>
      <c r="L69" s="648">
        <f t="shared" si="20"/>
        <v>161922.70499999999</v>
      </c>
      <c r="M69" s="754">
        <f t="shared" si="14"/>
        <v>-7502.3549999999814</v>
      </c>
      <c r="O69" s="647"/>
      <c r="P69" s="513"/>
      <c r="R69" s="331"/>
      <c r="S69" s="331"/>
      <c r="T69" s="331"/>
      <c r="U69" s="331"/>
      <c r="V69" s="331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31"/>
      <c r="AW69" s="331"/>
      <c r="AX69" s="331"/>
      <c r="AY69" s="331"/>
      <c r="AZ69" s="331"/>
      <c r="BA69" s="331"/>
      <c r="BB69" s="331"/>
    </row>
    <row r="70" spans="2:54">
      <c r="B70" s="156">
        <v>45728</v>
      </c>
      <c r="C70" s="185" t="s">
        <v>2545</v>
      </c>
      <c r="D70" s="402">
        <v>1354708.9949999999</v>
      </c>
      <c r="E70" s="376">
        <v>937.45</v>
      </c>
      <c r="F70" s="401">
        <v>1445.1</v>
      </c>
      <c r="G70" s="376">
        <f>+G69</f>
        <v>865.1</v>
      </c>
      <c r="H70" s="402">
        <f t="shared" si="15"/>
        <v>-104552.98499999987</v>
      </c>
      <c r="I70" s="402">
        <f t="shared" si="16"/>
        <v>1250156.01</v>
      </c>
      <c r="J70" s="753"/>
      <c r="K70" s="515">
        <f>+K69</f>
        <v>907.13</v>
      </c>
      <c r="L70" s="648">
        <f t="shared" si="20"/>
        <v>1310893.5629999998</v>
      </c>
      <c r="M70" s="754">
        <f t="shared" si="14"/>
        <v>-60737.55299999984</v>
      </c>
      <c r="O70" s="647"/>
      <c r="P70" s="513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31"/>
      <c r="AW70" s="331"/>
      <c r="AX70" s="331"/>
      <c r="AY70" s="331"/>
      <c r="AZ70" s="331"/>
      <c r="BA70" s="331"/>
      <c r="BB70" s="331"/>
    </row>
    <row r="71" spans="2:54">
      <c r="B71" s="156">
        <v>45726</v>
      </c>
      <c r="C71" s="185" t="s">
        <v>2546</v>
      </c>
      <c r="D71" s="402">
        <v>1169595</v>
      </c>
      <c r="E71" s="376">
        <v>928.25</v>
      </c>
      <c r="F71" s="613">
        <v>1260</v>
      </c>
      <c r="G71" s="376">
        <f t="shared" si="21"/>
        <v>865.1</v>
      </c>
      <c r="H71" s="402">
        <f t="shared" si="15"/>
        <v>-79569</v>
      </c>
      <c r="I71" s="402">
        <f t="shared" si="16"/>
        <v>1090026</v>
      </c>
      <c r="J71" s="753"/>
      <c r="K71" s="515">
        <f t="shared" si="22"/>
        <v>907.13</v>
      </c>
      <c r="L71" s="648">
        <f t="shared" si="20"/>
        <v>1142983.8</v>
      </c>
      <c r="M71" s="754">
        <f t="shared" si="14"/>
        <v>-52957.800000000047</v>
      </c>
      <c r="O71" s="647"/>
      <c r="P71" s="513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31"/>
      <c r="AR71" s="331"/>
      <c r="AS71" s="331"/>
      <c r="AT71" s="331"/>
      <c r="AU71" s="331"/>
      <c r="AV71" s="331"/>
      <c r="AW71" s="331"/>
      <c r="AX71" s="331"/>
      <c r="AY71" s="331"/>
      <c r="AZ71" s="331"/>
      <c r="BA71" s="331"/>
      <c r="BB71" s="331"/>
    </row>
    <row r="72" spans="2:54">
      <c r="B72" s="156">
        <v>45747</v>
      </c>
      <c r="C72" s="185" t="s">
        <v>2547</v>
      </c>
      <c r="D72" s="402">
        <v>1192086</v>
      </c>
      <c r="E72" s="376">
        <v>946.1</v>
      </c>
      <c r="F72" s="613">
        <v>1260</v>
      </c>
      <c r="G72" s="376">
        <f t="shared" si="21"/>
        <v>865.1</v>
      </c>
      <c r="H72" s="402">
        <f t="shared" si="15"/>
        <v>-102060</v>
      </c>
      <c r="I72" s="402">
        <f t="shared" si="16"/>
        <v>1090026</v>
      </c>
      <c r="J72" s="753">
        <f>SUM(I25:I72)</f>
        <v>240792582.82499999</v>
      </c>
      <c r="K72" s="515">
        <f t="shared" si="22"/>
        <v>907.13</v>
      </c>
      <c r="L72" s="648">
        <f t="shared" si="20"/>
        <v>1142983.8</v>
      </c>
      <c r="M72" s="754">
        <f t="shared" si="14"/>
        <v>-52957.800000000047</v>
      </c>
      <c r="O72" s="647"/>
      <c r="P72" s="513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31"/>
      <c r="AW72" s="331"/>
      <c r="AX72" s="331"/>
      <c r="AY72" s="331"/>
      <c r="AZ72" s="331"/>
      <c r="BA72" s="331"/>
      <c r="BB72" s="331"/>
    </row>
    <row r="73" spans="2:54">
      <c r="B73" s="156">
        <v>45768</v>
      </c>
      <c r="C73" s="185" t="s">
        <v>2576</v>
      </c>
      <c r="D73" s="402">
        <f t="shared" ref="D73:D136" si="23">F73*E73</f>
        <v>2208658.8000000003</v>
      </c>
      <c r="E73" s="376">
        <v>968.71</v>
      </c>
      <c r="F73" s="561">
        <v>2280</v>
      </c>
      <c r="G73" s="376">
        <f t="shared" si="21"/>
        <v>865.1</v>
      </c>
      <c r="H73" s="402">
        <f t="shared" ref="H73:H78" si="24">+I73-D73</f>
        <v>-236230.80000000028</v>
      </c>
      <c r="I73" s="402">
        <f t="shared" ref="I73:I78" si="25">+F73*G73</f>
        <v>1972428</v>
      </c>
      <c r="J73" s="753"/>
      <c r="K73" s="515">
        <f t="shared" si="22"/>
        <v>907.13</v>
      </c>
      <c r="L73" s="648">
        <f t="shared" ref="L73:L78" si="26">K73*F73</f>
        <v>2068256.4</v>
      </c>
      <c r="M73" s="754">
        <f t="shared" ref="M73:M78" si="27">I73-L73</f>
        <v>-95828.399999999907</v>
      </c>
      <c r="O73" s="647"/>
      <c r="P73" s="513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/>
      <c r="AQ73" s="331"/>
      <c r="AR73" s="331"/>
      <c r="AS73" s="331"/>
      <c r="AT73" s="331"/>
      <c r="AU73" s="331"/>
      <c r="AV73" s="331"/>
      <c r="AW73" s="331"/>
      <c r="AX73" s="331"/>
      <c r="AY73" s="331"/>
      <c r="AZ73" s="331"/>
      <c r="BA73" s="331"/>
      <c r="BB73" s="331"/>
    </row>
    <row r="74" spans="2:54">
      <c r="B74" s="156">
        <v>45751</v>
      </c>
      <c r="C74" s="185" t="s">
        <v>2577</v>
      </c>
      <c r="D74" s="402">
        <f t="shared" si="23"/>
        <v>205315.37100000001</v>
      </c>
      <c r="E74" s="376">
        <v>946.59</v>
      </c>
      <c r="F74" s="561">
        <v>216.9</v>
      </c>
      <c r="G74" s="376">
        <f t="shared" si="21"/>
        <v>865.1</v>
      </c>
      <c r="H74" s="402">
        <f t="shared" si="24"/>
        <v>-17675.181000000011</v>
      </c>
      <c r="I74" s="402">
        <f t="shared" si="25"/>
        <v>187640.19</v>
      </c>
      <c r="J74" s="753"/>
      <c r="K74" s="515">
        <f t="shared" si="22"/>
        <v>907.13</v>
      </c>
      <c r="L74" s="648">
        <f t="shared" si="26"/>
        <v>196756.497</v>
      </c>
      <c r="M74" s="754">
        <f t="shared" si="27"/>
        <v>-9116.3070000000007</v>
      </c>
      <c r="O74" s="647"/>
      <c r="P74" s="513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</row>
    <row r="75" spans="2:54">
      <c r="B75" s="156">
        <v>45751</v>
      </c>
      <c r="C75" s="185" t="s">
        <v>2578</v>
      </c>
      <c r="D75" s="402">
        <f t="shared" si="23"/>
        <v>711078.40800000005</v>
      </c>
      <c r="E75" s="376">
        <v>946.59</v>
      </c>
      <c r="F75" s="561">
        <v>751.2</v>
      </c>
      <c r="G75" s="376">
        <f t="shared" si="21"/>
        <v>865.1</v>
      </c>
      <c r="H75" s="402">
        <f t="shared" si="24"/>
        <v>-61215.287999999942</v>
      </c>
      <c r="I75" s="402">
        <f t="shared" si="25"/>
        <v>649863.12000000011</v>
      </c>
      <c r="J75" s="753"/>
      <c r="K75" s="515">
        <f t="shared" si="22"/>
        <v>907.13</v>
      </c>
      <c r="L75" s="648">
        <f t="shared" si="26"/>
        <v>681436.05599999998</v>
      </c>
      <c r="M75" s="754">
        <f t="shared" si="27"/>
        <v>-31572.935999999871</v>
      </c>
      <c r="O75" s="647"/>
      <c r="P75" s="513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/>
      <c r="AQ75" s="331"/>
      <c r="AR75" s="331"/>
      <c r="AS75" s="331"/>
      <c r="AT75" s="331"/>
      <c r="AU75" s="331"/>
      <c r="AV75" s="331"/>
      <c r="AW75" s="331"/>
      <c r="AX75" s="331"/>
      <c r="AY75" s="331"/>
      <c r="AZ75" s="331"/>
      <c r="BA75" s="331"/>
      <c r="BB75" s="331"/>
    </row>
    <row r="76" spans="2:54">
      <c r="B76" s="156">
        <v>45751</v>
      </c>
      <c r="C76" s="185" t="s">
        <v>2579</v>
      </c>
      <c r="D76" s="402">
        <f t="shared" si="23"/>
        <v>180325.39500000002</v>
      </c>
      <c r="E76" s="376">
        <v>946.59</v>
      </c>
      <c r="F76" s="561">
        <v>190.5</v>
      </c>
      <c r="G76" s="376">
        <f t="shared" si="21"/>
        <v>865.1</v>
      </c>
      <c r="H76" s="402">
        <f t="shared" si="24"/>
        <v>-15523.845000000001</v>
      </c>
      <c r="I76" s="402">
        <f t="shared" si="25"/>
        <v>164801.55000000002</v>
      </c>
      <c r="J76" s="753"/>
      <c r="K76" s="515">
        <f t="shared" si="22"/>
        <v>907.13</v>
      </c>
      <c r="L76" s="648">
        <f t="shared" si="26"/>
        <v>172808.26499999998</v>
      </c>
      <c r="M76" s="754">
        <f t="shared" si="27"/>
        <v>-8006.7149999999674</v>
      </c>
      <c r="O76" s="647"/>
      <c r="P76" s="513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31"/>
      <c r="AR76" s="331"/>
      <c r="AS76" s="331"/>
      <c r="AT76" s="331"/>
      <c r="AU76" s="331"/>
      <c r="AV76" s="331"/>
      <c r="AW76" s="331"/>
      <c r="AX76" s="331"/>
      <c r="AY76" s="331"/>
      <c r="AZ76" s="331"/>
      <c r="BA76" s="331"/>
      <c r="BB76" s="331"/>
    </row>
    <row r="77" spans="2:54">
      <c r="B77" s="156">
        <v>45751</v>
      </c>
      <c r="C77" s="185" t="s">
        <v>2580</v>
      </c>
      <c r="D77" s="402">
        <f t="shared" si="23"/>
        <v>2048610.078</v>
      </c>
      <c r="E77" s="376">
        <v>946.59</v>
      </c>
      <c r="F77" s="561">
        <v>2164.1999999999998</v>
      </c>
      <c r="G77" s="376">
        <f t="shared" si="21"/>
        <v>865.1</v>
      </c>
      <c r="H77" s="402">
        <f t="shared" si="24"/>
        <v>-176360.65800000005</v>
      </c>
      <c r="I77" s="402">
        <f t="shared" si="25"/>
        <v>1872249.42</v>
      </c>
      <c r="J77" s="753"/>
      <c r="K77" s="515">
        <f t="shared" si="22"/>
        <v>907.13</v>
      </c>
      <c r="L77" s="648">
        <f t="shared" si="26"/>
        <v>1963210.7459999998</v>
      </c>
      <c r="M77" s="754">
        <f t="shared" si="27"/>
        <v>-90961.325999999885</v>
      </c>
      <c r="O77" s="647"/>
      <c r="P77" s="513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31"/>
      <c r="AR77" s="331"/>
      <c r="AS77" s="331"/>
      <c r="AT77" s="331"/>
      <c r="AU77" s="331"/>
      <c r="AV77" s="331"/>
      <c r="AW77" s="331"/>
      <c r="AX77" s="331"/>
      <c r="AY77" s="331"/>
      <c r="AZ77" s="331"/>
      <c r="BA77" s="331"/>
      <c r="BB77" s="331"/>
    </row>
    <row r="78" spans="2:54">
      <c r="B78" s="156">
        <v>45756</v>
      </c>
      <c r="C78" s="185" t="s">
        <v>2581</v>
      </c>
      <c r="D78" s="402">
        <f t="shared" si="23"/>
        <v>8100347.9759999998</v>
      </c>
      <c r="E78" s="376">
        <v>939.89</v>
      </c>
      <c r="F78" s="561">
        <v>8618.4</v>
      </c>
      <c r="G78" s="376">
        <f t="shared" si="21"/>
        <v>865.1</v>
      </c>
      <c r="H78" s="402">
        <f t="shared" si="24"/>
        <v>-644570.13599999994</v>
      </c>
      <c r="I78" s="402">
        <f t="shared" si="25"/>
        <v>7455777.8399999999</v>
      </c>
      <c r="J78" s="753">
        <f>SUM(I73:I78)</f>
        <v>12302760.119999999</v>
      </c>
      <c r="K78" s="515">
        <f t="shared" si="22"/>
        <v>907.13</v>
      </c>
      <c r="L78" s="648">
        <f t="shared" si="26"/>
        <v>7818009.1919999998</v>
      </c>
      <c r="M78" s="754">
        <f t="shared" si="27"/>
        <v>-362231.35199999996</v>
      </c>
      <c r="O78" s="647"/>
      <c r="P78" s="513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31"/>
      <c r="AR78" s="331"/>
      <c r="AS78" s="331"/>
      <c r="AT78" s="331"/>
      <c r="AU78" s="331"/>
      <c r="AV78" s="331"/>
      <c r="AW78" s="331"/>
      <c r="AX78" s="331"/>
      <c r="AY78" s="331"/>
      <c r="AZ78" s="331"/>
      <c r="BA78" s="331"/>
      <c r="BB78" s="331"/>
    </row>
    <row r="79" spans="2:54">
      <c r="B79" s="156">
        <v>45797</v>
      </c>
      <c r="C79" s="185" t="s">
        <v>2609</v>
      </c>
      <c r="D79" s="402">
        <f t="shared" si="23"/>
        <v>1180229.4000000001</v>
      </c>
      <c r="E79" s="376">
        <v>936.69</v>
      </c>
      <c r="F79" s="561">
        <v>1260</v>
      </c>
      <c r="G79" s="376">
        <f t="shared" si="21"/>
        <v>865.1</v>
      </c>
      <c r="H79" s="402">
        <f t="shared" ref="H79:H135" si="28">+I79-D79</f>
        <v>-90203.40000000014</v>
      </c>
      <c r="I79" s="402">
        <f t="shared" ref="I79:I135" si="29">+F79*G79</f>
        <v>1090026</v>
      </c>
      <c r="J79" s="753"/>
      <c r="K79" s="515">
        <f t="shared" si="22"/>
        <v>907.13</v>
      </c>
      <c r="L79" s="648">
        <f t="shared" ref="L79:L135" si="30">K79*F79</f>
        <v>1142983.8</v>
      </c>
      <c r="M79" s="754">
        <f t="shared" ref="M79:M135" si="31">I79-L79</f>
        <v>-52957.800000000047</v>
      </c>
      <c r="O79" s="647"/>
      <c r="P79" s="513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31"/>
      <c r="AW79" s="331"/>
      <c r="AX79" s="331"/>
      <c r="AY79" s="331"/>
      <c r="AZ79" s="331"/>
      <c r="BA79" s="331"/>
      <c r="BB79" s="331"/>
    </row>
    <row r="80" spans="2:54">
      <c r="B80" s="156">
        <v>45783</v>
      </c>
      <c r="C80" s="185" t="s">
        <v>2610</v>
      </c>
      <c r="D80" s="402">
        <f t="shared" si="23"/>
        <v>248207.52</v>
      </c>
      <c r="E80" s="376">
        <v>940.18</v>
      </c>
      <c r="F80" s="561">
        <v>264</v>
      </c>
      <c r="G80" s="376">
        <f t="shared" si="21"/>
        <v>865.1</v>
      </c>
      <c r="H80" s="402">
        <f t="shared" si="28"/>
        <v>-19821.119999999995</v>
      </c>
      <c r="I80" s="402">
        <f t="shared" si="29"/>
        <v>228386.4</v>
      </c>
      <c r="J80" s="753"/>
      <c r="K80" s="515">
        <f t="shared" si="22"/>
        <v>907.13</v>
      </c>
      <c r="L80" s="648">
        <f t="shared" si="30"/>
        <v>239482.32</v>
      </c>
      <c r="M80" s="754">
        <f t="shared" si="31"/>
        <v>-11095.920000000013</v>
      </c>
      <c r="O80" s="647"/>
      <c r="P80" s="513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31"/>
      <c r="AW80" s="331"/>
      <c r="AX80" s="331"/>
      <c r="AY80" s="331"/>
      <c r="AZ80" s="331"/>
      <c r="BA80" s="331"/>
      <c r="BB80" s="331"/>
    </row>
    <row r="81" spans="2:54">
      <c r="B81" s="156">
        <v>45783</v>
      </c>
      <c r="C81" s="185" t="s">
        <v>2611</v>
      </c>
      <c r="D81" s="402">
        <f t="shared" si="23"/>
        <v>612997.36</v>
      </c>
      <c r="E81" s="376">
        <v>940.18</v>
      </c>
      <c r="F81" s="561">
        <v>652</v>
      </c>
      <c r="G81" s="376">
        <f t="shared" si="21"/>
        <v>865.1</v>
      </c>
      <c r="H81" s="402">
        <f t="shared" si="28"/>
        <v>-48952.159999999916</v>
      </c>
      <c r="I81" s="402">
        <f t="shared" si="29"/>
        <v>564045.20000000007</v>
      </c>
      <c r="J81" s="753"/>
      <c r="K81" s="515">
        <f t="shared" si="22"/>
        <v>907.13</v>
      </c>
      <c r="L81" s="648">
        <f t="shared" si="30"/>
        <v>591448.76</v>
      </c>
      <c r="M81" s="754">
        <f t="shared" si="31"/>
        <v>-27403.559999999939</v>
      </c>
      <c r="O81" s="647"/>
      <c r="P81" s="513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31"/>
      <c r="AW81" s="331"/>
      <c r="AX81" s="331"/>
      <c r="AY81" s="331"/>
      <c r="AZ81" s="331"/>
      <c r="BA81" s="331"/>
      <c r="BB81" s="331"/>
    </row>
    <row r="82" spans="2:54">
      <c r="B82" s="156">
        <v>45783</v>
      </c>
      <c r="C82" s="185" t="s">
        <v>2612</v>
      </c>
      <c r="D82" s="402">
        <f t="shared" si="23"/>
        <v>248207.52</v>
      </c>
      <c r="E82" s="376">
        <v>940.18</v>
      </c>
      <c r="F82" s="561">
        <v>264</v>
      </c>
      <c r="G82" s="376">
        <f t="shared" si="21"/>
        <v>865.1</v>
      </c>
      <c r="H82" s="402">
        <f t="shared" si="28"/>
        <v>-19821.119999999995</v>
      </c>
      <c r="I82" s="402">
        <f t="shared" si="29"/>
        <v>228386.4</v>
      </c>
      <c r="J82" s="753"/>
      <c r="K82" s="515">
        <f t="shared" si="22"/>
        <v>907.13</v>
      </c>
      <c r="L82" s="648">
        <f t="shared" si="30"/>
        <v>239482.32</v>
      </c>
      <c r="M82" s="754">
        <f t="shared" si="31"/>
        <v>-11095.920000000013</v>
      </c>
      <c r="O82" s="647"/>
      <c r="P82" s="513"/>
      <c r="R82" s="331"/>
      <c r="S82" s="331"/>
      <c r="T82" s="331"/>
      <c r="U82" s="331"/>
      <c r="V82" s="331"/>
      <c r="W82" s="331"/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31"/>
      <c r="AW82" s="331"/>
      <c r="AX82" s="331"/>
      <c r="AY82" s="331"/>
      <c r="AZ82" s="331"/>
      <c r="BA82" s="331"/>
      <c r="BB82" s="331"/>
    </row>
    <row r="83" spans="2:54">
      <c r="B83" s="156">
        <v>45783</v>
      </c>
      <c r="C83" s="185" t="s">
        <v>2613</v>
      </c>
      <c r="D83" s="402">
        <f t="shared" si="23"/>
        <v>612997.36</v>
      </c>
      <c r="E83" s="376">
        <v>940.18</v>
      </c>
      <c r="F83" s="561">
        <v>652</v>
      </c>
      <c r="G83" s="376">
        <f t="shared" si="21"/>
        <v>865.1</v>
      </c>
      <c r="H83" s="402">
        <f t="shared" si="28"/>
        <v>-48952.159999999916</v>
      </c>
      <c r="I83" s="402">
        <f t="shared" si="29"/>
        <v>564045.20000000007</v>
      </c>
      <c r="J83" s="753"/>
      <c r="K83" s="515">
        <f t="shared" si="22"/>
        <v>907.13</v>
      </c>
      <c r="L83" s="648">
        <f t="shared" si="30"/>
        <v>591448.76</v>
      </c>
      <c r="M83" s="754">
        <f t="shared" si="31"/>
        <v>-27403.559999999939</v>
      </c>
      <c r="O83" s="647"/>
      <c r="P83" s="513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</row>
    <row r="84" spans="2:54">
      <c r="B84" s="156">
        <v>45783</v>
      </c>
      <c r="C84" s="185" t="s">
        <v>2614</v>
      </c>
      <c r="D84" s="402">
        <f t="shared" si="23"/>
        <v>1008343.0499999999</v>
      </c>
      <c r="E84" s="376">
        <v>940.18</v>
      </c>
      <c r="F84" s="561">
        <v>1072.5</v>
      </c>
      <c r="G84" s="376">
        <f t="shared" si="21"/>
        <v>865.1</v>
      </c>
      <c r="H84" s="402">
        <f t="shared" si="28"/>
        <v>-80523.29999999993</v>
      </c>
      <c r="I84" s="402">
        <f t="shared" si="29"/>
        <v>927819.75</v>
      </c>
      <c r="J84" s="753"/>
      <c r="K84" s="515">
        <f t="shared" si="22"/>
        <v>907.13</v>
      </c>
      <c r="L84" s="648">
        <f t="shared" si="30"/>
        <v>972896.92500000005</v>
      </c>
      <c r="M84" s="754">
        <f t="shared" si="31"/>
        <v>-45077.175000000047</v>
      </c>
      <c r="O84" s="647"/>
      <c r="P84" s="513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31"/>
      <c r="AW84" s="331"/>
      <c r="AX84" s="331"/>
      <c r="AY84" s="331"/>
      <c r="AZ84" s="331"/>
      <c r="BA84" s="331"/>
      <c r="BB84" s="331"/>
    </row>
    <row r="85" spans="2:54">
      <c r="B85" s="156">
        <v>45783</v>
      </c>
      <c r="C85" s="185" t="s">
        <v>2615</v>
      </c>
      <c r="D85" s="402">
        <f t="shared" si="23"/>
        <v>9277038.1139999982</v>
      </c>
      <c r="E85" s="376">
        <v>940.18</v>
      </c>
      <c r="F85" s="561">
        <v>9867.2999999999993</v>
      </c>
      <c r="G85" s="376">
        <f t="shared" si="21"/>
        <v>865.1</v>
      </c>
      <c r="H85" s="402">
        <f t="shared" si="28"/>
        <v>-740836.88399999775</v>
      </c>
      <c r="I85" s="402">
        <f t="shared" si="29"/>
        <v>8536201.2300000004</v>
      </c>
      <c r="J85" s="753"/>
      <c r="K85" s="515">
        <f t="shared" si="22"/>
        <v>907.13</v>
      </c>
      <c r="L85" s="648">
        <f t="shared" si="30"/>
        <v>8950923.8489999995</v>
      </c>
      <c r="M85" s="754">
        <f t="shared" si="31"/>
        <v>-414722.61899999902</v>
      </c>
      <c r="O85" s="647"/>
      <c r="P85" s="513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31"/>
      <c r="AW85" s="331"/>
      <c r="AX85" s="331"/>
      <c r="AY85" s="331"/>
      <c r="AZ85" s="331"/>
      <c r="BA85" s="331"/>
      <c r="BB85" s="331"/>
    </row>
    <row r="86" spans="2:54">
      <c r="B86" s="156">
        <v>45783</v>
      </c>
      <c r="C86" s="185" t="s">
        <v>2616</v>
      </c>
      <c r="D86" s="402">
        <f t="shared" si="23"/>
        <v>5105177.3999999994</v>
      </c>
      <c r="E86" s="376">
        <v>940.18</v>
      </c>
      <c r="F86" s="561">
        <v>5430</v>
      </c>
      <c r="G86" s="376">
        <f t="shared" si="21"/>
        <v>865.1</v>
      </c>
      <c r="H86" s="402">
        <f t="shared" si="28"/>
        <v>-407684.39999999944</v>
      </c>
      <c r="I86" s="402">
        <f t="shared" si="29"/>
        <v>4697493</v>
      </c>
      <c r="J86" s="753"/>
      <c r="K86" s="515">
        <f t="shared" si="22"/>
        <v>907.13</v>
      </c>
      <c r="L86" s="648">
        <f t="shared" si="30"/>
        <v>4925715.9000000004</v>
      </c>
      <c r="M86" s="754">
        <f t="shared" si="31"/>
        <v>-228222.90000000037</v>
      </c>
      <c r="O86" s="647"/>
      <c r="P86" s="513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31"/>
      <c r="AW86" s="331"/>
      <c r="AX86" s="331"/>
      <c r="AY86" s="331"/>
      <c r="AZ86" s="331"/>
      <c r="BA86" s="331"/>
      <c r="BB86" s="331"/>
    </row>
    <row r="87" spans="2:54">
      <c r="B87" s="156">
        <v>45783</v>
      </c>
      <c r="C87" s="185" t="s">
        <v>2617</v>
      </c>
      <c r="D87" s="402">
        <f t="shared" si="23"/>
        <v>4589018.58</v>
      </c>
      <c r="E87" s="376">
        <v>940.18</v>
      </c>
      <c r="F87" s="561">
        <v>4881</v>
      </c>
      <c r="G87" s="376">
        <f t="shared" si="21"/>
        <v>865.1</v>
      </c>
      <c r="H87" s="402">
        <f t="shared" si="28"/>
        <v>-366465.47999999952</v>
      </c>
      <c r="I87" s="402">
        <f t="shared" si="29"/>
        <v>4222553.1000000006</v>
      </c>
      <c r="J87" s="753"/>
      <c r="K87" s="515">
        <f t="shared" si="22"/>
        <v>907.13</v>
      </c>
      <c r="L87" s="648">
        <f t="shared" si="30"/>
        <v>4427701.53</v>
      </c>
      <c r="M87" s="754">
        <f t="shared" si="31"/>
        <v>-205148.4299999997</v>
      </c>
      <c r="O87" s="647"/>
      <c r="P87" s="513"/>
      <c r="R87" s="331"/>
      <c r="S87" s="331"/>
      <c r="T87" s="331"/>
      <c r="U87" s="331"/>
      <c r="V87" s="331"/>
      <c r="W87" s="331"/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31"/>
      <c r="AW87" s="331"/>
      <c r="AX87" s="331"/>
      <c r="AY87" s="331"/>
      <c r="AZ87" s="331"/>
      <c r="BA87" s="331"/>
      <c r="BB87" s="331"/>
    </row>
    <row r="88" spans="2:54">
      <c r="B88" s="156">
        <v>45783</v>
      </c>
      <c r="C88" s="185" t="s">
        <v>2618</v>
      </c>
      <c r="D88" s="402">
        <f t="shared" si="23"/>
        <v>1927557.0359999996</v>
      </c>
      <c r="E88" s="376">
        <v>940.18</v>
      </c>
      <c r="F88" s="561">
        <v>2050.1999999999998</v>
      </c>
      <c r="G88" s="376">
        <f t="shared" si="21"/>
        <v>865.1</v>
      </c>
      <c r="H88" s="402">
        <f t="shared" si="28"/>
        <v>-153929.01599999983</v>
      </c>
      <c r="I88" s="402">
        <f t="shared" si="29"/>
        <v>1773628.0199999998</v>
      </c>
      <c r="J88" s="753"/>
      <c r="K88" s="515">
        <f t="shared" si="22"/>
        <v>907.13</v>
      </c>
      <c r="L88" s="648">
        <f t="shared" si="30"/>
        <v>1859797.9259999997</v>
      </c>
      <c r="M88" s="754">
        <f t="shared" si="31"/>
        <v>-86169.905999999959</v>
      </c>
      <c r="O88" s="647"/>
      <c r="P88" s="513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</row>
    <row r="89" spans="2:54">
      <c r="B89" s="156">
        <v>45783</v>
      </c>
      <c r="C89" s="185" t="s">
        <v>2619</v>
      </c>
      <c r="D89" s="402">
        <f t="shared" si="23"/>
        <v>1116933.8399999999</v>
      </c>
      <c r="E89" s="376">
        <v>940.18</v>
      </c>
      <c r="F89" s="561">
        <v>1188</v>
      </c>
      <c r="G89" s="376">
        <f t="shared" si="21"/>
        <v>865.1</v>
      </c>
      <c r="H89" s="402">
        <f t="shared" si="28"/>
        <v>-89195.039999999804</v>
      </c>
      <c r="I89" s="402">
        <f t="shared" si="29"/>
        <v>1027738.8</v>
      </c>
      <c r="J89" s="753"/>
      <c r="K89" s="515">
        <f t="shared" si="22"/>
        <v>907.13</v>
      </c>
      <c r="L89" s="648">
        <f t="shared" si="30"/>
        <v>1077670.44</v>
      </c>
      <c r="M89" s="754">
        <f t="shared" si="31"/>
        <v>-49931.639999999898</v>
      </c>
      <c r="O89" s="647"/>
      <c r="P89" s="513"/>
      <c r="R89" s="331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31"/>
      <c r="AW89" s="331"/>
      <c r="AX89" s="331"/>
      <c r="AY89" s="331"/>
      <c r="AZ89" s="331"/>
      <c r="BA89" s="331"/>
      <c r="BB89" s="331"/>
    </row>
    <row r="90" spans="2:54">
      <c r="B90" s="156">
        <v>45783</v>
      </c>
      <c r="C90" s="185" t="s">
        <v>2620</v>
      </c>
      <c r="D90" s="402">
        <f t="shared" si="23"/>
        <v>3677984.1599999997</v>
      </c>
      <c r="E90" s="376">
        <v>940.18</v>
      </c>
      <c r="F90" s="561">
        <v>3912</v>
      </c>
      <c r="G90" s="376">
        <f t="shared" si="21"/>
        <v>865.1</v>
      </c>
      <c r="H90" s="402">
        <f t="shared" si="28"/>
        <v>-293712.9599999995</v>
      </c>
      <c r="I90" s="402">
        <f t="shared" si="29"/>
        <v>3384271.2</v>
      </c>
      <c r="J90" s="753"/>
      <c r="K90" s="515">
        <f t="shared" si="22"/>
        <v>907.13</v>
      </c>
      <c r="L90" s="648">
        <f t="shared" si="30"/>
        <v>3548692.56</v>
      </c>
      <c r="M90" s="754">
        <f t="shared" si="31"/>
        <v>-164421.35999999987</v>
      </c>
      <c r="O90" s="647"/>
      <c r="P90" s="513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</row>
    <row r="91" spans="2:54">
      <c r="B91" s="156">
        <v>45783</v>
      </c>
      <c r="C91" s="185" t="s">
        <v>2621</v>
      </c>
      <c r="D91" s="402">
        <f t="shared" si="23"/>
        <v>186155.63999999998</v>
      </c>
      <c r="E91" s="376">
        <v>940.18</v>
      </c>
      <c r="F91" s="561">
        <v>198</v>
      </c>
      <c r="G91" s="376">
        <f t="shared" si="21"/>
        <v>865.1</v>
      </c>
      <c r="H91" s="402">
        <f t="shared" si="28"/>
        <v>-14865.839999999967</v>
      </c>
      <c r="I91" s="402">
        <f t="shared" si="29"/>
        <v>171289.80000000002</v>
      </c>
      <c r="J91" s="753"/>
      <c r="K91" s="515">
        <f t="shared" si="22"/>
        <v>907.13</v>
      </c>
      <c r="L91" s="648">
        <f t="shared" si="30"/>
        <v>179611.74</v>
      </c>
      <c r="M91" s="754">
        <f t="shared" si="31"/>
        <v>-8321.9399999999732</v>
      </c>
      <c r="O91" s="647"/>
      <c r="P91" s="513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31"/>
      <c r="AW91" s="331"/>
      <c r="AX91" s="331"/>
      <c r="AY91" s="331"/>
      <c r="AZ91" s="331"/>
      <c r="BA91" s="331"/>
      <c r="BB91" s="331"/>
    </row>
    <row r="92" spans="2:54">
      <c r="B92" s="156">
        <v>45783</v>
      </c>
      <c r="C92" s="185" t="s">
        <v>2622</v>
      </c>
      <c r="D92" s="402">
        <f t="shared" si="23"/>
        <v>612997.36</v>
      </c>
      <c r="E92" s="376">
        <v>940.18</v>
      </c>
      <c r="F92" s="561">
        <v>652</v>
      </c>
      <c r="G92" s="376">
        <f t="shared" si="21"/>
        <v>865.1</v>
      </c>
      <c r="H92" s="402">
        <f t="shared" si="28"/>
        <v>-48952.159999999916</v>
      </c>
      <c r="I92" s="402">
        <f t="shared" si="29"/>
        <v>564045.20000000007</v>
      </c>
      <c r="J92" s="753"/>
      <c r="K92" s="515">
        <f t="shared" si="22"/>
        <v>907.13</v>
      </c>
      <c r="L92" s="648">
        <f t="shared" si="30"/>
        <v>591448.76</v>
      </c>
      <c r="M92" s="754">
        <f t="shared" si="31"/>
        <v>-27403.559999999939</v>
      </c>
      <c r="O92" s="647"/>
      <c r="P92" s="513"/>
      <c r="R92" s="331"/>
      <c r="S92" s="331"/>
      <c r="T92" s="331"/>
      <c r="U92" s="331"/>
      <c r="V92" s="331"/>
      <c r="W92" s="331"/>
      <c r="X92" s="331"/>
      <c r="Y92" s="331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31"/>
      <c r="AW92" s="331"/>
      <c r="AX92" s="331"/>
      <c r="AY92" s="331"/>
      <c r="AZ92" s="331"/>
      <c r="BA92" s="331"/>
      <c r="BB92" s="331"/>
    </row>
    <row r="93" spans="2:54">
      <c r="B93" s="156">
        <v>45783</v>
      </c>
      <c r="C93" s="185" t="s">
        <v>2623</v>
      </c>
      <c r="D93" s="402">
        <f t="shared" si="23"/>
        <v>248207.52</v>
      </c>
      <c r="E93" s="376">
        <v>940.18</v>
      </c>
      <c r="F93" s="561">
        <v>264</v>
      </c>
      <c r="G93" s="376">
        <f t="shared" si="21"/>
        <v>865.1</v>
      </c>
      <c r="H93" s="402">
        <f t="shared" si="28"/>
        <v>-19821.119999999995</v>
      </c>
      <c r="I93" s="402">
        <f t="shared" si="29"/>
        <v>228386.4</v>
      </c>
      <c r="J93" s="753"/>
      <c r="K93" s="515">
        <f t="shared" si="22"/>
        <v>907.13</v>
      </c>
      <c r="L93" s="648">
        <f t="shared" si="30"/>
        <v>239482.32</v>
      </c>
      <c r="M93" s="754">
        <f t="shared" si="31"/>
        <v>-11095.920000000013</v>
      </c>
      <c r="O93" s="647"/>
      <c r="P93" s="513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31"/>
      <c r="AW93" s="331"/>
      <c r="AX93" s="331"/>
      <c r="AY93" s="331"/>
      <c r="AZ93" s="331"/>
      <c r="BA93" s="331"/>
      <c r="BB93" s="331"/>
    </row>
    <row r="94" spans="2:54">
      <c r="B94" s="156">
        <v>45783</v>
      </c>
      <c r="C94" s="185" t="s">
        <v>2624</v>
      </c>
      <c r="D94" s="402">
        <f t="shared" si="23"/>
        <v>612997.36</v>
      </c>
      <c r="E94" s="376">
        <v>940.18</v>
      </c>
      <c r="F94" s="561">
        <v>652</v>
      </c>
      <c r="G94" s="376">
        <f t="shared" si="21"/>
        <v>865.1</v>
      </c>
      <c r="H94" s="402">
        <f t="shared" si="28"/>
        <v>-48952.159999999916</v>
      </c>
      <c r="I94" s="402">
        <f t="shared" si="29"/>
        <v>564045.20000000007</v>
      </c>
      <c r="J94" s="753"/>
      <c r="K94" s="515">
        <f t="shared" si="22"/>
        <v>907.13</v>
      </c>
      <c r="L94" s="648">
        <f t="shared" si="30"/>
        <v>591448.76</v>
      </c>
      <c r="M94" s="754">
        <f t="shared" si="31"/>
        <v>-27403.559999999939</v>
      </c>
      <c r="O94" s="647"/>
      <c r="P94" s="513"/>
      <c r="R94" s="331"/>
      <c r="S94" s="331"/>
      <c r="T94" s="331"/>
      <c r="U94" s="331"/>
      <c r="V94" s="331"/>
      <c r="W94" s="331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31"/>
      <c r="AW94" s="331"/>
      <c r="AX94" s="331"/>
      <c r="AY94" s="331"/>
      <c r="AZ94" s="331"/>
      <c r="BA94" s="331"/>
      <c r="BB94" s="331"/>
    </row>
    <row r="95" spans="2:54">
      <c r="B95" s="156">
        <v>45783</v>
      </c>
      <c r="C95" s="185" t="s">
        <v>2625</v>
      </c>
      <c r="D95" s="402">
        <f t="shared" si="23"/>
        <v>372311.27999999997</v>
      </c>
      <c r="E95" s="376">
        <v>940.18</v>
      </c>
      <c r="F95" s="561">
        <v>396</v>
      </c>
      <c r="G95" s="376">
        <f t="shared" si="21"/>
        <v>865.1</v>
      </c>
      <c r="H95" s="402">
        <f t="shared" si="28"/>
        <v>-29731.679999999935</v>
      </c>
      <c r="I95" s="402">
        <f t="shared" si="29"/>
        <v>342579.60000000003</v>
      </c>
      <c r="J95" s="753"/>
      <c r="K95" s="515">
        <f t="shared" si="22"/>
        <v>907.13</v>
      </c>
      <c r="L95" s="648">
        <f t="shared" si="30"/>
        <v>359223.48</v>
      </c>
      <c r="M95" s="754">
        <f t="shared" si="31"/>
        <v>-16643.879999999946</v>
      </c>
      <c r="O95" s="647"/>
      <c r="P95" s="513"/>
      <c r="R95" s="331"/>
      <c r="S95" s="331"/>
      <c r="T95" s="331"/>
      <c r="U95" s="331"/>
      <c r="V95" s="331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31"/>
      <c r="AW95" s="331"/>
      <c r="AX95" s="331"/>
      <c r="AY95" s="331"/>
      <c r="AZ95" s="331"/>
      <c r="BA95" s="331"/>
      <c r="BB95" s="331"/>
    </row>
    <row r="96" spans="2:54">
      <c r="B96" s="156">
        <v>45783</v>
      </c>
      <c r="C96" s="185" t="s">
        <v>2626</v>
      </c>
      <c r="D96" s="402">
        <f t="shared" si="23"/>
        <v>612997.36</v>
      </c>
      <c r="E96" s="376">
        <v>940.18</v>
      </c>
      <c r="F96" s="561">
        <v>652</v>
      </c>
      <c r="G96" s="376">
        <f t="shared" si="21"/>
        <v>865.1</v>
      </c>
      <c r="H96" s="402">
        <f t="shared" si="28"/>
        <v>-48952.159999999916</v>
      </c>
      <c r="I96" s="402">
        <f t="shared" si="29"/>
        <v>564045.20000000007</v>
      </c>
      <c r="J96" s="753"/>
      <c r="K96" s="515">
        <f t="shared" si="22"/>
        <v>907.13</v>
      </c>
      <c r="L96" s="648">
        <f t="shared" si="30"/>
        <v>591448.76</v>
      </c>
      <c r="M96" s="754">
        <f t="shared" si="31"/>
        <v>-27403.559999999939</v>
      </c>
      <c r="O96" s="647"/>
      <c r="P96" s="513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31"/>
      <c r="AW96" s="331"/>
      <c r="AX96" s="331"/>
      <c r="AY96" s="331"/>
      <c r="AZ96" s="331"/>
      <c r="BA96" s="331"/>
      <c r="BB96" s="331"/>
    </row>
    <row r="97" spans="2:54">
      <c r="B97" s="156">
        <v>45783</v>
      </c>
      <c r="C97" s="185" t="s">
        <v>2627</v>
      </c>
      <c r="D97" s="402">
        <f t="shared" si="23"/>
        <v>248207.52</v>
      </c>
      <c r="E97" s="376">
        <v>940.18</v>
      </c>
      <c r="F97" s="561">
        <v>264</v>
      </c>
      <c r="G97" s="376">
        <f t="shared" si="21"/>
        <v>865.1</v>
      </c>
      <c r="H97" s="402">
        <f t="shared" si="28"/>
        <v>-19821.119999999995</v>
      </c>
      <c r="I97" s="402">
        <f t="shared" si="29"/>
        <v>228386.4</v>
      </c>
      <c r="J97" s="753"/>
      <c r="K97" s="515">
        <f t="shared" si="22"/>
        <v>907.13</v>
      </c>
      <c r="L97" s="648">
        <f t="shared" si="30"/>
        <v>239482.32</v>
      </c>
      <c r="M97" s="754">
        <f t="shared" si="31"/>
        <v>-11095.920000000013</v>
      </c>
      <c r="O97" s="647"/>
      <c r="P97" s="513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</row>
    <row r="98" spans="2:54">
      <c r="B98" s="156">
        <v>45783</v>
      </c>
      <c r="C98" s="185" t="s">
        <v>2628</v>
      </c>
      <c r="D98" s="402">
        <f t="shared" si="23"/>
        <v>612997.36</v>
      </c>
      <c r="E98" s="376">
        <v>940.18</v>
      </c>
      <c r="F98" s="561">
        <v>652</v>
      </c>
      <c r="G98" s="376">
        <f t="shared" si="21"/>
        <v>865.1</v>
      </c>
      <c r="H98" s="402">
        <f t="shared" si="28"/>
        <v>-48952.159999999916</v>
      </c>
      <c r="I98" s="402">
        <f t="shared" si="29"/>
        <v>564045.20000000007</v>
      </c>
      <c r="J98" s="753"/>
      <c r="K98" s="515">
        <f t="shared" si="22"/>
        <v>907.13</v>
      </c>
      <c r="L98" s="648">
        <f t="shared" si="30"/>
        <v>591448.76</v>
      </c>
      <c r="M98" s="754">
        <f t="shared" si="31"/>
        <v>-27403.559999999939</v>
      </c>
      <c r="O98" s="647"/>
      <c r="P98" s="513"/>
      <c r="R98" s="331"/>
      <c r="S98" s="331"/>
      <c r="T98" s="331"/>
      <c r="U98" s="331"/>
      <c r="V98" s="331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31"/>
      <c r="AW98" s="331"/>
      <c r="AX98" s="331"/>
      <c r="AY98" s="331"/>
      <c r="AZ98" s="331"/>
      <c r="BA98" s="331"/>
      <c r="BB98" s="331"/>
    </row>
    <row r="99" spans="2:54">
      <c r="B99" s="156">
        <v>45783</v>
      </c>
      <c r="C99" s="185" t="s">
        <v>2629</v>
      </c>
      <c r="D99" s="402">
        <f t="shared" si="23"/>
        <v>716417.15999999992</v>
      </c>
      <c r="E99" s="376">
        <v>940.18</v>
      </c>
      <c r="F99" s="561">
        <v>762</v>
      </c>
      <c r="G99" s="376">
        <f t="shared" si="21"/>
        <v>865.1</v>
      </c>
      <c r="H99" s="402">
        <f t="shared" si="28"/>
        <v>-57210.959999999846</v>
      </c>
      <c r="I99" s="402">
        <f t="shared" si="29"/>
        <v>659206.20000000007</v>
      </c>
      <c r="J99" s="753"/>
      <c r="K99" s="515">
        <f t="shared" si="22"/>
        <v>907.13</v>
      </c>
      <c r="L99" s="648">
        <f t="shared" si="30"/>
        <v>691233.05999999994</v>
      </c>
      <c r="M99" s="754">
        <f t="shared" si="31"/>
        <v>-32026.85999999987</v>
      </c>
      <c r="O99" s="647"/>
      <c r="P99" s="513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31"/>
      <c r="AW99" s="331"/>
      <c r="AX99" s="331"/>
      <c r="AY99" s="331"/>
      <c r="AZ99" s="331"/>
      <c r="BA99" s="331"/>
      <c r="BB99" s="331"/>
    </row>
    <row r="100" spans="2:54">
      <c r="B100" s="156">
        <v>45783</v>
      </c>
      <c r="C100" s="185" t="s">
        <v>2630</v>
      </c>
      <c r="D100" s="402">
        <f t="shared" si="23"/>
        <v>186155.63999999998</v>
      </c>
      <c r="E100" s="376">
        <v>940.18</v>
      </c>
      <c r="F100" s="561">
        <v>198</v>
      </c>
      <c r="G100" s="376">
        <f t="shared" si="21"/>
        <v>865.1</v>
      </c>
      <c r="H100" s="402">
        <f t="shared" si="28"/>
        <v>-14865.839999999967</v>
      </c>
      <c r="I100" s="402">
        <f t="shared" si="29"/>
        <v>171289.80000000002</v>
      </c>
      <c r="J100" s="753"/>
      <c r="K100" s="515">
        <f t="shared" si="22"/>
        <v>907.13</v>
      </c>
      <c r="L100" s="648">
        <f t="shared" si="30"/>
        <v>179611.74</v>
      </c>
      <c r="M100" s="754">
        <f t="shared" si="31"/>
        <v>-8321.9399999999732</v>
      </c>
      <c r="O100" s="647"/>
      <c r="P100" s="513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31"/>
      <c r="AW100" s="331"/>
      <c r="AX100" s="331"/>
      <c r="AY100" s="331"/>
      <c r="AZ100" s="331"/>
      <c r="BA100" s="331"/>
      <c r="BB100" s="331"/>
    </row>
    <row r="101" spans="2:54">
      <c r="B101" s="156">
        <v>45783</v>
      </c>
      <c r="C101" s="185" t="s">
        <v>2631</v>
      </c>
      <c r="D101" s="402">
        <f t="shared" si="23"/>
        <v>612997.36</v>
      </c>
      <c r="E101" s="376">
        <v>940.18</v>
      </c>
      <c r="F101" s="561">
        <v>652</v>
      </c>
      <c r="G101" s="376">
        <f t="shared" si="21"/>
        <v>865.1</v>
      </c>
      <c r="H101" s="402">
        <f t="shared" si="28"/>
        <v>-48952.159999999916</v>
      </c>
      <c r="I101" s="402">
        <f t="shared" si="29"/>
        <v>564045.20000000007</v>
      </c>
      <c r="J101" s="753"/>
      <c r="K101" s="515">
        <f t="shared" si="22"/>
        <v>907.13</v>
      </c>
      <c r="L101" s="648">
        <f t="shared" si="30"/>
        <v>591448.76</v>
      </c>
      <c r="M101" s="754">
        <f t="shared" si="31"/>
        <v>-27403.559999999939</v>
      </c>
      <c r="O101" s="647"/>
      <c r="P101" s="513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31"/>
      <c r="AW101" s="331"/>
      <c r="AX101" s="331"/>
      <c r="AY101" s="331"/>
      <c r="AZ101" s="331"/>
      <c r="BA101" s="331"/>
      <c r="BB101" s="331"/>
    </row>
    <row r="102" spans="2:54">
      <c r="B102" s="156">
        <v>45783</v>
      </c>
      <c r="C102" s="185" t="s">
        <v>2632</v>
      </c>
      <c r="D102" s="402">
        <f t="shared" si="23"/>
        <v>248207.52</v>
      </c>
      <c r="E102" s="376">
        <v>940.18</v>
      </c>
      <c r="F102" s="561">
        <v>264</v>
      </c>
      <c r="G102" s="376">
        <f t="shared" si="21"/>
        <v>865.1</v>
      </c>
      <c r="H102" s="402">
        <f t="shared" si="28"/>
        <v>-19821.119999999995</v>
      </c>
      <c r="I102" s="402">
        <f t="shared" si="29"/>
        <v>228386.4</v>
      </c>
      <c r="J102" s="753"/>
      <c r="K102" s="515">
        <f t="shared" si="22"/>
        <v>907.13</v>
      </c>
      <c r="L102" s="648">
        <f t="shared" si="30"/>
        <v>239482.32</v>
      </c>
      <c r="M102" s="754">
        <f t="shared" si="31"/>
        <v>-11095.920000000013</v>
      </c>
      <c r="O102" s="647"/>
      <c r="P102" s="513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31"/>
      <c r="AW102" s="331"/>
      <c r="AX102" s="331"/>
      <c r="AY102" s="331"/>
      <c r="AZ102" s="331"/>
      <c r="BA102" s="331"/>
      <c r="BB102" s="331"/>
    </row>
    <row r="103" spans="2:54">
      <c r="B103" s="156">
        <v>45783</v>
      </c>
      <c r="C103" s="185" t="s">
        <v>2633</v>
      </c>
      <c r="D103" s="402">
        <f t="shared" si="23"/>
        <v>612997.36</v>
      </c>
      <c r="E103" s="376">
        <v>940.18</v>
      </c>
      <c r="F103" s="561">
        <v>652</v>
      </c>
      <c r="G103" s="376">
        <f t="shared" si="21"/>
        <v>865.1</v>
      </c>
      <c r="H103" s="402">
        <f t="shared" si="28"/>
        <v>-48952.159999999916</v>
      </c>
      <c r="I103" s="402">
        <f t="shared" si="29"/>
        <v>564045.20000000007</v>
      </c>
      <c r="J103" s="753"/>
      <c r="K103" s="515">
        <f t="shared" si="22"/>
        <v>907.13</v>
      </c>
      <c r="L103" s="648">
        <f t="shared" si="30"/>
        <v>591448.76</v>
      </c>
      <c r="M103" s="754">
        <f t="shared" si="31"/>
        <v>-27403.559999999939</v>
      </c>
      <c r="O103" s="647"/>
      <c r="P103" s="513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31"/>
      <c r="AW103" s="331"/>
      <c r="AX103" s="331"/>
      <c r="AY103" s="331"/>
      <c r="AZ103" s="331"/>
      <c r="BA103" s="331"/>
      <c r="BB103" s="331"/>
    </row>
    <row r="104" spans="2:54">
      <c r="B104" s="156">
        <v>45783</v>
      </c>
      <c r="C104" s="185" t="s">
        <v>2634</v>
      </c>
      <c r="D104" s="402">
        <f t="shared" si="23"/>
        <v>612997.36</v>
      </c>
      <c r="E104" s="376">
        <v>940.18</v>
      </c>
      <c r="F104" s="561">
        <v>652</v>
      </c>
      <c r="G104" s="376">
        <f t="shared" si="21"/>
        <v>865.1</v>
      </c>
      <c r="H104" s="402">
        <f t="shared" si="28"/>
        <v>-48952.159999999916</v>
      </c>
      <c r="I104" s="402">
        <f t="shared" si="29"/>
        <v>564045.20000000007</v>
      </c>
      <c r="J104" s="753"/>
      <c r="K104" s="515">
        <f t="shared" si="22"/>
        <v>907.13</v>
      </c>
      <c r="L104" s="648">
        <f t="shared" si="30"/>
        <v>591448.76</v>
      </c>
      <c r="M104" s="754">
        <f t="shared" si="31"/>
        <v>-27403.559999999939</v>
      </c>
      <c r="O104" s="647"/>
      <c r="P104" s="513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31"/>
      <c r="AW104" s="331"/>
      <c r="AX104" s="331"/>
      <c r="AY104" s="331"/>
      <c r="AZ104" s="331"/>
      <c r="BA104" s="331"/>
      <c r="BB104" s="331"/>
    </row>
    <row r="105" spans="2:54">
      <c r="B105" s="156">
        <v>45783</v>
      </c>
      <c r="C105" s="185" t="s">
        <v>2635</v>
      </c>
      <c r="D105" s="402">
        <f t="shared" si="23"/>
        <v>154283.538</v>
      </c>
      <c r="E105" s="376">
        <v>940.18</v>
      </c>
      <c r="F105" s="561">
        <v>164.1</v>
      </c>
      <c r="G105" s="376">
        <f t="shared" si="21"/>
        <v>865.1</v>
      </c>
      <c r="H105" s="402">
        <f t="shared" si="28"/>
        <v>-12320.627999999997</v>
      </c>
      <c r="I105" s="402">
        <f t="shared" si="29"/>
        <v>141962.91</v>
      </c>
      <c r="J105" s="753"/>
      <c r="K105" s="515">
        <f t="shared" si="22"/>
        <v>907.13</v>
      </c>
      <c r="L105" s="648">
        <f t="shared" si="30"/>
        <v>148860.033</v>
      </c>
      <c r="M105" s="754">
        <f t="shared" si="31"/>
        <v>-6897.1229999999923</v>
      </c>
      <c r="O105" s="647"/>
      <c r="P105" s="513"/>
      <c r="R105" s="331"/>
      <c r="S105" s="331"/>
      <c r="T105" s="331"/>
      <c r="U105" s="331"/>
      <c r="V105" s="331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31"/>
      <c r="AW105" s="331"/>
      <c r="AX105" s="331"/>
      <c r="AY105" s="331"/>
      <c r="AZ105" s="331"/>
      <c r="BA105" s="331"/>
      <c r="BB105" s="331"/>
    </row>
    <row r="106" spans="2:54">
      <c r="B106" s="156">
        <v>45783</v>
      </c>
      <c r="C106" s="185" t="s">
        <v>2636</v>
      </c>
      <c r="D106" s="402">
        <f t="shared" si="23"/>
        <v>577270.52</v>
      </c>
      <c r="E106" s="376">
        <v>940.18</v>
      </c>
      <c r="F106" s="561">
        <v>614</v>
      </c>
      <c r="G106" s="376">
        <f t="shared" si="21"/>
        <v>865.1</v>
      </c>
      <c r="H106" s="402">
        <f t="shared" si="28"/>
        <v>-46099.119999999995</v>
      </c>
      <c r="I106" s="402">
        <f t="shared" si="29"/>
        <v>531171.4</v>
      </c>
      <c r="J106" s="753"/>
      <c r="K106" s="515">
        <f t="shared" si="22"/>
        <v>907.13</v>
      </c>
      <c r="L106" s="648">
        <f t="shared" si="30"/>
        <v>556977.81999999995</v>
      </c>
      <c r="M106" s="754">
        <f t="shared" si="31"/>
        <v>-25806.419999999925</v>
      </c>
      <c r="O106" s="647"/>
      <c r="P106" s="513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31"/>
      <c r="AW106" s="331"/>
      <c r="AX106" s="331"/>
      <c r="AY106" s="331"/>
      <c r="AZ106" s="331"/>
      <c r="BA106" s="331"/>
      <c r="BB106" s="331"/>
    </row>
    <row r="107" spans="2:54">
      <c r="B107" s="156">
        <v>45783</v>
      </c>
      <c r="C107" s="185" t="s">
        <v>2637</v>
      </c>
      <c r="D107" s="402">
        <f t="shared" si="23"/>
        <v>1811256.77</v>
      </c>
      <c r="E107" s="376">
        <v>940.18</v>
      </c>
      <c r="F107" s="561">
        <v>1926.5</v>
      </c>
      <c r="G107" s="376">
        <f t="shared" si="21"/>
        <v>865.1</v>
      </c>
      <c r="H107" s="402">
        <f t="shared" si="28"/>
        <v>-144641.61999999988</v>
      </c>
      <c r="I107" s="402">
        <f t="shared" si="29"/>
        <v>1666615.1500000001</v>
      </c>
      <c r="J107" s="753"/>
      <c r="K107" s="515">
        <f t="shared" si="22"/>
        <v>907.13</v>
      </c>
      <c r="L107" s="648">
        <f t="shared" si="30"/>
        <v>1747585.9450000001</v>
      </c>
      <c r="M107" s="754">
        <f t="shared" si="31"/>
        <v>-80970.794999999925</v>
      </c>
      <c r="O107" s="647"/>
      <c r="P107" s="513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31"/>
      <c r="AW107" s="331"/>
      <c r="AX107" s="331"/>
      <c r="AY107" s="331"/>
      <c r="AZ107" s="331"/>
      <c r="BA107" s="331"/>
      <c r="BB107" s="331"/>
    </row>
    <row r="108" spans="2:54">
      <c r="B108" s="156">
        <v>45783</v>
      </c>
      <c r="C108" s="185" t="s">
        <v>2638</v>
      </c>
      <c r="D108" s="402">
        <f t="shared" si="23"/>
        <v>627570.15</v>
      </c>
      <c r="E108" s="376">
        <v>940.18</v>
      </c>
      <c r="F108" s="561">
        <v>667.5</v>
      </c>
      <c r="G108" s="376">
        <f t="shared" si="21"/>
        <v>865.1</v>
      </c>
      <c r="H108" s="402">
        <f t="shared" si="28"/>
        <v>-50115.900000000023</v>
      </c>
      <c r="I108" s="402">
        <f t="shared" si="29"/>
        <v>577454.25</v>
      </c>
      <c r="J108" s="753"/>
      <c r="K108" s="515">
        <f t="shared" si="22"/>
        <v>907.13</v>
      </c>
      <c r="L108" s="648">
        <f t="shared" si="30"/>
        <v>605509.27500000002</v>
      </c>
      <c r="M108" s="754">
        <f t="shared" si="31"/>
        <v>-28055.025000000023</v>
      </c>
      <c r="O108" s="647"/>
      <c r="P108" s="513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</row>
    <row r="109" spans="2:54">
      <c r="B109" s="156">
        <v>45783</v>
      </c>
      <c r="C109" s="185" t="s">
        <v>2639</v>
      </c>
      <c r="D109" s="402">
        <f t="shared" si="23"/>
        <v>1811256.77</v>
      </c>
      <c r="E109" s="376">
        <v>940.18</v>
      </c>
      <c r="F109" s="561">
        <v>1926.5</v>
      </c>
      <c r="G109" s="376">
        <f t="shared" si="21"/>
        <v>865.1</v>
      </c>
      <c r="H109" s="402">
        <f t="shared" si="28"/>
        <v>-144641.61999999988</v>
      </c>
      <c r="I109" s="402">
        <f t="shared" si="29"/>
        <v>1666615.1500000001</v>
      </c>
      <c r="J109" s="753"/>
      <c r="K109" s="515">
        <f t="shared" si="22"/>
        <v>907.13</v>
      </c>
      <c r="L109" s="648">
        <f t="shared" si="30"/>
        <v>1747585.9450000001</v>
      </c>
      <c r="M109" s="754">
        <f t="shared" si="31"/>
        <v>-80970.794999999925</v>
      </c>
      <c r="O109" s="647"/>
      <c r="P109" s="513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31"/>
      <c r="AW109" s="331"/>
      <c r="AX109" s="331"/>
      <c r="AY109" s="331"/>
      <c r="AZ109" s="331"/>
      <c r="BA109" s="331"/>
      <c r="BB109" s="331"/>
    </row>
    <row r="110" spans="2:54">
      <c r="B110" s="156">
        <v>45783</v>
      </c>
      <c r="C110" s="185" t="s">
        <v>2640</v>
      </c>
      <c r="D110" s="402">
        <f t="shared" si="23"/>
        <v>736160.94</v>
      </c>
      <c r="E110" s="376">
        <v>940.18</v>
      </c>
      <c r="F110" s="561">
        <v>783</v>
      </c>
      <c r="G110" s="376">
        <f t="shared" si="21"/>
        <v>865.1</v>
      </c>
      <c r="H110" s="402">
        <f t="shared" si="28"/>
        <v>-58787.639999999898</v>
      </c>
      <c r="I110" s="402">
        <f t="shared" si="29"/>
        <v>677373.3</v>
      </c>
      <c r="J110" s="753"/>
      <c r="K110" s="515">
        <f t="shared" si="22"/>
        <v>907.13</v>
      </c>
      <c r="L110" s="648">
        <f t="shared" si="30"/>
        <v>710282.79</v>
      </c>
      <c r="M110" s="754">
        <f t="shared" si="31"/>
        <v>-32909.489999999991</v>
      </c>
      <c r="O110" s="647"/>
      <c r="P110" s="513"/>
      <c r="R110" s="331"/>
      <c r="S110" s="331"/>
      <c r="T110" s="331"/>
      <c r="U110" s="331"/>
      <c r="V110" s="331"/>
      <c r="W110" s="331"/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31"/>
      <c r="AW110" s="331"/>
      <c r="AX110" s="331"/>
      <c r="AY110" s="331"/>
      <c r="AZ110" s="331"/>
      <c r="BA110" s="331"/>
      <c r="BB110" s="331"/>
    </row>
    <row r="111" spans="2:54">
      <c r="B111" s="156">
        <v>45783</v>
      </c>
      <c r="C111" s="185" t="s">
        <v>2641</v>
      </c>
      <c r="D111" s="402">
        <f t="shared" si="23"/>
        <v>669878.25</v>
      </c>
      <c r="E111" s="376">
        <v>940.18</v>
      </c>
      <c r="F111" s="561">
        <v>712.5</v>
      </c>
      <c r="G111" s="376">
        <f t="shared" si="21"/>
        <v>865.1</v>
      </c>
      <c r="H111" s="402">
        <f t="shared" si="28"/>
        <v>-53494.5</v>
      </c>
      <c r="I111" s="402">
        <f t="shared" si="29"/>
        <v>616383.75</v>
      </c>
      <c r="J111" s="753"/>
      <c r="K111" s="515">
        <f t="shared" si="22"/>
        <v>907.13</v>
      </c>
      <c r="L111" s="648">
        <f t="shared" si="30"/>
        <v>646330.125</v>
      </c>
      <c r="M111" s="754">
        <f t="shared" si="31"/>
        <v>-29946.375</v>
      </c>
      <c r="O111" s="647"/>
      <c r="P111" s="513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31"/>
      <c r="AW111" s="331"/>
      <c r="AX111" s="331"/>
      <c r="AY111" s="331"/>
      <c r="AZ111" s="331"/>
      <c r="BA111" s="331"/>
      <c r="BB111" s="331"/>
    </row>
    <row r="112" spans="2:54">
      <c r="B112" s="156">
        <v>45783</v>
      </c>
      <c r="C112" s="185" t="s">
        <v>2642</v>
      </c>
      <c r="D112" s="402">
        <f t="shared" si="23"/>
        <v>5398795.6140000001</v>
      </c>
      <c r="E112" s="376">
        <v>940.18</v>
      </c>
      <c r="F112" s="561">
        <v>5742.3</v>
      </c>
      <c r="G112" s="376">
        <f t="shared" ref="G112:G175" si="32">+G111</f>
        <v>865.1</v>
      </c>
      <c r="H112" s="402">
        <f t="shared" si="28"/>
        <v>-431131.88399999961</v>
      </c>
      <c r="I112" s="402">
        <f t="shared" si="29"/>
        <v>4967663.7300000004</v>
      </c>
      <c r="J112" s="753"/>
      <c r="K112" s="515">
        <f t="shared" ref="K112:K175" si="33">+K111</f>
        <v>907.13</v>
      </c>
      <c r="L112" s="648">
        <f t="shared" si="30"/>
        <v>5209012.5990000004</v>
      </c>
      <c r="M112" s="754">
        <f t="shared" si="31"/>
        <v>-241348.86899999995</v>
      </c>
      <c r="O112" s="647"/>
      <c r="P112" s="513"/>
      <c r="R112" s="331"/>
      <c r="S112" s="331"/>
      <c r="T112" s="331"/>
      <c r="U112" s="331"/>
      <c r="V112" s="331"/>
      <c r="W112" s="331"/>
      <c r="X112" s="331"/>
      <c r="Y112" s="331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31"/>
      <c r="AW112" s="331"/>
      <c r="AX112" s="331"/>
      <c r="AY112" s="331"/>
      <c r="AZ112" s="331"/>
      <c r="BA112" s="331"/>
      <c r="BB112" s="331"/>
    </row>
    <row r="113" spans="2:54">
      <c r="B113" s="156">
        <v>45783</v>
      </c>
      <c r="C113" s="185" t="s">
        <v>2643</v>
      </c>
      <c r="D113" s="402">
        <f t="shared" si="23"/>
        <v>10320073.806</v>
      </c>
      <c r="E113" s="376">
        <v>940.18</v>
      </c>
      <c r="F113" s="561">
        <v>10976.7</v>
      </c>
      <c r="G113" s="376">
        <f t="shared" si="32"/>
        <v>865.1</v>
      </c>
      <c r="H113" s="402">
        <f t="shared" si="28"/>
        <v>-824130.63599999808</v>
      </c>
      <c r="I113" s="402">
        <f t="shared" si="29"/>
        <v>9495943.1700000018</v>
      </c>
      <c r="J113" s="753"/>
      <c r="K113" s="515">
        <f t="shared" si="33"/>
        <v>907.13</v>
      </c>
      <c r="L113" s="648">
        <f t="shared" si="30"/>
        <v>9957293.8710000012</v>
      </c>
      <c r="M113" s="754">
        <f t="shared" si="31"/>
        <v>-461350.70099999942</v>
      </c>
      <c r="O113" s="647"/>
      <c r="P113" s="513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31"/>
      <c r="AW113" s="331"/>
      <c r="AX113" s="331"/>
      <c r="AY113" s="331"/>
      <c r="AZ113" s="331"/>
      <c r="BA113" s="331"/>
      <c r="BB113" s="331"/>
    </row>
    <row r="114" spans="2:54">
      <c r="B114" s="156">
        <v>45783</v>
      </c>
      <c r="C114" s="185" t="s">
        <v>2644</v>
      </c>
      <c r="D114" s="402">
        <f t="shared" si="23"/>
        <v>26262612.047999997</v>
      </c>
      <c r="E114" s="376">
        <v>940.18</v>
      </c>
      <c r="F114" s="561">
        <v>27933.599999999999</v>
      </c>
      <c r="G114" s="376">
        <f t="shared" si="32"/>
        <v>865.1</v>
      </c>
      <c r="H114" s="402">
        <f t="shared" si="28"/>
        <v>-2097254.6879999973</v>
      </c>
      <c r="I114" s="402">
        <f t="shared" si="29"/>
        <v>24165357.359999999</v>
      </c>
      <c r="J114" s="753"/>
      <c r="K114" s="515">
        <f t="shared" si="33"/>
        <v>907.13</v>
      </c>
      <c r="L114" s="648">
        <f t="shared" si="30"/>
        <v>25339406.568</v>
      </c>
      <c r="M114" s="754">
        <f t="shared" si="31"/>
        <v>-1174049.2080000006</v>
      </c>
      <c r="O114" s="647"/>
      <c r="P114" s="513"/>
      <c r="R114" s="331"/>
      <c r="S114" s="331"/>
      <c r="T114" s="331"/>
      <c r="U114" s="331"/>
      <c r="V114" s="331"/>
      <c r="W114" s="331"/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31"/>
      <c r="AW114" s="331"/>
      <c r="AX114" s="331"/>
      <c r="AY114" s="331"/>
      <c r="AZ114" s="331"/>
      <c r="BA114" s="331"/>
      <c r="BB114" s="331"/>
    </row>
    <row r="115" spans="2:54">
      <c r="B115" s="156">
        <v>45783</v>
      </c>
      <c r="C115" s="185" t="s">
        <v>2645</v>
      </c>
      <c r="D115" s="402">
        <f t="shared" si="23"/>
        <v>547184.76</v>
      </c>
      <c r="E115" s="376">
        <v>940.18</v>
      </c>
      <c r="F115" s="561">
        <v>582</v>
      </c>
      <c r="G115" s="376">
        <f t="shared" si="32"/>
        <v>865.1</v>
      </c>
      <c r="H115" s="402">
        <f t="shared" si="28"/>
        <v>-43696.56</v>
      </c>
      <c r="I115" s="402">
        <f t="shared" si="29"/>
        <v>503488.2</v>
      </c>
      <c r="J115" s="753"/>
      <c r="K115" s="515">
        <f t="shared" si="33"/>
        <v>907.13</v>
      </c>
      <c r="L115" s="648">
        <f t="shared" si="30"/>
        <v>527949.66</v>
      </c>
      <c r="M115" s="754">
        <f t="shared" si="31"/>
        <v>-24461.460000000021</v>
      </c>
      <c r="O115" s="647"/>
      <c r="P115" s="513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31"/>
      <c r="AW115" s="331"/>
      <c r="AX115" s="331"/>
      <c r="AY115" s="331"/>
      <c r="AZ115" s="331"/>
      <c r="BA115" s="331"/>
      <c r="BB115" s="331"/>
    </row>
    <row r="116" spans="2:54">
      <c r="B116" s="156">
        <v>45783</v>
      </c>
      <c r="C116" s="185" t="s">
        <v>2646</v>
      </c>
      <c r="D116" s="402">
        <f t="shared" si="23"/>
        <v>8745930.432</v>
      </c>
      <c r="E116" s="376">
        <v>940.18</v>
      </c>
      <c r="F116" s="561">
        <v>9302.4</v>
      </c>
      <c r="G116" s="376">
        <f t="shared" si="32"/>
        <v>865.1</v>
      </c>
      <c r="H116" s="402">
        <f t="shared" si="28"/>
        <v>-698424.19199999981</v>
      </c>
      <c r="I116" s="402">
        <f t="shared" si="29"/>
        <v>8047506.2400000002</v>
      </c>
      <c r="J116" s="753"/>
      <c r="K116" s="515">
        <f t="shared" si="33"/>
        <v>907.13</v>
      </c>
      <c r="L116" s="648">
        <f t="shared" si="30"/>
        <v>8438486.1119999997</v>
      </c>
      <c r="M116" s="754">
        <f t="shared" si="31"/>
        <v>-390979.87199999951</v>
      </c>
      <c r="O116" s="647"/>
      <c r="P116" s="513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31"/>
      <c r="AW116" s="331"/>
      <c r="AX116" s="331"/>
      <c r="AY116" s="331"/>
      <c r="AZ116" s="331"/>
      <c r="BA116" s="331"/>
      <c r="BB116" s="331"/>
    </row>
    <row r="117" spans="2:54">
      <c r="B117" s="156">
        <v>45783</v>
      </c>
      <c r="C117" s="185" t="s">
        <v>2647</v>
      </c>
      <c r="D117" s="402">
        <f t="shared" si="23"/>
        <v>4329528.8999999994</v>
      </c>
      <c r="E117" s="376">
        <v>940.18</v>
      </c>
      <c r="F117" s="561">
        <v>4605</v>
      </c>
      <c r="G117" s="376">
        <f t="shared" si="32"/>
        <v>865.1</v>
      </c>
      <c r="H117" s="402">
        <f t="shared" si="28"/>
        <v>-345743.39999999944</v>
      </c>
      <c r="I117" s="402">
        <f t="shared" si="29"/>
        <v>3983785.5</v>
      </c>
      <c r="J117" s="753"/>
      <c r="K117" s="515">
        <f t="shared" si="33"/>
        <v>907.13</v>
      </c>
      <c r="L117" s="648">
        <f t="shared" si="30"/>
        <v>4177333.65</v>
      </c>
      <c r="M117" s="754">
        <f t="shared" si="31"/>
        <v>-193548.14999999991</v>
      </c>
      <c r="O117" s="647"/>
      <c r="P117" s="513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31"/>
      <c r="AW117" s="331"/>
      <c r="AX117" s="331"/>
      <c r="AY117" s="331"/>
      <c r="AZ117" s="331"/>
      <c r="BA117" s="331"/>
      <c r="BB117" s="331"/>
    </row>
    <row r="118" spans="2:54">
      <c r="B118" s="156">
        <v>45783</v>
      </c>
      <c r="C118" s="185" t="s">
        <v>2648</v>
      </c>
      <c r="D118" s="402">
        <f t="shared" si="23"/>
        <v>9117395.5499999989</v>
      </c>
      <c r="E118" s="376">
        <v>940.18</v>
      </c>
      <c r="F118" s="561">
        <v>9697.5</v>
      </c>
      <c r="G118" s="376">
        <f t="shared" si="32"/>
        <v>865.1</v>
      </c>
      <c r="H118" s="402">
        <f t="shared" si="28"/>
        <v>-728088.29999999888</v>
      </c>
      <c r="I118" s="402">
        <f t="shared" si="29"/>
        <v>8389307.25</v>
      </c>
      <c r="J118" s="753"/>
      <c r="K118" s="515">
        <f t="shared" si="33"/>
        <v>907.13</v>
      </c>
      <c r="L118" s="648">
        <f t="shared" si="30"/>
        <v>8796893.1750000007</v>
      </c>
      <c r="M118" s="754">
        <f t="shared" si="31"/>
        <v>-407585.92500000075</v>
      </c>
      <c r="O118" s="647"/>
      <c r="P118" s="513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31"/>
      <c r="AW118" s="331"/>
      <c r="AX118" s="331"/>
      <c r="AY118" s="331"/>
      <c r="AZ118" s="331"/>
      <c r="BA118" s="331"/>
      <c r="BB118" s="331"/>
    </row>
    <row r="119" spans="2:54">
      <c r="B119" s="156">
        <v>45783</v>
      </c>
      <c r="C119" s="185" t="s">
        <v>2649</v>
      </c>
      <c r="D119" s="402">
        <f t="shared" si="23"/>
        <v>483252.51999999996</v>
      </c>
      <c r="E119" s="376">
        <v>940.18</v>
      </c>
      <c r="F119" s="561">
        <v>514</v>
      </c>
      <c r="G119" s="376">
        <f t="shared" si="32"/>
        <v>865.1</v>
      </c>
      <c r="H119" s="402">
        <f t="shared" si="28"/>
        <v>-38591.119999999937</v>
      </c>
      <c r="I119" s="402">
        <f t="shared" si="29"/>
        <v>444661.4</v>
      </c>
      <c r="J119" s="753"/>
      <c r="K119" s="515">
        <f t="shared" si="33"/>
        <v>907.13</v>
      </c>
      <c r="L119" s="648">
        <f t="shared" si="30"/>
        <v>466264.82</v>
      </c>
      <c r="M119" s="754">
        <f t="shared" si="31"/>
        <v>-21603.419999999984</v>
      </c>
      <c r="O119" s="647"/>
      <c r="P119" s="513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31"/>
      <c r="AW119" s="331"/>
      <c r="AX119" s="331"/>
      <c r="AY119" s="331"/>
      <c r="AZ119" s="331"/>
      <c r="BA119" s="331"/>
      <c r="BB119" s="331"/>
    </row>
    <row r="120" spans="2:54">
      <c r="B120" s="156">
        <v>45783</v>
      </c>
      <c r="C120" s="185" t="s">
        <v>2650</v>
      </c>
      <c r="D120" s="402">
        <f t="shared" si="23"/>
        <v>1579502.4</v>
      </c>
      <c r="E120" s="376">
        <v>940.18</v>
      </c>
      <c r="F120" s="561">
        <v>1680</v>
      </c>
      <c r="G120" s="376">
        <f t="shared" si="32"/>
        <v>865.1</v>
      </c>
      <c r="H120" s="402">
        <f t="shared" si="28"/>
        <v>-126134.39999999991</v>
      </c>
      <c r="I120" s="402">
        <f t="shared" si="29"/>
        <v>1453368</v>
      </c>
      <c r="J120" s="753"/>
      <c r="K120" s="515">
        <f t="shared" si="33"/>
        <v>907.13</v>
      </c>
      <c r="L120" s="648">
        <f t="shared" si="30"/>
        <v>1523978.4</v>
      </c>
      <c r="M120" s="754">
        <f t="shared" si="31"/>
        <v>-70610.399999999907</v>
      </c>
      <c r="O120" s="647"/>
      <c r="P120" s="513"/>
      <c r="R120" s="331"/>
      <c r="S120" s="331"/>
      <c r="T120" s="331"/>
      <c r="U120" s="331"/>
      <c r="V120" s="331"/>
      <c r="W120" s="331"/>
      <c r="X120" s="331"/>
      <c r="Y120" s="331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31"/>
      <c r="AW120" s="331"/>
      <c r="AX120" s="331"/>
      <c r="AY120" s="331"/>
      <c r="AZ120" s="331"/>
      <c r="BA120" s="331"/>
      <c r="BB120" s="331"/>
    </row>
    <row r="121" spans="2:54">
      <c r="B121" s="156">
        <v>45783</v>
      </c>
      <c r="C121" s="185" t="s">
        <v>2651</v>
      </c>
      <c r="D121" s="402">
        <f t="shared" si="23"/>
        <v>627570.15</v>
      </c>
      <c r="E121" s="376">
        <v>940.18</v>
      </c>
      <c r="F121" s="561">
        <v>667.5</v>
      </c>
      <c r="G121" s="376">
        <f t="shared" si="32"/>
        <v>865.1</v>
      </c>
      <c r="H121" s="402">
        <f t="shared" si="28"/>
        <v>-50115.900000000023</v>
      </c>
      <c r="I121" s="402">
        <f t="shared" si="29"/>
        <v>577454.25</v>
      </c>
      <c r="J121" s="753"/>
      <c r="K121" s="515">
        <f t="shared" si="33"/>
        <v>907.13</v>
      </c>
      <c r="L121" s="648">
        <f t="shared" si="30"/>
        <v>605509.27500000002</v>
      </c>
      <c r="M121" s="754">
        <f t="shared" si="31"/>
        <v>-28055.025000000023</v>
      </c>
      <c r="O121" s="647"/>
      <c r="P121" s="513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31"/>
      <c r="AW121" s="331"/>
      <c r="AX121" s="331"/>
      <c r="AY121" s="331"/>
      <c r="AZ121" s="331"/>
      <c r="BA121" s="331"/>
      <c r="BB121" s="331"/>
    </row>
    <row r="122" spans="2:54">
      <c r="B122" s="156">
        <v>45783</v>
      </c>
      <c r="C122" s="185" t="s">
        <v>2652</v>
      </c>
      <c r="D122" s="402">
        <f t="shared" si="23"/>
        <v>1811256.77</v>
      </c>
      <c r="E122" s="376">
        <v>940.18</v>
      </c>
      <c r="F122" s="561">
        <v>1926.5</v>
      </c>
      <c r="G122" s="376">
        <f t="shared" si="32"/>
        <v>865.1</v>
      </c>
      <c r="H122" s="402">
        <f t="shared" si="28"/>
        <v>-144641.61999999988</v>
      </c>
      <c r="I122" s="402">
        <f t="shared" si="29"/>
        <v>1666615.1500000001</v>
      </c>
      <c r="J122" s="753"/>
      <c r="K122" s="515">
        <f t="shared" si="33"/>
        <v>907.13</v>
      </c>
      <c r="L122" s="648">
        <f t="shared" si="30"/>
        <v>1747585.9450000001</v>
      </c>
      <c r="M122" s="754">
        <f t="shared" si="31"/>
        <v>-80970.794999999925</v>
      </c>
      <c r="O122" s="647"/>
      <c r="P122" s="513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31"/>
      <c r="AW122" s="331"/>
      <c r="AX122" s="331"/>
      <c r="AY122" s="331"/>
      <c r="AZ122" s="331"/>
      <c r="BA122" s="331"/>
      <c r="BB122" s="331"/>
    </row>
    <row r="123" spans="2:54">
      <c r="B123" s="156">
        <v>45783</v>
      </c>
      <c r="C123" s="185" t="s">
        <v>2653</v>
      </c>
      <c r="D123" s="402">
        <f t="shared" si="23"/>
        <v>966505.03999999992</v>
      </c>
      <c r="E123" s="376">
        <v>940.18</v>
      </c>
      <c r="F123" s="561">
        <v>1028</v>
      </c>
      <c r="G123" s="376">
        <f t="shared" si="32"/>
        <v>865.1</v>
      </c>
      <c r="H123" s="402">
        <f t="shared" si="28"/>
        <v>-77182.239999999874</v>
      </c>
      <c r="I123" s="402">
        <f t="shared" si="29"/>
        <v>889322.8</v>
      </c>
      <c r="J123" s="753"/>
      <c r="K123" s="515">
        <f t="shared" si="33"/>
        <v>907.13</v>
      </c>
      <c r="L123" s="648">
        <f t="shared" si="30"/>
        <v>932529.64</v>
      </c>
      <c r="M123" s="754">
        <f t="shared" si="31"/>
        <v>-43206.839999999967</v>
      </c>
      <c r="O123" s="647"/>
      <c r="P123" s="513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31"/>
      <c r="AW123" s="331"/>
      <c r="AX123" s="331"/>
      <c r="AY123" s="331"/>
      <c r="AZ123" s="331"/>
      <c r="BA123" s="331"/>
      <c r="BB123" s="331"/>
    </row>
    <row r="124" spans="2:54">
      <c r="B124" s="156">
        <v>45783</v>
      </c>
      <c r="C124" s="185" t="s">
        <v>2654</v>
      </c>
      <c r="D124" s="402">
        <f t="shared" si="23"/>
        <v>1579502.4</v>
      </c>
      <c r="E124" s="376">
        <v>940.18</v>
      </c>
      <c r="F124" s="561">
        <v>1680</v>
      </c>
      <c r="G124" s="376">
        <f t="shared" si="32"/>
        <v>865.1</v>
      </c>
      <c r="H124" s="402">
        <f t="shared" si="28"/>
        <v>-126134.39999999991</v>
      </c>
      <c r="I124" s="402">
        <f t="shared" si="29"/>
        <v>1453368</v>
      </c>
      <c r="J124" s="753"/>
      <c r="K124" s="515">
        <f t="shared" si="33"/>
        <v>907.13</v>
      </c>
      <c r="L124" s="648">
        <f t="shared" si="30"/>
        <v>1523978.4</v>
      </c>
      <c r="M124" s="754">
        <f t="shared" si="31"/>
        <v>-70610.399999999907</v>
      </c>
      <c r="O124" s="647"/>
      <c r="P124" s="513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31"/>
      <c r="AW124" s="331"/>
      <c r="AX124" s="331"/>
      <c r="AY124" s="331"/>
      <c r="AZ124" s="331"/>
      <c r="BA124" s="331"/>
      <c r="BB124" s="331"/>
    </row>
    <row r="125" spans="2:54">
      <c r="B125" s="156">
        <v>45783</v>
      </c>
      <c r="C125" s="185" t="s">
        <v>2655</v>
      </c>
      <c r="D125" s="402">
        <f t="shared" si="23"/>
        <v>577270.52</v>
      </c>
      <c r="E125" s="376">
        <v>940.18</v>
      </c>
      <c r="F125" s="561">
        <v>614</v>
      </c>
      <c r="G125" s="376">
        <f t="shared" si="32"/>
        <v>865.1</v>
      </c>
      <c r="H125" s="402">
        <f t="shared" si="28"/>
        <v>-46099.119999999995</v>
      </c>
      <c r="I125" s="402">
        <f t="shared" si="29"/>
        <v>531171.4</v>
      </c>
      <c r="J125" s="753"/>
      <c r="K125" s="515">
        <f t="shared" si="33"/>
        <v>907.13</v>
      </c>
      <c r="L125" s="648">
        <f t="shared" si="30"/>
        <v>556977.81999999995</v>
      </c>
      <c r="M125" s="754">
        <f t="shared" si="31"/>
        <v>-25806.419999999925</v>
      </c>
      <c r="O125" s="647"/>
      <c r="P125" s="513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31"/>
      <c r="AW125" s="331"/>
      <c r="AX125" s="331"/>
      <c r="AY125" s="331"/>
      <c r="AZ125" s="331"/>
      <c r="BA125" s="331"/>
      <c r="BB125" s="331"/>
    </row>
    <row r="126" spans="2:54">
      <c r="B126" s="156">
        <v>45783</v>
      </c>
      <c r="C126" s="185" t="s">
        <v>2656</v>
      </c>
      <c r="D126" s="402">
        <f t="shared" si="23"/>
        <v>1670699.8599999999</v>
      </c>
      <c r="E126" s="376">
        <v>940.18</v>
      </c>
      <c r="F126" s="561">
        <v>1777</v>
      </c>
      <c r="G126" s="376">
        <f t="shared" si="32"/>
        <v>865.1</v>
      </c>
      <c r="H126" s="402">
        <f t="shared" si="28"/>
        <v>-133417.15999999992</v>
      </c>
      <c r="I126" s="402">
        <f t="shared" si="29"/>
        <v>1537282.7</v>
      </c>
      <c r="J126" s="753"/>
      <c r="K126" s="515">
        <f t="shared" si="33"/>
        <v>907.13</v>
      </c>
      <c r="L126" s="648">
        <f t="shared" si="30"/>
        <v>1611970.01</v>
      </c>
      <c r="M126" s="754">
        <f t="shared" si="31"/>
        <v>-74687.310000000056</v>
      </c>
      <c r="O126" s="647"/>
      <c r="P126" s="513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31"/>
      <c r="AW126" s="331"/>
      <c r="AX126" s="331"/>
      <c r="AY126" s="331"/>
      <c r="AZ126" s="331"/>
      <c r="BA126" s="331"/>
      <c r="BB126" s="331"/>
    </row>
    <row r="127" spans="2:54">
      <c r="B127" s="156">
        <v>45783</v>
      </c>
      <c r="C127" s="185" t="s">
        <v>2657</v>
      </c>
      <c r="D127" s="402">
        <f t="shared" si="23"/>
        <v>11347596.527999999</v>
      </c>
      <c r="E127" s="376">
        <v>940.18</v>
      </c>
      <c r="F127" s="561">
        <v>12069.6</v>
      </c>
      <c r="G127" s="376">
        <f t="shared" si="32"/>
        <v>865.1</v>
      </c>
      <c r="H127" s="402">
        <f t="shared" si="28"/>
        <v>-906185.56799999811</v>
      </c>
      <c r="I127" s="402">
        <f t="shared" si="29"/>
        <v>10441410.960000001</v>
      </c>
      <c r="J127" s="753"/>
      <c r="K127" s="515">
        <f t="shared" si="33"/>
        <v>907.13</v>
      </c>
      <c r="L127" s="648">
        <f t="shared" si="30"/>
        <v>10948696.248</v>
      </c>
      <c r="M127" s="754">
        <f t="shared" si="31"/>
        <v>-507285.28799999878</v>
      </c>
      <c r="O127" s="647"/>
      <c r="P127" s="513"/>
      <c r="R127" s="331"/>
      <c r="S127" s="331"/>
      <c r="T127" s="331"/>
      <c r="U127" s="331"/>
      <c r="V127" s="331"/>
      <c r="W127" s="331"/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31"/>
      <c r="AW127" s="331"/>
      <c r="AX127" s="331"/>
      <c r="AY127" s="331"/>
      <c r="AZ127" s="331"/>
      <c r="BA127" s="331"/>
      <c r="BB127" s="331"/>
    </row>
    <row r="128" spans="2:54">
      <c r="B128" s="156">
        <v>45783</v>
      </c>
      <c r="C128" s="185" t="s">
        <v>2658</v>
      </c>
      <c r="D128" s="402">
        <f t="shared" si="23"/>
        <v>189916.36</v>
      </c>
      <c r="E128" s="376">
        <v>940.18</v>
      </c>
      <c r="F128" s="561">
        <v>202</v>
      </c>
      <c r="G128" s="376">
        <f t="shared" si="32"/>
        <v>865.1</v>
      </c>
      <c r="H128" s="402">
        <f t="shared" si="28"/>
        <v>-15166.159999999974</v>
      </c>
      <c r="I128" s="402">
        <f t="shared" si="29"/>
        <v>174750.2</v>
      </c>
      <c r="J128" s="753"/>
      <c r="K128" s="515">
        <f t="shared" si="33"/>
        <v>907.13</v>
      </c>
      <c r="L128" s="648">
        <f t="shared" si="30"/>
        <v>183240.26</v>
      </c>
      <c r="M128" s="754">
        <f t="shared" si="31"/>
        <v>-8490.0599999999977</v>
      </c>
      <c r="O128" s="647"/>
      <c r="P128" s="513"/>
      <c r="R128" s="331"/>
      <c r="S128" s="331"/>
      <c r="T128" s="331"/>
      <c r="U128" s="331"/>
      <c r="V128" s="331"/>
      <c r="W128" s="331"/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31"/>
      <c r="AW128" s="331"/>
      <c r="AX128" s="331"/>
      <c r="AY128" s="331"/>
      <c r="AZ128" s="331"/>
      <c r="BA128" s="331"/>
      <c r="BB128" s="331"/>
    </row>
    <row r="129" spans="2:54">
      <c r="B129" s="156">
        <v>45783</v>
      </c>
      <c r="C129" s="185" t="s">
        <v>2659</v>
      </c>
      <c r="D129" s="402">
        <f t="shared" si="23"/>
        <v>1471757.7720000001</v>
      </c>
      <c r="E129" s="376">
        <v>940.18</v>
      </c>
      <c r="F129" s="561">
        <v>1565.4</v>
      </c>
      <c r="G129" s="376">
        <f t="shared" si="32"/>
        <v>865.1</v>
      </c>
      <c r="H129" s="402">
        <f t="shared" si="28"/>
        <v>-117530.23200000008</v>
      </c>
      <c r="I129" s="402">
        <f t="shared" si="29"/>
        <v>1354227.54</v>
      </c>
      <c r="J129" s="753"/>
      <c r="K129" s="515">
        <f t="shared" si="33"/>
        <v>907.13</v>
      </c>
      <c r="L129" s="648">
        <f t="shared" si="30"/>
        <v>1420021.3020000001</v>
      </c>
      <c r="M129" s="754">
        <f t="shared" si="31"/>
        <v>-65793.762000000104</v>
      </c>
      <c r="O129" s="647"/>
      <c r="P129" s="513"/>
      <c r="R129" s="331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31"/>
      <c r="AW129" s="331"/>
      <c r="AX129" s="331"/>
      <c r="AY129" s="331"/>
      <c r="AZ129" s="331"/>
      <c r="BA129" s="331"/>
      <c r="BB129" s="331"/>
    </row>
    <row r="130" spans="2:54">
      <c r="B130" s="156">
        <v>45783</v>
      </c>
      <c r="C130" s="185" t="s">
        <v>2660</v>
      </c>
      <c r="D130" s="402">
        <f t="shared" si="23"/>
        <v>483252.51999999996</v>
      </c>
      <c r="E130" s="376">
        <v>940.18</v>
      </c>
      <c r="F130" s="561">
        <v>514</v>
      </c>
      <c r="G130" s="376">
        <f t="shared" si="32"/>
        <v>865.1</v>
      </c>
      <c r="H130" s="402">
        <f t="shared" si="28"/>
        <v>-38591.119999999937</v>
      </c>
      <c r="I130" s="402">
        <f t="shared" si="29"/>
        <v>444661.4</v>
      </c>
      <c r="J130" s="753"/>
      <c r="K130" s="515">
        <f t="shared" si="33"/>
        <v>907.13</v>
      </c>
      <c r="L130" s="648">
        <f t="shared" si="30"/>
        <v>466264.82</v>
      </c>
      <c r="M130" s="754">
        <f t="shared" si="31"/>
        <v>-21603.419999999984</v>
      </c>
      <c r="O130" s="647"/>
      <c r="P130" s="513"/>
      <c r="R130" s="331"/>
      <c r="S130" s="331"/>
      <c r="T130" s="331"/>
      <c r="U130" s="331"/>
      <c r="V130" s="331"/>
      <c r="W130" s="331"/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31"/>
      <c r="AW130" s="331"/>
      <c r="AX130" s="331"/>
      <c r="AY130" s="331"/>
      <c r="AZ130" s="331"/>
      <c r="BA130" s="331"/>
      <c r="BB130" s="331"/>
    </row>
    <row r="131" spans="2:54">
      <c r="B131" s="156">
        <v>45783</v>
      </c>
      <c r="C131" s="185" t="s">
        <v>2661</v>
      </c>
      <c r="D131" s="402">
        <f t="shared" si="23"/>
        <v>1579502.4</v>
      </c>
      <c r="E131" s="376">
        <v>940.18</v>
      </c>
      <c r="F131" s="561">
        <v>1680</v>
      </c>
      <c r="G131" s="376">
        <f t="shared" si="32"/>
        <v>865.1</v>
      </c>
      <c r="H131" s="402">
        <f t="shared" si="28"/>
        <v>-126134.39999999991</v>
      </c>
      <c r="I131" s="402">
        <f t="shared" si="29"/>
        <v>1453368</v>
      </c>
      <c r="J131" s="753"/>
      <c r="K131" s="515">
        <f t="shared" si="33"/>
        <v>907.13</v>
      </c>
      <c r="L131" s="648">
        <f t="shared" si="30"/>
        <v>1523978.4</v>
      </c>
      <c r="M131" s="754">
        <f t="shared" si="31"/>
        <v>-70610.399999999907</v>
      </c>
      <c r="O131" s="647"/>
      <c r="P131" s="513"/>
      <c r="R131" s="331"/>
      <c r="S131" s="331"/>
      <c r="T131" s="331"/>
      <c r="U131" s="331"/>
      <c r="V131" s="331"/>
      <c r="W131" s="331"/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31"/>
      <c r="AW131" s="331"/>
      <c r="AX131" s="331"/>
      <c r="AY131" s="331"/>
      <c r="AZ131" s="331"/>
      <c r="BA131" s="331"/>
      <c r="BB131" s="331"/>
    </row>
    <row r="132" spans="2:54">
      <c r="B132" s="156">
        <v>45783</v>
      </c>
      <c r="C132" s="185" t="s">
        <v>2662</v>
      </c>
      <c r="D132" s="402">
        <f t="shared" si="23"/>
        <v>577270.52</v>
      </c>
      <c r="E132" s="376">
        <v>940.18</v>
      </c>
      <c r="F132" s="561">
        <v>614</v>
      </c>
      <c r="G132" s="376">
        <f t="shared" si="32"/>
        <v>865.1</v>
      </c>
      <c r="H132" s="402">
        <f t="shared" si="28"/>
        <v>-46099.119999999995</v>
      </c>
      <c r="I132" s="402">
        <f t="shared" si="29"/>
        <v>531171.4</v>
      </c>
      <c r="J132" s="753"/>
      <c r="K132" s="515">
        <f t="shared" si="33"/>
        <v>907.13</v>
      </c>
      <c r="L132" s="648">
        <f t="shared" si="30"/>
        <v>556977.81999999995</v>
      </c>
      <c r="M132" s="754">
        <f t="shared" si="31"/>
        <v>-25806.419999999925</v>
      </c>
      <c r="O132" s="647"/>
      <c r="P132" s="513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31"/>
      <c r="AW132" s="331"/>
      <c r="AX132" s="331"/>
      <c r="AY132" s="331"/>
      <c r="AZ132" s="331"/>
      <c r="BA132" s="331"/>
      <c r="BB132" s="331"/>
    </row>
    <row r="133" spans="2:54">
      <c r="B133" s="156">
        <v>45783</v>
      </c>
      <c r="C133" s="185" t="s">
        <v>2663</v>
      </c>
      <c r="D133" s="402">
        <f t="shared" si="23"/>
        <v>1811256.77</v>
      </c>
      <c r="E133" s="376">
        <v>940.18</v>
      </c>
      <c r="F133" s="561">
        <v>1926.5</v>
      </c>
      <c r="G133" s="376">
        <f t="shared" si="32"/>
        <v>865.1</v>
      </c>
      <c r="H133" s="402">
        <f t="shared" si="28"/>
        <v>-144641.61999999988</v>
      </c>
      <c r="I133" s="402">
        <f t="shared" si="29"/>
        <v>1666615.1500000001</v>
      </c>
      <c r="J133" s="753"/>
      <c r="K133" s="515">
        <f t="shared" si="33"/>
        <v>907.13</v>
      </c>
      <c r="L133" s="648">
        <f t="shared" si="30"/>
        <v>1747585.9450000001</v>
      </c>
      <c r="M133" s="754">
        <f t="shared" si="31"/>
        <v>-80970.794999999925</v>
      </c>
      <c r="O133" s="647"/>
      <c r="P133" s="513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31"/>
      <c r="AW133" s="331"/>
      <c r="AX133" s="331"/>
      <c r="AY133" s="331"/>
      <c r="AZ133" s="331"/>
      <c r="BA133" s="331"/>
      <c r="BB133" s="331"/>
    </row>
    <row r="134" spans="2:54">
      <c r="B134" s="156">
        <v>45783</v>
      </c>
      <c r="C134" s="185" t="s">
        <v>2664</v>
      </c>
      <c r="D134" s="402">
        <f t="shared" si="23"/>
        <v>1670699.8599999999</v>
      </c>
      <c r="E134" s="376">
        <v>940.18</v>
      </c>
      <c r="F134" s="561">
        <v>1777</v>
      </c>
      <c r="G134" s="376">
        <f t="shared" si="32"/>
        <v>865.1</v>
      </c>
      <c r="H134" s="402">
        <f t="shared" si="28"/>
        <v>-133417.15999999992</v>
      </c>
      <c r="I134" s="402">
        <f t="shared" si="29"/>
        <v>1537282.7</v>
      </c>
      <c r="J134" s="753"/>
      <c r="K134" s="515">
        <f t="shared" si="33"/>
        <v>907.13</v>
      </c>
      <c r="L134" s="648">
        <f t="shared" si="30"/>
        <v>1611970.01</v>
      </c>
      <c r="M134" s="754">
        <f t="shared" si="31"/>
        <v>-74687.310000000056</v>
      </c>
      <c r="O134" s="647"/>
      <c r="P134" s="513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31"/>
      <c r="AW134" s="331"/>
      <c r="AX134" s="331"/>
      <c r="AY134" s="331"/>
      <c r="AZ134" s="331"/>
      <c r="BA134" s="331"/>
      <c r="BB134" s="331"/>
    </row>
    <row r="135" spans="2:54">
      <c r="B135" s="156">
        <v>45793</v>
      </c>
      <c r="C135" s="185" t="s">
        <v>2665</v>
      </c>
      <c r="D135" s="402">
        <f t="shared" si="23"/>
        <v>10852365.5</v>
      </c>
      <c r="E135" s="376">
        <v>940.25</v>
      </c>
      <c r="F135" s="561">
        <v>11542</v>
      </c>
      <c r="G135" s="376">
        <f t="shared" si="32"/>
        <v>865.1</v>
      </c>
      <c r="H135" s="402">
        <f t="shared" si="28"/>
        <v>-867381.29999999888</v>
      </c>
      <c r="I135" s="402">
        <f t="shared" si="29"/>
        <v>9984984.2000000011</v>
      </c>
      <c r="J135" s="753">
        <f>SUM(I79:I135)</f>
        <v>134794777.91000003</v>
      </c>
      <c r="K135" s="515">
        <f t="shared" si="33"/>
        <v>907.13</v>
      </c>
      <c r="L135" s="648">
        <f t="shared" si="30"/>
        <v>10470094.459999999</v>
      </c>
      <c r="M135" s="754">
        <f t="shared" si="31"/>
        <v>-485110.25999999791</v>
      </c>
      <c r="O135" s="647"/>
      <c r="P135" s="513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</row>
    <row r="136" spans="2:54">
      <c r="B136" s="156">
        <v>45817</v>
      </c>
      <c r="C136" s="185" t="s">
        <v>2716</v>
      </c>
      <c r="D136" s="402">
        <f t="shared" si="23"/>
        <v>2003236.95</v>
      </c>
      <c r="E136" s="376">
        <v>933.91</v>
      </c>
      <c r="F136" s="561">
        <v>2145</v>
      </c>
      <c r="G136" s="376">
        <f t="shared" si="32"/>
        <v>865.1</v>
      </c>
      <c r="H136" s="402">
        <f t="shared" ref="H136:H142" si="34">+I136-D136</f>
        <v>-147597.44999999995</v>
      </c>
      <c r="I136" s="402">
        <f t="shared" ref="I136:I142" si="35">+F136*G136</f>
        <v>1855639.5</v>
      </c>
      <c r="J136" s="753"/>
      <c r="K136" s="515">
        <f t="shared" si="33"/>
        <v>907.13</v>
      </c>
      <c r="L136" s="648">
        <f t="shared" ref="L136:L142" si="36">K136*F136</f>
        <v>1945793.85</v>
      </c>
      <c r="M136" s="754">
        <f t="shared" ref="M136:M142" si="37">I136-L136</f>
        <v>-90154.350000000093</v>
      </c>
      <c r="O136" s="647"/>
      <c r="P136" s="513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31"/>
      <c r="AW136" s="331"/>
      <c r="AX136" s="331"/>
      <c r="AY136" s="331"/>
      <c r="AZ136" s="331"/>
      <c r="BA136" s="331"/>
      <c r="BB136" s="331"/>
    </row>
    <row r="137" spans="2:54">
      <c r="B137" s="156">
        <v>45812</v>
      </c>
      <c r="C137" s="185" t="s">
        <v>2717</v>
      </c>
      <c r="D137" s="402">
        <f t="shared" ref="D137:D200" si="38">F137*E137</f>
        <v>3290082.432</v>
      </c>
      <c r="E137" s="376">
        <v>941.53</v>
      </c>
      <c r="F137" s="561">
        <v>3494.4</v>
      </c>
      <c r="G137" s="376">
        <f t="shared" si="32"/>
        <v>865.1</v>
      </c>
      <c r="H137" s="402">
        <f t="shared" si="34"/>
        <v>-267076.99200000009</v>
      </c>
      <c r="I137" s="402">
        <f t="shared" si="35"/>
        <v>3023005.44</v>
      </c>
      <c r="J137" s="753"/>
      <c r="K137" s="515">
        <f t="shared" si="33"/>
        <v>907.13</v>
      </c>
      <c r="L137" s="648">
        <f t="shared" si="36"/>
        <v>3169875.0720000002</v>
      </c>
      <c r="M137" s="754">
        <f t="shared" si="37"/>
        <v>-146869.63200000022</v>
      </c>
      <c r="O137" s="647"/>
      <c r="P137" s="513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</row>
    <row r="138" spans="2:54">
      <c r="B138" s="156">
        <v>45812</v>
      </c>
      <c r="C138" s="185" t="s">
        <v>2718</v>
      </c>
      <c r="D138" s="402">
        <f t="shared" si="38"/>
        <v>27098739.847999997</v>
      </c>
      <c r="E138" s="376">
        <v>941.53</v>
      </c>
      <c r="F138" s="561">
        <v>28781.599999999999</v>
      </c>
      <c r="G138" s="376">
        <f t="shared" si="32"/>
        <v>865.1</v>
      </c>
      <c r="H138" s="402">
        <f t="shared" si="34"/>
        <v>-2199777.6879999973</v>
      </c>
      <c r="I138" s="402">
        <f t="shared" si="35"/>
        <v>24898962.16</v>
      </c>
      <c r="J138" s="753"/>
      <c r="K138" s="515">
        <f t="shared" si="33"/>
        <v>907.13</v>
      </c>
      <c r="L138" s="648">
        <f t="shared" si="36"/>
        <v>26108652.807999998</v>
      </c>
      <c r="M138" s="754">
        <f t="shared" si="37"/>
        <v>-1209690.6479999982</v>
      </c>
      <c r="O138" s="647"/>
      <c r="P138" s="513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</row>
    <row r="139" spans="2:54">
      <c r="B139" s="156">
        <v>45824</v>
      </c>
      <c r="C139" s="185" t="s">
        <v>2719</v>
      </c>
      <c r="D139" s="402">
        <f t="shared" si="38"/>
        <v>3781128.96</v>
      </c>
      <c r="E139" s="376">
        <v>937.78</v>
      </c>
      <c r="F139" s="561">
        <v>4032</v>
      </c>
      <c r="G139" s="376">
        <f t="shared" si="32"/>
        <v>865.1</v>
      </c>
      <c r="H139" s="402">
        <f t="shared" si="34"/>
        <v>-293045.75999999978</v>
      </c>
      <c r="I139" s="402">
        <f t="shared" si="35"/>
        <v>3488083.2</v>
      </c>
      <c r="J139" s="753"/>
      <c r="K139" s="515">
        <f t="shared" si="33"/>
        <v>907.13</v>
      </c>
      <c r="L139" s="648">
        <f t="shared" si="36"/>
        <v>3657548.16</v>
      </c>
      <c r="M139" s="754">
        <f t="shared" si="37"/>
        <v>-169464.95999999996</v>
      </c>
      <c r="O139" s="647"/>
      <c r="P139" s="513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31"/>
      <c r="AW139" s="331"/>
      <c r="AX139" s="331"/>
      <c r="AY139" s="331"/>
      <c r="AZ139" s="331"/>
      <c r="BA139" s="331"/>
      <c r="BB139" s="331"/>
    </row>
    <row r="140" spans="2:54">
      <c r="B140" s="156">
        <v>45831</v>
      </c>
      <c r="C140" s="185" t="s">
        <v>2720</v>
      </c>
      <c r="D140" s="402">
        <f t="shared" si="38"/>
        <v>9690010.959999999</v>
      </c>
      <c r="E140" s="376">
        <v>947.03</v>
      </c>
      <c r="F140" s="561">
        <v>10232</v>
      </c>
      <c r="G140" s="376">
        <f t="shared" si="32"/>
        <v>865.1</v>
      </c>
      <c r="H140" s="402">
        <f t="shared" si="34"/>
        <v>-838307.75999999791</v>
      </c>
      <c r="I140" s="402">
        <f t="shared" si="35"/>
        <v>8851703.2000000011</v>
      </c>
      <c r="J140" s="753"/>
      <c r="K140" s="515">
        <f t="shared" si="33"/>
        <v>907.13</v>
      </c>
      <c r="L140" s="648">
        <f t="shared" si="36"/>
        <v>9281754.1600000001</v>
      </c>
      <c r="M140" s="754">
        <f t="shared" si="37"/>
        <v>-430050.95999999903</v>
      </c>
      <c r="O140" s="647"/>
      <c r="P140" s="513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</row>
    <row r="141" spans="2:54">
      <c r="B141" s="156">
        <v>45833</v>
      </c>
      <c r="C141" s="185" t="s">
        <v>2721</v>
      </c>
      <c r="D141" s="402">
        <f t="shared" si="38"/>
        <v>283711.72499999998</v>
      </c>
      <c r="E141" s="376">
        <v>937.89</v>
      </c>
      <c r="F141" s="561">
        <v>302.5</v>
      </c>
      <c r="G141" s="376">
        <f t="shared" si="32"/>
        <v>865.1</v>
      </c>
      <c r="H141" s="402">
        <f t="shared" si="34"/>
        <v>-22018.974999999977</v>
      </c>
      <c r="I141" s="402">
        <f t="shared" si="35"/>
        <v>261692.75</v>
      </c>
      <c r="J141" s="753"/>
      <c r="K141" s="515">
        <f t="shared" si="33"/>
        <v>907.13</v>
      </c>
      <c r="L141" s="648">
        <f t="shared" si="36"/>
        <v>274406.82500000001</v>
      </c>
      <c r="M141" s="754">
        <f t="shared" si="37"/>
        <v>-12714.075000000012</v>
      </c>
      <c r="O141" s="647"/>
      <c r="P141" s="513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</row>
    <row r="142" spans="2:54">
      <c r="B142" s="156">
        <v>45833</v>
      </c>
      <c r="C142" s="185" t="s">
        <v>2722</v>
      </c>
      <c r="D142" s="402">
        <f t="shared" si="38"/>
        <v>163192.85999999999</v>
      </c>
      <c r="E142" s="376">
        <v>937.89</v>
      </c>
      <c r="F142" s="561">
        <v>174</v>
      </c>
      <c r="G142" s="376">
        <f t="shared" si="32"/>
        <v>865.1</v>
      </c>
      <c r="H142" s="402">
        <f t="shared" si="34"/>
        <v>-12665.459999999992</v>
      </c>
      <c r="I142" s="402">
        <f t="shared" si="35"/>
        <v>150527.4</v>
      </c>
      <c r="J142" s="753">
        <f>SUM(I136:I142)</f>
        <v>42529613.649999999</v>
      </c>
      <c r="K142" s="515">
        <f t="shared" si="33"/>
        <v>907.13</v>
      </c>
      <c r="L142" s="648">
        <f t="shared" si="36"/>
        <v>157840.62</v>
      </c>
      <c r="M142" s="754">
        <f t="shared" si="37"/>
        <v>-7313.2200000000012</v>
      </c>
      <c r="O142" s="647"/>
      <c r="P142" s="513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31"/>
      <c r="AW142" s="331"/>
      <c r="AX142" s="331"/>
      <c r="AY142" s="331"/>
      <c r="AZ142" s="331"/>
      <c r="BA142" s="331"/>
      <c r="BB142" s="331"/>
    </row>
    <row r="143" spans="2:54">
      <c r="B143" s="156">
        <v>45845</v>
      </c>
      <c r="C143" s="255" t="s">
        <v>2761</v>
      </c>
      <c r="D143" s="402">
        <f t="shared" si="38"/>
        <v>8405977.4399999995</v>
      </c>
      <c r="E143" s="376">
        <v>932.34</v>
      </c>
      <c r="F143" s="401">
        <v>9016</v>
      </c>
      <c r="G143" s="376">
        <f t="shared" si="32"/>
        <v>865.1</v>
      </c>
      <c r="H143" s="402">
        <f t="shared" ref="H143:H190" si="39">+I143-D143</f>
        <v>-606235.83999999892</v>
      </c>
      <c r="I143" s="402">
        <f t="shared" ref="I143:I190" si="40">+F143*G143</f>
        <v>7799741.6000000006</v>
      </c>
      <c r="J143" s="753"/>
      <c r="K143" s="515">
        <f t="shared" si="33"/>
        <v>907.13</v>
      </c>
      <c r="L143" s="648">
        <f t="shared" ref="L143:L190" si="41">K143*F143</f>
        <v>8178684.0800000001</v>
      </c>
      <c r="M143" s="754">
        <f t="shared" ref="M143:M190" si="42">I143-L143</f>
        <v>-378942.47999999952</v>
      </c>
      <c r="O143" s="647"/>
      <c r="P143" s="513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31"/>
      <c r="AW143" s="331"/>
      <c r="AX143" s="331"/>
      <c r="AY143" s="331"/>
      <c r="AZ143" s="331"/>
      <c r="BA143" s="331"/>
      <c r="BB143" s="331"/>
    </row>
    <row r="144" spans="2:54">
      <c r="B144" s="156">
        <v>45845</v>
      </c>
      <c r="C144" s="255" t="s">
        <v>2762</v>
      </c>
      <c r="D144" s="402">
        <f t="shared" si="38"/>
        <v>984551.04</v>
      </c>
      <c r="E144" s="376">
        <v>932.34</v>
      </c>
      <c r="F144" s="401">
        <v>1056</v>
      </c>
      <c r="G144" s="376">
        <f t="shared" si="32"/>
        <v>865.1</v>
      </c>
      <c r="H144" s="402">
        <f t="shared" si="39"/>
        <v>-71005.440000000061</v>
      </c>
      <c r="I144" s="402">
        <f t="shared" si="40"/>
        <v>913545.6</v>
      </c>
      <c r="J144" s="753"/>
      <c r="K144" s="515">
        <f t="shared" si="33"/>
        <v>907.13</v>
      </c>
      <c r="L144" s="648">
        <f t="shared" si="41"/>
        <v>957929.28</v>
      </c>
      <c r="M144" s="754">
        <f t="shared" si="42"/>
        <v>-44383.680000000051</v>
      </c>
      <c r="O144" s="647"/>
      <c r="P144" s="513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31"/>
      <c r="AW144" s="331"/>
      <c r="AX144" s="331"/>
      <c r="AY144" s="331"/>
      <c r="AZ144" s="331"/>
      <c r="BA144" s="331"/>
      <c r="BB144" s="331"/>
    </row>
    <row r="145" spans="2:54">
      <c r="B145" s="156">
        <v>45845</v>
      </c>
      <c r="C145" s="255" t="s">
        <v>2763</v>
      </c>
      <c r="D145" s="402">
        <f t="shared" si="38"/>
        <v>28026513.336000003</v>
      </c>
      <c r="E145" s="376">
        <v>932.34</v>
      </c>
      <c r="F145" s="401">
        <v>30060.400000000001</v>
      </c>
      <c r="G145" s="376">
        <f t="shared" si="32"/>
        <v>865.1</v>
      </c>
      <c r="H145" s="402">
        <f t="shared" si="39"/>
        <v>-2021261.2960000001</v>
      </c>
      <c r="I145" s="402">
        <f t="shared" si="40"/>
        <v>26005252.040000003</v>
      </c>
      <c r="J145" s="753"/>
      <c r="K145" s="515">
        <f t="shared" si="33"/>
        <v>907.13</v>
      </c>
      <c r="L145" s="648">
        <f t="shared" si="41"/>
        <v>27268690.652000003</v>
      </c>
      <c r="M145" s="754">
        <f t="shared" si="42"/>
        <v>-1263438.6119999997</v>
      </c>
      <c r="O145" s="647"/>
      <c r="P145" s="513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31"/>
      <c r="AW145" s="331"/>
      <c r="AX145" s="331"/>
      <c r="AY145" s="331"/>
      <c r="AZ145" s="331"/>
      <c r="BA145" s="331"/>
      <c r="BB145" s="331"/>
    </row>
    <row r="146" spans="2:54">
      <c r="B146" s="156">
        <v>45845</v>
      </c>
      <c r="C146" s="255" t="s">
        <v>2764</v>
      </c>
      <c r="D146" s="402">
        <f t="shared" si="38"/>
        <v>8178486.4800000004</v>
      </c>
      <c r="E146" s="376">
        <v>932.34</v>
      </c>
      <c r="F146" s="401">
        <v>8772</v>
      </c>
      <c r="G146" s="376">
        <f t="shared" si="32"/>
        <v>865.1</v>
      </c>
      <c r="H146" s="402">
        <f t="shared" si="39"/>
        <v>-589829.28000000026</v>
      </c>
      <c r="I146" s="402">
        <f t="shared" si="40"/>
        <v>7588657.2000000002</v>
      </c>
      <c r="J146" s="753"/>
      <c r="K146" s="515">
        <f t="shared" si="33"/>
        <v>907.13</v>
      </c>
      <c r="L146" s="648">
        <f t="shared" si="41"/>
        <v>7957344.3600000003</v>
      </c>
      <c r="M146" s="754">
        <f t="shared" si="42"/>
        <v>-368687.16000000015</v>
      </c>
      <c r="O146" s="647"/>
      <c r="P146" s="513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</row>
    <row r="147" spans="2:54">
      <c r="B147" s="156">
        <v>45845</v>
      </c>
      <c r="C147" s="255" t="s">
        <v>2765</v>
      </c>
      <c r="D147" s="402">
        <f t="shared" si="38"/>
        <v>42962227.200000003</v>
      </c>
      <c r="E147" s="376">
        <v>932.34</v>
      </c>
      <c r="F147" s="401">
        <v>46080</v>
      </c>
      <c r="G147" s="376">
        <f t="shared" si="32"/>
        <v>865.1</v>
      </c>
      <c r="H147" s="402">
        <f t="shared" si="39"/>
        <v>-3098419.200000003</v>
      </c>
      <c r="I147" s="402">
        <f t="shared" si="40"/>
        <v>39863808</v>
      </c>
      <c r="J147" s="753"/>
      <c r="K147" s="515">
        <f t="shared" si="33"/>
        <v>907.13</v>
      </c>
      <c r="L147" s="648">
        <f t="shared" si="41"/>
        <v>41800550.399999999</v>
      </c>
      <c r="M147" s="754">
        <f t="shared" si="42"/>
        <v>-1936742.3999999985</v>
      </c>
      <c r="O147" s="647"/>
      <c r="P147" s="513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</row>
    <row r="148" spans="2:54">
      <c r="B148" s="156">
        <v>45845</v>
      </c>
      <c r="C148" s="255" t="s">
        <v>2766</v>
      </c>
      <c r="D148" s="402">
        <f t="shared" si="38"/>
        <v>50197185.600000001</v>
      </c>
      <c r="E148" s="376">
        <v>932.34</v>
      </c>
      <c r="F148" s="401">
        <v>53840</v>
      </c>
      <c r="G148" s="376">
        <f t="shared" si="32"/>
        <v>865.1</v>
      </c>
      <c r="H148" s="402">
        <f t="shared" si="39"/>
        <v>-3620201.6000000015</v>
      </c>
      <c r="I148" s="402">
        <f t="shared" si="40"/>
        <v>46576984</v>
      </c>
      <c r="J148" s="753"/>
      <c r="K148" s="515">
        <f t="shared" si="33"/>
        <v>907.13</v>
      </c>
      <c r="L148" s="648">
        <f t="shared" si="41"/>
        <v>48839879.200000003</v>
      </c>
      <c r="M148" s="754">
        <f t="shared" si="42"/>
        <v>-2262895.200000003</v>
      </c>
      <c r="O148" s="647"/>
      <c r="P148" s="513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</row>
    <row r="149" spans="2:54">
      <c r="B149" s="156">
        <v>45849</v>
      </c>
      <c r="C149" s="255" t="s">
        <v>2767</v>
      </c>
      <c r="D149" s="402">
        <f t="shared" si="38"/>
        <v>1106110.4339999999</v>
      </c>
      <c r="E149" s="376">
        <v>950.43</v>
      </c>
      <c r="F149" s="401">
        <v>1163.8</v>
      </c>
      <c r="G149" s="376">
        <f t="shared" si="32"/>
        <v>865.1</v>
      </c>
      <c r="H149" s="402">
        <f t="shared" si="39"/>
        <v>-99307.053999999887</v>
      </c>
      <c r="I149" s="402">
        <f t="shared" si="40"/>
        <v>1006803.38</v>
      </c>
      <c r="J149" s="753"/>
      <c r="K149" s="515">
        <f t="shared" si="33"/>
        <v>907.13</v>
      </c>
      <c r="L149" s="648">
        <f t="shared" si="41"/>
        <v>1055717.8939999999</v>
      </c>
      <c r="M149" s="754">
        <f t="shared" si="42"/>
        <v>-48914.51399999985</v>
      </c>
      <c r="O149" s="647"/>
      <c r="P149" s="513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1"/>
      <c r="BA149" s="331"/>
      <c r="BB149" s="331"/>
    </row>
    <row r="150" spans="2:54">
      <c r="B150" s="156">
        <v>45849</v>
      </c>
      <c r="C150" s="255" t="s">
        <v>2768</v>
      </c>
      <c r="D150" s="402">
        <f t="shared" si="38"/>
        <v>977802.38399999996</v>
      </c>
      <c r="E150" s="376">
        <v>950.43</v>
      </c>
      <c r="F150" s="401">
        <v>1028.8</v>
      </c>
      <c r="G150" s="376">
        <f t="shared" si="32"/>
        <v>865.1</v>
      </c>
      <c r="H150" s="402">
        <f t="shared" si="39"/>
        <v>-87787.503999999957</v>
      </c>
      <c r="I150" s="402">
        <f t="shared" si="40"/>
        <v>890014.88</v>
      </c>
      <c r="J150" s="753"/>
      <c r="K150" s="515">
        <f t="shared" si="33"/>
        <v>907.13</v>
      </c>
      <c r="L150" s="648">
        <f t="shared" si="41"/>
        <v>933255.34399999992</v>
      </c>
      <c r="M150" s="754">
        <f t="shared" si="42"/>
        <v>-43240.46399999992</v>
      </c>
      <c r="O150" s="647"/>
      <c r="P150" s="513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31"/>
      <c r="AW150" s="331"/>
      <c r="AX150" s="331"/>
      <c r="AY150" s="331"/>
      <c r="AZ150" s="331"/>
      <c r="BA150" s="331"/>
      <c r="BB150" s="331"/>
    </row>
    <row r="151" spans="2:54">
      <c r="B151" s="156">
        <v>45849</v>
      </c>
      <c r="C151" s="255" t="s">
        <v>2769</v>
      </c>
      <c r="D151" s="402">
        <f t="shared" si="38"/>
        <v>2873625.105</v>
      </c>
      <c r="E151" s="376">
        <v>950.43</v>
      </c>
      <c r="F151" s="401">
        <v>3023.5</v>
      </c>
      <c r="G151" s="376">
        <f t="shared" si="32"/>
        <v>865.1</v>
      </c>
      <c r="H151" s="402">
        <f t="shared" si="39"/>
        <v>-257995.25499999989</v>
      </c>
      <c r="I151" s="402">
        <f t="shared" si="40"/>
        <v>2615629.85</v>
      </c>
      <c r="J151" s="753"/>
      <c r="K151" s="515">
        <f t="shared" si="33"/>
        <v>907.13</v>
      </c>
      <c r="L151" s="648">
        <f t="shared" si="41"/>
        <v>2742707.5550000002</v>
      </c>
      <c r="M151" s="754">
        <f t="shared" si="42"/>
        <v>-127077.70500000007</v>
      </c>
      <c r="O151" s="647"/>
      <c r="P151" s="513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31"/>
      <c r="AW151" s="331"/>
      <c r="AX151" s="331"/>
      <c r="AY151" s="331"/>
      <c r="AZ151" s="331"/>
      <c r="BA151" s="331"/>
      <c r="BB151" s="331"/>
    </row>
    <row r="152" spans="2:54">
      <c r="B152" s="156">
        <v>45849</v>
      </c>
      <c r="C152" s="255" t="s">
        <v>2770</v>
      </c>
      <c r="D152" s="402">
        <f t="shared" si="38"/>
        <v>7044111.9449999994</v>
      </c>
      <c r="E152" s="376">
        <v>950.43</v>
      </c>
      <c r="F152" s="401">
        <v>7411.5</v>
      </c>
      <c r="G152" s="376">
        <f t="shared" si="32"/>
        <v>865.1</v>
      </c>
      <c r="H152" s="402">
        <f t="shared" si="39"/>
        <v>-632423.29499999899</v>
      </c>
      <c r="I152" s="402">
        <f t="shared" si="40"/>
        <v>6411688.6500000004</v>
      </c>
      <c r="J152" s="753"/>
      <c r="K152" s="515">
        <f t="shared" si="33"/>
        <v>907.13</v>
      </c>
      <c r="L152" s="648">
        <f t="shared" si="41"/>
        <v>6723193.9950000001</v>
      </c>
      <c r="M152" s="754">
        <f t="shared" si="42"/>
        <v>-311505.34499999974</v>
      </c>
      <c r="O152" s="647"/>
      <c r="P152" s="513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</row>
    <row r="153" spans="2:54">
      <c r="B153" s="156">
        <v>45849</v>
      </c>
      <c r="C153" s="255" t="s">
        <v>2771</v>
      </c>
      <c r="D153" s="402">
        <f t="shared" si="38"/>
        <v>6272838</v>
      </c>
      <c r="E153" s="376">
        <v>950.43</v>
      </c>
      <c r="F153" s="401">
        <v>6600</v>
      </c>
      <c r="G153" s="376">
        <f t="shared" si="32"/>
        <v>865.1</v>
      </c>
      <c r="H153" s="402">
        <f t="shared" si="39"/>
        <v>-563178</v>
      </c>
      <c r="I153" s="402">
        <f t="shared" si="40"/>
        <v>5709660</v>
      </c>
      <c r="J153" s="753"/>
      <c r="K153" s="515">
        <f t="shared" si="33"/>
        <v>907.13</v>
      </c>
      <c r="L153" s="648">
        <f t="shared" si="41"/>
        <v>5987058</v>
      </c>
      <c r="M153" s="754">
        <f t="shared" si="42"/>
        <v>-277398</v>
      </c>
      <c r="O153" s="647"/>
      <c r="P153" s="513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</row>
    <row r="154" spans="2:54">
      <c r="B154" s="156">
        <v>45849</v>
      </c>
      <c r="C154" s="255" t="s">
        <v>2772</v>
      </c>
      <c r="D154" s="402">
        <f t="shared" si="38"/>
        <v>155965.56299999999</v>
      </c>
      <c r="E154" s="376">
        <v>950.43</v>
      </c>
      <c r="F154" s="401">
        <v>164.1</v>
      </c>
      <c r="G154" s="376">
        <f t="shared" si="32"/>
        <v>865.1</v>
      </c>
      <c r="H154" s="402">
        <f t="shared" si="39"/>
        <v>-14002.652999999991</v>
      </c>
      <c r="I154" s="402">
        <f t="shared" si="40"/>
        <v>141962.91</v>
      </c>
      <c r="J154" s="753"/>
      <c r="K154" s="515">
        <f t="shared" si="33"/>
        <v>907.13</v>
      </c>
      <c r="L154" s="648">
        <f t="shared" si="41"/>
        <v>148860.033</v>
      </c>
      <c r="M154" s="754">
        <f t="shared" si="42"/>
        <v>-6897.1229999999923</v>
      </c>
      <c r="O154" s="647"/>
      <c r="P154" s="513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31"/>
      <c r="AW154" s="331"/>
      <c r="AX154" s="331"/>
      <c r="AY154" s="331"/>
      <c r="AZ154" s="331"/>
      <c r="BA154" s="331"/>
      <c r="BB154" s="331"/>
    </row>
    <row r="155" spans="2:54">
      <c r="B155" s="156">
        <v>45849</v>
      </c>
      <c r="C155" s="255" t="s">
        <v>2773</v>
      </c>
      <c r="D155" s="402">
        <f t="shared" si="38"/>
        <v>2873625.105</v>
      </c>
      <c r="E155" s="376">
        <v>950.43</v>
      </c>
      <c r="F155" s="401">
        <v>3023.5</v>
      </c>
      <c r="G155" s="376">
        <f t="shared" si="32"/>
        <v>865.1</v>
      </c>
      <c r="H155" s="402">
        <f t="shared" si="39"/>
        <v>-257995.25499999989</v>
      </c>
      <c r="I155" s="402">
        <f t="shared" si="40"/>
        <v>2615629.85</v>
      </c>
      <c r="J155" s="753"/>
      <c r="K155" s="515">
        <f t="shared" si="33"/>
        <v>907.13</v>
      </c>
      <c r="L155" s="648">
        <f t="shared" si="41"/>
        <v>2742707.5550000002</v>
      </c>
      <c r="M155" s="754">
        <f t="shared" si="42"/>
        <v>-127077.70500000007</v>
      </c>
      <c r="O155" s="647"/>
      <c r="P155" s="513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</row>
    <row r="156" spans="2:54">
      <c r="B156" s="156">
        <v>45849</v>
      </c>
      <c r="C156" s="255" t="s">
        <v>2774</v>
      </c>
      <c r="D156" s="402">
        <f t="shared" si="38"/>
        <v>6948118.5149999997</v>
      </c>
      <c r="E156" s="376">
        <v>950.43</v>
      </c>
      <c r="F156" s="401">
        <v>7310.5</v>
      </c>
      <c r="G156" s="376">
        <f t="shared" si="32"/>
        <v>865.1</v>
      </c>
      <c r="H156" s="402">
        <f t="shared" si="39"/>
        <v>-623804.96499999985</v>
      </c>
      <c r="I156" s="402">
        <f t="shared" si="40"/>
        <v>6324313.5499999998</v>
      </c>
      <c r="J156" s="753"/>
      <c r="K156" s="515">
        <f t="shared" si="33"/>
        <v>907.13</v>
      </c>
      <c r="L156" s="648">
        <f t="shared" si="41"/>
        <v>6631573.8650000002</v>
      </c>
      <c r="M156" s="754">
        <f t="shared" si="42"/>
        <v>-307260.31500000041</v>
      </c>
      <c r="O156" s="647"/>
      <c r="P156" s="513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31"/>
      <c r="AW156" s="331"/>
      <c r="AX156" s="331"/>
      <c r="AY156" s="331"/>
      <c r="AZ156" s="331"/>
      <c r="BA156" s="331"/>
      <c r="BB156" s="331"/>
    </row>
    <row r="157" spans="2:54">
      <c r="B157" s="156">
        <v>45849</v>
      </c>
      <c r="C157" s="255" t="s">
        <v>2775</v>
      </c>
      <c r="D157" s="402">
        <f t="shared" si="38"/>
        <v>1106110.4339999999</v>
      </c>
      <c r="E157" s="376">
        <v>950.43</v>
      </c>
      <c r="F157" s="401">
        <v>1163.8</v>
      </c>
      <c r="G157" s="376">
        <f t="shared" si="32"/>
        <v>865.1</v>
      </c>
      <c r="H157" s="402">
        <f t="shared" si="39"/>
        <v>-99307.053999999887</v>
      </c>
      <c r="I157" s="402">
        <f t="shared" si="40"/>
        <v>1006803.38</v>
      </c>
      <c r="J157" s="753"/>
      <c r="K157" s="515">
        <f t="shared" si="33"/>
        <v>907.13</v>
      </c>
      <c r="L157" s="648">
        <f t="shared" si="41"/>
        <v>1055717.8939999999</v>
      </c>
      <c r="M157" s="754">
        <f t="shared" si="42"/>
        <v>-48914.51399999985</v>
      </c>
      <c r="O157" s="647"/>
      <c r="P157" s="513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31"/>
      <c r="AW157" s="331"/>
      <c r="AX157" s="331"/>
      <c r="AY157" s="331"/>
      <c r="AZ157" s="331"/>
      <c r="BA157" s="331"/>
      <c r="BB157" s="331"/>
    </row>
    <row r="158" spans="2:54">
      <c r="B158" s="156">
        <v>45849</v>
      </c>
      <c r="C158" s="255" t="s">
        <v>2776</v>
      </c>
      <c r="D158" s="402">
        <f t="shared" si="38"/>
        <v>1106110.4339999999</v>
      </c>
      <c r="E158" s="376">
        <v>950.43</v>
      </c>
      <c r="F158" s="401">
        <v>1163.8</v>
      </c>
      <c r="G158" s="376">
        <f t="shared" si="32"/>
        <v>865.1</v>
      </c>
      <c r="H158" s="402">
        <f t="shared" si="39"/>
        <v>-99307.053999999887</v>
      </c>
      <c r="I158" s="402">
        <f t="shared" si="40"/>
        <v>1006803.38</v>
      </c>
      <c r="J158" s="753"/>
      <c r="K158" s="515">
        <f t="shared" si="33"/>
        <v>907.13</v>
      </c>
      <c r="L158" s="648">
        <f t="shared" si="41"/>
        <v>1055717.8939999999</v>
      </c>
      <c r="M158" s="754">
        <f t="shared" si="42"/>
        <v>-48914.51399999985</v>
      </c>
      <c r="O158" s="647"/>
      <c r="P158" s="513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31"/>
      <c r="AW158" s="331"/>
      <c r="AX158" s="331"/>
      <c r="AY158" s="331"/>
      <c r="AZ158" s="331"/>
      <c r="BA158" s="331"/>
      <c r="BB158" s="331"/>
    </row>
    <row r="159" spans="2:54">
      <c r="B159" s="156">
        <v>45849</v>
      </c>
      <c r="C159" s="255" t="s">
        <v>2777</v>
      </c>
      <c r="D159" s="402">
        <f t="shared" si="38"/>
        <v>928950.28199999989</v>
      </c>
      <c r="E159" s="376">
        <v>950.43</v>
      </c>
      <c r="F159" s="401">
        <v>977.4</v>
      </c>
      <c r="G159" s="376">
        <f t="shared" si="32"/>
        <v>865.1</v>
      </c>
      <c r="H159" s="402">
        <f t="shared" si="39"/>
        <v>-83401.541999999899</v>
      </c>
      <c r="I159" s="402">
        <f t="shared" si="40"/>
        <v>845548.74</v>
      </c>
      <c r="J159" s="753"/>
      <c r="K159" s="515">
        <f t="shared" si="33"/>
        <v>907.13</v>
      </c>
      <c r="L159" s="648">
        <f t="shared" si="41"/>
        <v>886628.86199999996</v>
      </c>
      <c r="M159" s="754">
        <f t="shared" si="42"/>
        <v>-41080.121999999974</v>
      </c>
      <c r="O159" s="647"/>
      <c r="P159" s="513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31"/>
      <c r="AW159" s="331"/>
      <c r="AX159" s="331"/>
      <c r="AY159" s="331"/>
      <c r="AZ159" s="331"/>
      <c r="BA159" s="331"/>
      <c r="BB159" s="331"/>
    </row>
    <row r="160" spans="2:54">
      <c r="B160" s="156">
        <v>45849</v>
      </c>
      <c r="C160" s="255" t="s">
        <v>2778</v>
      </c>
      <c r="D160" s="402">
        <f t="shared" si="38"/>
        <v>919712.10239999986</v>
      </c>
      <c r="E160" s="376">
        <v>950.43</v>
      </c>
      <c r="F160" s="401">
        <v>967.68</v>
      </c>
      <c r="G160" s="376">
        <f t="shared" si="32"/>
        <v>865.1</v>
      </c>
      <c r="H160" s="402">
        <f t="shared" si="39"/>
        <v>-82572.134399999864</v>
      </c>
      <c r="I160" s="402">
        <f t="shared" si="40"/>
        <v>837139.96799999999</v>
      </c>
      <c r="J160" s="753"/>
      <c r="K160" s="515">
        <f t="shared" si="33"/>
        <v>907.13</v>
      </c>
      <c r="L160" s="648">
        <f t="shared" si="41"/>
        <v>877811.55839999998</v>
      </c>
      <c r="M160" s="754">
        <f t="shared" si="42"/>
        <v>-40671.590399999986</v>
      </c>
      <c r="O160" s="647"/>
      <c r="P160" s="513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</row>
    <row r="161" spans="2:54">
      <c r="B161" s="156">
        <v>45849</v>
      </c>
      <c r="C161" s="255" t="s">
        <v>2779</v>
      </c>
      <c r="D161" s="402">
        <f t="shared" si="38"/>
        <v>619300.18799999997</v>
      </c>
      <c r="E161" s="376">
        <v>950.43</v>
      </c>
      <c r="F161" s="401">
        <v>651.6</v>
      </c>
      <c r="G161" s="376">
        <f t="shared" si="32"/>
        <v>865.1</v>
      </c>
      <c r="H161" s="402">
        <f t="shared" si="39"/>
        <v>-55601.027999999933</v>
      </c>
      <c r="I161" s="402">
        <f t="shared" si="40"/>
        <v>563699.16</v>
      </c>
      <c r="J161" s="753"/>
      <c r="K161" s="515">
        <f t="shared" si="33"/>
        <v>907.13</v>
      </c>
      <c r="L161" s="648">
        <f t="shared" si="41"/>
        <v>591085.90800000005</v>
      </c>
      <c r="M161" s="754">
        <f t="shared" si="42"/>
        <v>-27386.748000000021</v>
      </c>
      <c r="O161" s="647"/>
      <c r="P161" s="513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</row>
    <row r="162" spans="2:54">
      <c r="B162" s="156">
        <v>45849</v>
      </c>
      <c r="C162" s="255" t="s">
        <v>2780</v>
      </c>
      <c r="D162" s="402">
        <f t="shared" si="38"/>
        <v>1981646.5499999998</v>
      </c>
      <c r="E162" s="376">
        <v>950.43</v>
      </c>
      <c r="F162" s="401">
        <v>2085</v>
      </c>
      <c r="G162" s="376">
        <f t="shared" si="32"/>
        <v>865.1</v>
      </c>
      <c r="H162" s="402">
        <f t="shared" si="39"/>
        <v>-177913.04999999981</v>
      </c>
      <c r="I162" s="402">
        <f t="shared" si="40"/>
        <v>1803733.5</v>
      </c>
      <c r="J162" s="753"/>
      <c r="K162" s="515">
        <f t="shared" si="33"/>
        <v>907.13</v>
      </c>
      <c r="L162" s="648">
        <f t="shared" si="41"/>
        <v>1891366.05</v>
      </c>
      <c r="M162" s="754">
        <f t="shared" si="42"/>
        <v>-87632.550000000047</v>
      </c>
      <c r="O162" s="647"/>
      <c r="P162" s="513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31"/>
      <c r="AW162" s="331"/>
      <c r="AX162" s="331"/>
      <c r="AY162" s="331"/>
      <c r="AZ162" s="331"/>
      <c r="BA162" s="331"/>
      <c r="BB162" s="331"/>
    </row>
    <row r="163" spans="2:54">
      <c r="B163" s="156">
        <v>45849</v>
      </c>
      <c r="C163" s="255" t="s">
        <v>2781</v>
      </c>
      <c r="D163" s="402">
        <f t="shared" si="38"/>
        <v>977802.38399999996</v>
      </c>
      <c r="E163" s="376">
        <v>950.43</v>
      </c>
      <c r="F163" s="401">
        <v>1028.8</v>
      </c>
      <c r="G163" s="376">
        <f t="shared" si="32"/>
        <v>865.1</v>
      </c>
      <c r="H163" s="402">
        <f t="shared" si="39"/>
        <v>-87787.503999999957</v>
      </c>
      <c r="I163" s="402">
        <f t="shared" si="40"/>
        <v>890014.88</v>
      </c>
      <c r="J163" s="753"/>
      <c r="K163" s="515">
        <f t="shared" si="33"/>
        <v>907.13</v>
      </c>
      <c r="L163" s="648">
        <f t="shared" si="41"/>
        <v>933255.34399999992</v>
      </c>
      <c r="M163" s="754">
        <f t="shared" si="42"/>
        <v>-43240.46399999992</v>
      </c>
      <c r="O163" s="647"/>
      <c r="P163" s="513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331"/>
      <c r="AY163" s="331"/>
      <c r="AZ163" s="331"/>
      <c r="BA163" s="331"/>
      <c r="BB163" s="331"/>
    </row>
    <row r="164" spans="2:54">
      <c r="B164" s="156">
        <v>45849</v>
      </c>
      <c r="C164" s="255" t="s">
        <v>2782</v>
      </c>
      <c r="D164" s="402">
        <f t="shared" si="38"/>
        <v>1106110.4339999999</v>
      </c>
      <c r="E164" s="376">
        <v>950.43</v>
      </c>
      <c r="F164" s="401">
        <v>1163.8</v>
      </c>
      <c r="G164" s="376">
        <f t="shared" si="32"/>
        <v>865.1</v>
      </c>
      <c r="H164" s="402">
        <f t="shared" si="39"/>
        <v>-99307.053999999887</v>
      </c>
      <c r="I164" s="402">
        <f t="shared" si="40"/>
        <v>1006803.38</v>
      </c>
      <c r="J164" s="753"/>
      <c r="K164" s="515">
        <f t="shared" si="33"/>
        <v>907.13</v>
      </c>
      <c r="L164" s="648">
        <f t="shared" si="41"/>
        <v>1055717.8939999999</v>
      </c>
      <c r="M164" s="754">
        <f t="shared" si="42"/>
        <v>-48914.51399999985</v>
      </c>
      <c r="O164" s="647"/>
      <c r="P164" s="513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331"/>
      <c r="AY164" s="331"/>
      <c r="AZ164" s="331"/>
      <c r="BA164" s="331"/>
      <c r="BB164" s="331"/>
    </row>
    <row r="165" spans="2:54">
      <c r="B165" s="156">
        <v>45849</v>
      </c>
      <c r="C165" s="255" t="s">
        <v>2783</v>
      </c>
      <c r="D165" s="402">
        <f t="shared" si="38"/>
        <v>977802.38399999996</v>
      </c>
      <c r="E165" s="376">
        <v>950.43</v>
      </c>
      <c r="F165" s="401">
        <v>1028.8</v>
      </c>
      <c r="G165" s="376">
        <f t="shared" si="32"/>
        <v>865.1</v>
      </c>
      <c r="H165" s="402">
        <f t="shared" si="39"/>
        <v>-87787.503999999957</v>
      </c>
      <c r="I165" s="402">
        <f t="shared" si="40"/>
        <v>890014.88</v>
      </c>
      <c r="J165" s="753"/>
      <c r="K165" s="515">
        <f t="shared" si="33"/>
        <v>907.13</v>
      </c>
      <c r="L165" s="648">
        <f t="shared" si="41"/>
        <v>933255.34399999992</v>
      </c>
      <c r="M165" s="754">
        <f t="shared" si="42"/>
        <v>-43240.46399999992</v>
      </c>
      <c r="O165" s="647"/>
      <c r="P165" s="513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31"/>
      <c r="AW165" s="331"/>
      <c r="AX165" s="331"/>
      <c r="AY165" s="331"/>
      <c r="AZ165" s="331"/>
      <c r="BA165" s="331"/>
      <c r="BB165" s="331"/>
    </row>
    <row r="166" spans="2:54">
      <c r="B166" s="156">
        <v>45849</v>
      </c>
      <c r="C166" s="255" t="s">
        <v>2784</v>
      </c>
      <c r="D166" s="402">
        <f t="shared" si="38"/>
        <v>977802.38399999996</v>
      </c>
      <c r="E166" s="376">
        <v>950.43</v>
      </c>
      <c r="F166" s="401">
        <v>1028.8</v>
      </c>
      <c r="G166" s="376">
        <f t="shared" si="32"/>
        <v>865.1</v>
      </c>
      <c r="H166" s="402">
        <f t="shared" si="39"/>
        <v>-87787.503999999957</v>
      </c>
      <c r="I166" s="402">
        <f t="shared" si="40"/>
        <v>890014.88</v>
      </c>
      <c r="J166" s="753"/>
      <c r="K166" s="515">
        <f t="shared" si="33"/>
        <v>907.13</v>
      </c>
      <c r="L166" s="648">
        <f t="shared" si="41"/>
        <v>933255.34399999992</v>
      </c>
      <c r="M166" s="754">
        <f t="shared" si="42"/>
        <v>-43240.46399999992</v>
      </c>
      <c r="O166" s="647"/>
      <c r="P166" s="513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31"/>
      <c r="AW166" s="331"/>
      <c r="AX166" s="331"/>
      <c r="AY166" s="331"/>
      <c r="AZ166" s="331"/>
      <c r="BA166" s="331"/>
      <c r="BB166" s="331"/>
    </row>
    <row r="167" spans="2:54">
      <c r="B167" s="156">
        <v>45849</v>
      </c>
      <c r="C167" s="255" t="s">
        <v>2785</v>
      </c>
      <c r="D167" s="402">
        <f t="shared" si="38"/>
        <v>977802.38399999996</v>
      </c>
      <c r="E167" s="376">
        <v>950.43</v>
      </c>
      <c r="F167" s="401">
        <v>1028.8</v>
      </c>
      <c r="G167" s="376">
        <f t="shared" si="32"/>
        <v>865.1</v>
      </c>
      <c r="H167" s="402">
        <f t="shared" si="39"/>
        <v>-87787.503999999957</v>
      </c>
      <c r="I167" s="402">
        <f t="shared" si="40"/>
        <v>890014.88</v>
      </c>
      <c r="J167" s="753"/>
      <c r="K167" s="515">
        <f t="shared" si="33"/>
        <v>907.13</v>
      </c>
      <c r="L167" s="648">
        <f t="shared" si="41"/>
        <v>933255.34399999992</v>
      </c>
      <c r="M167" s="754">
        <f t="shared" si="42"/>
        <v>-43240.46399999992</v>
      </c>
      <c r="O167" s="647"/>
      <c r="P167" s="513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31"/>
      <c r="AW167" s="331"/>
      <c r="AX167" s="331"/>
      <c r="AY167" s="331"/>
      <c r="AZ167" s="331"/>
      <c r="BA167" s="331"/>
      <c r="BB167" s="331"/>
    </row>
    <row r="168" spans="2:54">
      <c r="B168" s="156">
        <v>45849</v>
      </c>
      <c r="C168" s="255" t="s">
        <v>2786</v>
      </c>
      <c r="D168" s="402">
        <f t="shared" si="38"/>
        <v>2873625.105</v>
      </c>
      <c r="E168" s="376">
        <v>950.43</v>
      </c>
      <c r="F168" s="401">
        <v>3023.5</v>
      </c>
      <c r="G168" s="376">
        <f t="shared" si="32"/>
        <v>865.1</v>
      </c>
      <c r="H168" s="402">
        <f t="shared" si="39"/>
        <v>-257995.25499999989</v>
      </c>
      <c r="I168" s="402">
        <f t="shared" si="40"/>
        <v>2615629.85</v>
      </c>
      <c r="J168" s="753"/>
      <c r="K168" s="515">
        <f t="shared" si="33"/>
        <v>907.13</v>
      </c>
      <c r="L168" s="648">
        <f t="shared" si="41"/>
        <v>2742707.5550000002</v>
      </c>
      <c r="M168" s="754">
        <f t="shared" si="42"/>
        <v>-127077.70500000007</v>
      </c>
      <c r="O168" s="647"/>
      <c r="P168" s="513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</row>
    <row r="169" spans="2:54">
      <c r="B169" s="156">
        <v>45849</v>
      </c>
      <c r="C169" s="255" t="s">
        <v>2787</v>
      </c>
      <c r="D169" s="402">
        <f t="shared" si="38"/>
        <v>7044111.9449999994</v>
      </c>
      <c r="E169" s="376">
        <v>950.43</v>
      </c>
      <c r="F169" s="401">
        <v>7411.5</v>
      </c>
      <c r="G169" s="376">
        <f t="shared" si="32"/>
        <v>865.1</v>
      </c>
      <c r="H169" s="402">
        <f t="shared" si="39"/>
        <v>-632423.29499999899</v>
      </c>
      <c r="I169" s="402">
        <f t="shared" si="40"/>
        <v>6411688.6500000004</v>
      </c>
      <c r="J169" s="753"/>
      <c r="K169" s="515">
        <f t="shared" si="33"/>
        <v>907.13</v>
      </c>
      <c r="L169" s="648">
        <f t="shared" si="41"/>
        <v>6723193.9950000001</v>
      </c>
      <c r="M169" s="754">
        <f t="shared" si="42"/>
        <v>-311505.34499999974</v>
      </c>
      <c r="O169" s="647"/>
      <c r="P169" s="513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</row>
    <row r="170" spans="2:54">
      <c r="B170" s="156">
        <v>45849</v>
      </c>
      <c r="C170" s="255" t="s">
        <v>2788</v>
      </c>
      <c r="D170" s="402">
        <f t="shared" si="38"/>
        <v>135436.27499999999</v>
      </c>
      <c r="E170" s="376">
        <v>950.43</v>
      </c>
      <c r="F170" s="401">
        <v>142.5</v>
      </c>
      <c r="G170" s="376">
        <f t="shared" si="32"/>
        <v>865.1</v>
      </c>
      <c r="H170" s="402">
        <f t="shared" si="39"/>
        <v>-12159.524999999994</v>
      </c>
      <c r="I170" s="402">
        <f t="shared" si="40"/>
        <v>123276.75</v>
      </c>
      <c r="J170" s="753"/>
      <c r="K170" s="515">
        <f t="shared" si="33"/>
        <v>907.13</v>
      </c>
      <c r="L170" s="648">
        <f t="shared" si="41"/>
        <v>129266.02499999999</v>
      </c>
      <c r="M170" s="754">
        <f t="shared" si="42"/>
        <v>-5989.2749999999942</v>
      </c>
      <c r="O170" s="647"/>
      <c r="P170" s="513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</row>
    <row r="171" spans="2:54">
      <c r="B171" s="156">
        <v>45849</v>
      </c>
      <c r="C171" s="255" t="s">
        <v>2789</v>
      </c>
      <c r="D171" s="402">
        <f t="shared" si="38"/>
        <v>5932679.1030000001</v>
      </c>
      <c r="E171" s="376">
        <v>950.43</v>
      </c>
      <c r="F171" s="401">
        <v>6242.1</v>
      </c>
      <c r="G171" s="376">
        <f t="shared" si="32"/>
        <v>865.1</v>
      </c>
      <c r="H171" s="402">
        <f t="shared" si="39"/>
        <v>-532638.39299999923</v>
      </c>
      <c r="I171" s="402">
        <f t="shared" si="40"/>
        <v>5400040.7100000009</v>
      </c>
      <c r="J171" s="753"/>
      <c r="K171" s="515">
        <f t="shared" si="33"/>
        <v>907.13</v>
      </c>
      <c r="L171" s="648">
        <f t="shared" si="41"/>
        <v>5662396.1730000004</v>
      </c>
      <c r="M171" s="754">
        <f t="shared" si="42"/>
        <v>-262355.46299999952</v>
      </c>
      <c r="O171" s="647"/>
      <c r="P171" s="513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</row>
    <row r="172" spans="2:54">
      <c r="B172" s="156">
        <v>45849</v>
      </c>
      <c r="C172" s="255" t="s">
        <v>2790</v>
      </c>
      <c r="D172" s="402">
        <f t="shared" si="38"/>
        <v>10030838.219999999</v>
      </c>
      <c r="E172" s="376">
        <v>950.43</v>
      </c>
      <c r="F172" s="401">
        <v>10554</v>
      </c>
      <c r="G172" s="376">
        <f t="shared" si="32"/>
        <v>865.1</v>
      </c>
      <c r="H172" s="402">
        <f t="shared" si="39"/>
        <v>-900572.81999999844</v>
      </c>
      <c r="I172" s="402">
        <f t="shared" si="40"/>
        <v>9130265.4000000004</v>
      </c>
      <c r="J172" s="753"/>
      <c r="K172" s="515">
        <f t="shared" si="33"/>
        <v>907.13</v>
      </c>
      <c r="L172" s="648">
        <f t="shared" si="41"/>
        <v>9573850.0199999996</v>
      </c>
      <c r="M172" s="754">
        <f t="shared" si="42"/>
        <v>-443584.61999999918</v>
      </c>
      <c r="O172" s="647"/>
      <c r="P172" s="513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</row>
    <row r="173" spans="2:54">
      <c r="B173" s="156">
        <v>45849</v>
      </c>
      <c r="C173" s="255" t="s">
        <v>2791</v>
      </c>
      <c r="D173" s="402">
        <f t="shared" si="38"/>
        <v>138287.565</v>
      </c>
      <c r="E173" s="376">
        <v>950.43</v>
      </c>
      <c r="F173" s="401">
        <v>145.5</v>
      </c>
      <c r="G173" s="376">
        <f t="shared" si="32"/>
        <v>865.1</v>
      </c>
      <c r="H173" s="402">
        <f t="shared" si="39"/>
        <v>-12415.514999999999</v>
      </c>
      <c r="I173" s="402">
        <f t="shared" si="40"/>
        <v>125872.05</v>
      </c>
      <c r="J173" s="753"/>
      <c r="K173" s="515">
        <f t="shared" si="33"/>
        <v>907.13</v>
      </c>
      <c r="L173" s="648">
        <f t="shared" si="41"/>
        <v>131987.41500000001</v>
      </c>
      <c r="M173" s="754">
        <f t="shared" si="42"/>
        <v>-6115.3650000000052</v>
      </c>
      <c r="O173" s="647"/>
      <c r="P173" s="513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</row>
    <row r="174" spans="2:54">
      <c r="B174" s="156">
        <v>45849</v>
      </c>
      <c r="C174" s="255" t="s">
        <v>2792</v>
      </c>
      <c r="D174" s="402">
        <f t="shared" si="38"/>
        <v>3045291.7715999996</v>
      </c>
      <c r="E174" s="376">
        <v>950.43</v>
      </c>
      <c r="F174" s="401">
        <v>3204.12</v>
      </c>
      <c r="G174" s="376">
        <f t="shared" si="32"/>
        <v>865.1</v>
      </c>
      <c r="H174" s="402">
        <f t="shared" si="39"/>
        <v>-273407.5595999998</v>
      </c>
      <c r="I174" s="402">
        <f t="shared" si="40"/>
        <v>2771884.2119999998</v>
      </c>
      <c r="J174" s="753"/>
      <c r="K174" s="515">
        <f t="shared" si="33"/>
        <v>907.13</v>
      </c>
      <c r="L174" s="648">
        <f t="shared" si="41"/>
        <v>2906553.3755999999</v>
      </c>
      <c r="M174" s="754">
        <f t="shared" si="42"/>
        <v>-134669.16360000009</v>
      </c>
      <c r="O174" s="647"/>
      <c r="P174" s="513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31"/>
      <c r="AW174" s="331"/>
      <c r="AX174" s="331"/>
      <c r="AY174" s="331"/>
      <c r="AZ174" s="331"/>
      <c r="BA174" s="331"/>
      <c r="BB174" s="331"/>
    </row>
    <row r="175" spans="2:54">
      <c r="B175" s="156">
        <v>45849</v>
      </c>
      <c r="C175" s="255" t="s">
        <v>2793</v>
      </c>
      <c r="D175" s="402">
        <f t="shared" si="38"/>
        <v>4362473.7</v>
      </c>
      <c r="E175" s="376">
        <v>950.43</v>
      </c>
      <c r="F175" s="401">
        <v>4590</v>
      </c>
      <c r="G175" s="376">
        <f t="shared" si="32"/>
        <v>865.1</v>
      </c>
      <c r="H175" s="402">
        <f t="shared" si="39"/>
        <v>-391664.70000000019</v>
      </c>
      <c r="I175" s="402">
        <f t="shared" si="40"/>
        <v>3970809</v>
      </c>
      <c r="J175" s="753"/>
      <c r="K175" s="515">
        <f t="shared" si="33"/>
        <v>907.13</v>
      </c>
      <c r="L175" s="648">
        <f t="shared" si="41"/>
        <v>4163726.7</v>
      </c>
      <c r="M175" s="754">
        <f t="shared" si="42"/>
        <v>-192917.70000000019</v>
      </c>
      <c r="O175" s="647"/>
      <c r="P175" s="513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31"/>
      <c r="AW175" s="331"/>
      <c r="AX175" s="331"/>
      <c r="AY175" s="331"/>
      <c r="AZ175" s="331"/>
      <c r="BA175" s="331"/>
      <c r="BB175" s="331"/>
    </row>
    <row r="176" spans="2:54">
      <c r="B176" s="156">
        <v>45849</v>
      </c>
      <c r="C176" s="255" t="s">
        <v>2794</v>
      </c>
      <c r="D176" s="402">
        <f t="shared" si="38"/>
        <v>13306970.43</v>
      </c>
      <c r="E176" s="376">
        <v>950.43</v>
      </c>
      <c r="F176" s="401">
        <v>14001</v>
      </c>
      <c r="G176" s="376">
        <f t="shared" ref="G176:G239" si="43">+G175</f>
        <v>865.1</v>
      </c>
      <c r="H176" s="402">
        <f t="shared" si="39"/>
        <v>-1194705.33</v>
      </c>
      <c r="I176" s="402">
        <f t="shared" si="40"/>
        <v>12112265.1</v>
      </c>
      <c r="J176" s="753"/>
      <c r="K176" s="515">
        <f t="shared" ref="K176:K239" si="44">+K175</f>
        <v>907.13</v>
      </c>
      <c r="L176" s="648">
        <f t="shared" si="41"/>
        <v>12700727.130000001</v>
      </c>
      <c r="M176" s="754">
        <f t="shared" si="42"/>
        <v>-588462.03000000119</v>
      </c>
      <c r="O176" s="647"/>
      <c r="P176" s="513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31"/>
      <c r="AW176" s="331"/>
      <c r="AX176" s="331"/>
      <c r="AY176" s="331"/>
      <c r="AZ176" s="331"/>
      <c r="BA176" s="331"/>
      <c r="BB176" s="331"/>
    </row>
    <row r="177" spans="2:54">
      <c r="B177" s="156">
        <v>45849</v>
      </c>
      <c r="C177" s="255" t="s">
        <v>2795</v>
      </c>
      <c r="D177" s="402">
        <f t="shared" si="38"/>
        <v>8244505.0349999992</v>
      </c>
      <c r="E177" s="376">
        <v>950.43</v>
      </c>
      <c r="F177" s="401">
        <v>8674.5</v>
      </c>
      <c r="G177" s="376">
        <f t="shared" si="43"/>
        <v>865.1</v>
      </c>
      <c r="H177" s="402">
        <f t="shared" si="39"/>
        <v>-740195.08499999903</v>
      </c>
      <c r="I177" s="402">
        <f t="shared" si="40"/>
        <v>7504309.9500000002</v>
      </c>
      <c r="J177" s="753"/>
      <c r="K177" s="515">
        <f t="shared" si="44"/>
        <v>907.13</v>
      </c>
      <c r="L177" s="648">
        <f t="shared" si="41"/>
        <v>7868899.1849999996</v>
      </c>
      <c r="M177" s="754">
        <f t="shared" si="42"/>
        <v>-364589.2349999994</v>
      </c>
      <c r="O177" s="647"/>
      <c r="P177" s="513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31"/>
      <c r="AW177" s="331"/>
      <c r="AX177" s="331"/>
      <c r="AY177" s="331"/>
      <c r="AZ177" s="331"/>
      <c r="BA177" s="331"/>
      <c r="BB177" s="331"/>
    </row>
    <row r="178" spans="2:54">
      <c r="B178" s="156">
        <v>45849</v>
      </c>
      <c r="C178" s="255" t="s">
        <v>2796</v>
      </c>
      <c r="D178" s="402">
        <f t="shared" si="38"/>
        <v>2418844.35</v>
      </c>
      <c r="E178" s="376">
        <v>950.43</v>
      </c>
      <c r="F178" s="401">
        <v>2545</v>
      </c>
      <c r="G178" s="376">
        <f t="shared" si="43"/>
        <v>865.1</v>
      </c>
      <c r="H178" s="402">
        <f t="shared" si="39"/>
        <v>-217164.85000000009</v>
      </c>
      <c r="I178" s="402">
        <f t="shared" si="40"/>
        <v>2201679.5</v>
      </c>
      <c r="J178" s="753"/>
      <c r="K178" s="515">
        <f t="shared" si="44"/>
        <v>907.13</v>
      </c>
      <c r="L178" s="648">
        <f t="shared" si="41"/>
        <v>2308645.85</v>
      </c>
      <c r="M178" s="754">
        <f t="shared" si="42"/>
        <v>-106966.35000000009</v>
      </c>
      <c r="O178" s="647"/>
      <c r="P178" s="513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</row>
    <row r="179" spans="2:54">
      <c r="B179" s="156">
        <v>45849</v>
      </c>
      <c r="C179" s="255" t="s">
        <v>2797</v>
      </c>
      <c r="D179" s="402">
        <f t="shared" si="38"/>
        <v>6272838</v>
      </c>
      <c r="E179" s="376">
        <v>950.43</v>
      </c>
      <c r="F179" s="401">
        <v>6600</v>
      </c>
      <c r="G179" s="376">
        <f t="shared" si="43"/>
        <v>865.1</v>
      </c>
      <c r="H179" s="402">
        <f t="shared" si="39"/>
        <v>-563178</v>
      </c>
      <c r="I179" s="402">
        <f t="shared" si="40"/>
        <v>5709660</v>
      </c>
      <c r="J179" s="753"/>
      <c r="K179" s="515">
        <f t="shared" si="44"/>
        <v>907.13</v>
      </c>
      <c r="L179" s="648">
        <f t="shared" si="41"/>
        <v>5987058</v>
      </c>
      <c r="M179" s="754">
        <f t="shared" si="42"/>
        <v>-277398</v>
      </c>
      <c r="O179" s="647"/>
      <c r="P179" s="513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31"/>
      <c r="AW179" s="331"/>
      <c r="AX179" s="331"/>
      <c r="AY179" s="331"/>
      <c r="AZ179" s="331"/>
      <c r="BA179" s="331"/>
      <c r="BB179" s="331"/>
    </row>
    <row r="180" spans="2:54">
      <c r="B180" s="156">
        <v>45849</v>
      </c>
      <c r="C180" s="255" t="s">
        <v>2798</v>
      </c>
      <c r="D180" s="402">
        <f t="shared" si="38"/>
        <v>2991478.4249999998</v>
      </c>
      <c r="E180" s="376">
        <v>950.43</v>
      </c>
      <c r="F180" s="401">
        <v>3147.5</v>
      </c>
      <c r="G180" s="376">
        <f t="shared" si="43"/>
        <v>865.1</v>
      </c>
      <c r="H180" s="402">
        <f t="shared" si="39"/>
        <v>-268576.17499999981</v>
      </c>
      <c r="I180" s="402">
        <f t="shared" si="40"/>
        <v>2722902.25</v>
      </c>
      <c r="J180" s="753"/>
      <c r="K180" s="515">
        <f t="shared" si="44"/>
        <v>907.13</v>
      </c>
      <c r="L180" s="648">
        <f t="shared" si="41"/>
        <v>2855191.6749999998</v>
      </c>
      <c r="M180" s="754">
        <f t="shared" si="42"/>
        <v>-132289.42499999981</v>
      </c>
      <c r="O180" s="647"/>
      <c r="P180" s="513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31"/>
      <c r="AW180" s="331"/>
      <c r="AX180" s="331"/>
      <c r="AY180" s="331"/>
      <c r="AZ180" s="331"/>
      <c r="BA180" s="331"/>
      <c r="BB180" s="331"/>
    </row>
    <row r="181" spans="2:54">
      <c r="B181" s="156">
        <v>45849</v>
      </c>
      <c r="C181" s="255" t="s">
        <v>2799</v>
      </c>
      <c r="D181" s="402">
        <f t="shared" si="38"/>
        <v>7044111.9449999994</v>
      </c>
      <c r="E181" s="376">
        <v>950.43</v>
      </c>
      <c r="F181" s="401">
        <v>7411.5</v>
      </c>
      <c r="G181" s="376">
        <f t="shared" si="43"/>
        <v>865.1</v>
      </c>
      <c r="H181" s="402">
        <f t="shared" si="39"/>
        <v>-632423.29499999899</v>
      </c>
      <c r="I181" s="402">
        <f t="shared" si="40"/>
        <v>6411688.6500000004</v>
      </c>
      <c r="J181" s="753"/>
      <c r="K181" s="515">
        <f t="shared" si="44"/>
        <v>907.13</v>
      </c>
      <c r="L181" s="648">
        <f t="shared" si="41"/>
        <v>6723193.9950000001</v>
      </c>
      <c r="M181" s="754">
        <f t="shared" si="42"/>
        <v>-311505.34499999974</v>
      </c>
      <c r="O181" s="647"/>
      <c r="P181" s="513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31"/>
      <c r="AW181" s="331"/>
      <c r="AX181" s="331"/>
      <c r="AY181" s="331"/>
      <c r="AZ181" s="331"/>
      <c r="BA181" s="331"/>
      <c r="BB181" s="331"/>
    </row>
    <row r="182" spans="2:54">
      <c r="B182" s="156">
        <v>45849</v>
      </c>
      <c r="C182" s="255" t="s">
        <v>2800</v>
      </c>
      <c r="D182" s="402">
        <f t="shared" si="38"/>
        <v>4183792.86</v>
      </c>
      <c r="E182" s="376">
        <v>950.43</v>
      </c>
      <c r="F182" s="401">
        <v>4402</v>
      </c>
      <c r="G182" s="376">
        <f t="shared" si="43"/>
        <v>865.1</v>
      </c>
      <c r="H182" s="402">
        <f t="shared" si="39"/>
        <v>-375622.65999999968</v>
      </c>
      <c r="I182" s="402">
        <f t="shared" si="40"/>
        <v>3808170.2</v>
      </c>
      <c r="J182" s="753"/>
      <c r="K182" s="515">
        <f t="shared" si="44"/>
        <v>907.13</v>
      </c>
      <c r="L182" s="648">
        <f t="shared" si="41"/>
        <v>3993186.26</v>
      </c>
      <c r="M182" s="754">
        <f t="shared" si="42"/>
        <v>-185016.05999999959</v>
      </c>
      <c r="O182" s="647"/>
      <c r="P182" s="513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31"/>
      <c r="AW182" s="331"/>
      <c r="AX182" s="331"/>
      <c r="AY182" s="331"/>
      <c r="AZ182" s="331"/>
      <c r="BA182" s="331"/>
      <c r="BB182" s="331"/>
    </row>
    <row r="183" spans="2:54">
      <c r="B183" s="156">
        <v>45849</v>
      </c>
      <c r="C183" s="255" t="s">
        <v>2801</v>
      </c>
      <c r="D183" s="402">
        <f t="shared" si="38"/>
        <v>6272838</v>
      </c>
      <c r="E183" s="376">
        <v>950.43</v>
      </c>
      <c r="F183" s="401">
        <v>6600</v>
      </c>
      <c r="G183" s="376">
        <f t="shared" si="43"/>
        <v>865.1</v>
      </c>
      <c r="H183" s="402">
        <f t="shared" si="39"/>
        <v>-563178</v>
      </c>
      <c r="I183" s="402">
        <f t="shared" si="40"/>
        <v>5709660</v>
      </c>
      <c r="J183" s="753"/>
      <c r="K183" s="515">
        <f t="shared" si="44"/>
        <v>907.13</v>
      </c>
      <c r="L183" s="648">
        <f t="shared" si="41"/>
        <v>5987058</v>
      </c>
      <c r="M183" s="754">
        <f t="shared" si="42"/>
        <v>-277398</v>
      </c>
      <c r="O183" s="647"/>
      <c r="P183" s="513"/>
      <c r="R183" s="331"/>
      <c r="S183" s="331"/>
      <c r="T183" s="331"/>
      <c r="U183" s="331"/>
      <c r="V183" s="331"/>
      <c r="W183" s="331"/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31"/>
      <c r="AW183" s="331"/>
      <c r="AX183" s="331"/>
      <c r="AY183" s="331"/>
      <c r="AZ183" s="331"/>
      <c r="BA183" s="331"/>
      <c r="BB183" s="331"/>
    </row>
    <row r="184" spans="2:54">
      <c r="B184" s="156">
        <v>45849</v>
      </c>
      <c r="C184" s="255" t="s">
        <v>2802</v>
      </c>
      <c r="D184" s="402">
        <f t="shared" si="38"/>
        <v>2776681.2449999996</v>
      </c>
      <c r="E184" s="376">
        <v>950.43</v>
      </c>
      <c r="F184" s="401">
        <v>2921.5</v>
      </c>
      <c r="G184" s="376">
        <f t="shared" si="43"/>
        <v>865.1</v>
      </c>
      <c r="H184" s="402">
        <f t="shared" si="39"/>
        <v>-249291.59499999974</v>
      </c>
      <c r="I184" s="402">
        <f t="shared" si="40"/>
        <v>2527389.65</v>
      </c>
      <c r="J184" s="753"/>
      <c r="K184" s="515">
        <f t="shared" si="44"/>
        <v>907.13</v>
      </c>
      <c r="L184" s="648">
        <f t="shared" si="41"/>
        <v>2650180.2949999999</v>
      </c>
      <c r="M184" s="754">
        <f t="shared" si="42"/>
        <v>-122790.64500000002</v>
      </c>
      <c r="O184" s="647"/>
      <c r="P184" s="513"/>
      <c r="R184" s="331"/>
      <c r="S184" s="331"/>
      <c r="T184" s="331"/>
      <c r="U184" s="331"/>
      <c r="V184" s="331"/>
      <c r="W184" s="331"/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31"/>
      <c r="AW184" s="331"/>
      <c r="AX184" s="331"/>
      <c r="AY184" s="331"/>
      <c r="AZ184" s="331"/>
      <c r="BA184" s="331"/>
      <c r="BB184" s="331"/>
    </row>
    <row r="185" spans="2:54">
      <c r="B185" s="156">
        <v>45849</v>
      </c>
      <c r="C185" s="255" t="s">
        <v>2803</v>
      </c>
      <c r="D185" s="402">
        <f t="shared" si="38"/>
        <v>6847372.9349999996</v>
      </c>
      <c r="E185" s="376">
        <v>950.43</v>
      </c>
      <c r="F185" s="401">
        <v>7204.5</v>
      </c>
      <c r="G185" s="376">
        <f t="shared" si="43"/>
        <v>865.1</v>
      </c>
      <c r="H185" s="402">
        <f t="shared" si="39"/>
        <v>-614759.9849999994</v>
      </c>
      <c r="I185" s="402">
        <f t="shared" si="40"/>
        <v>6232612.9500000002</v>
      </c>
      <c r="J185" s="753"/>
      <c r="K185" s="515">
        <f t="shared" si="44"/>
        <v>907.13</v>
      </c>
      <c r="L185" s="648">
        <f t="shared" si="41"/>
        <v>6535418.085</v>
      </c>
      <c r="M185" s="754">
        <f t="shared" si="42"/>
        <v>-302805.13499999978</v>
      </c>
      <c r="O185" s="647"/>
      <c r="P185" s="513"/>
      <c r="R185" s="331"/>
      <c r="S185" s="331"/>
      <c r="T185" s="331"/>
      <c r="U185" s="331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31"/>
      <c r="AW185" s="331"/>
      <c r="AX185" s="331"/>
      <c r="AY185" s="331"/>
      <c r="AZ185" s="331"/>
      <c r="BA185" s="331"/>
      <c r="BB185" s="331"/>
    </row>
    <row r="186" spans="2:54">
      <c r="B186" s="156">
        <v>45849</v>
      </c>
      <c r="C186" s="255" t="s">
        <v>2804</v>
      </c>
      <c r="D186" s="402">
        <f t="shared" si="38"/>
        <v>1082159.5979999998</v>
      </c>
      <c r="E186" s="376">
        <v>950.43</v>
      </c>
      <c r="F186" s="401">
        <v>1138.5999999999999</v>
      </c>
      <c r="G186" s="376">
        <f t="shared" si="43"/>
        <v>865.1</v>
      </c>
      <c r="H186" s="402">
        <f t="shared" si="39"/>
        <v>-97156.737999999779</v>
      </c>
      <c r="I186" s="402">
        <f t="shared" si="40"/>
        <v>985002.86</v>
      </c>
      <c r="J186" s="753"/>
      <c r="K186" s="515">
        <f t="shared" si="44"/>
        <v>907.13</v>
      </c>
      <c r="L186" s="648">
        <f t="shared" si="41"/>
        <v>1032858.2179999999</v>
      </c>
      <c r="M186" s="754">
        <f t="shared" si="42"/>
        <v>-47855.357999999891</v>
      </c>
      <c r="O186" s="647"/>
      <c r="P186" s="513"/>
      <c r="R186" s="331"/>
      <c r="S186" s="331"/>
      <c r="T186" s="331"/>
      <c r="U186" s="331"/>
      <c r="V186" s="331"/>
      <c r="W186" s="331"/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31"/>
      <c r="AW186" s="331"/>
      <c r="AX186" s="331"/>
      <c r="AY186" s="331"/>
      <c r="AZ186" s="331"/>
      <c r="BA186" s="331"/>
      <c r="BB186" s="331"/>
    </row>
    <row r="187" spans="2:54">
      <c r="B187" s="156">
        <v>45849</v>
      </c>
      <c r="C187" s="255" t="s">
        <v>2805</v>
      </c>
      <c r="D187" s="402">
        <f t="shared" si="38"/>
        <v>831816.33600000001</v>
      </c>
      <c r="E187" s="376">
        <v>950.43</v>
      </c>
      <c r="F187" s="401">
        <v>875.2</v>
      </c>
      <c r="G187" s="376">
        <f t="shared" si="43"/>
        <v>865.1</v>
      </c>
      <c r="H187" s="402">
        <f t="shared" si="39"/>
        <v>-74680.815999999992</v>
      </c>
      <c r="I187" s="402">
        <f t="shared" si="40"/>
        <v>757135.52</v>
      </c>
      <c r="J187" s="753"/>
      <c r="K187" s="515">
        <f t="shared" si="44"/>
        <v>907.13</v>
      </c>
      <c r="L187" s="648">
        <f t="shared" si="41"/>
        <v>793920.17600000009</v>
      </c>
      <c r="M187" s="754">
        <f t="shared" si="42"/>
        <v>-36784.656000000075</v>
      </c>
      <c r="O187" s="647"/>
      <c r="P187" s="513"/>
      <c r="R187" s="331"/>
      <c r="S187" s="331"/>
      <c r="T187" s="331"/>
      <c r="U187" s="331"/>
      <c r="V187" s="331"/>
      <c r="W187" s="331"/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31"/>
      <c r="AW187" s="331"/>
      <c r="AX187" s="331"/>
      <c r="AY187" s="331"/>
      <c r="AZ187" s="331"/>
      <c r="BA187" s="331"/>
      <c r="BB187" s="331"/>
    </row>
    <row r="188" spans="2:54">
      <c r="B188" s="156">
        <v>45849</v>
      </c>
      <c r="C188" s="255" t="s">
        <v>2806</v>
      </c>
      <c r="D188" s="402">
        <f t="shared" si="38"/>
        <v>311931.12599999999</v>
      </c>
      <c r="E188" s="376">
        <v>950.43</v>
      </c>
      <c r="F188" s="401">
        <v>328.2</v>
      </c>
      <c r="G188" s="376">
        <f t="shared" si="43"/>
        <v>865.1</v>
      </c>
      <c r="H188" s="402">
        <f t="shared" si="39"/>
        <v>-28005.305999999982</v>
      </c>
      <c r="I188" s="402">
        <f t="shared" si="40"/>
        <v>283925.82</v>
      </c>
      <c r="J188" s="753"/>
      <c r="K188" s="515">
        <f t="shared" si="44"/>
        <v>907.13</v>
      </c>
      <c r="L188" s="648">
        <f t="shared" si="41"/>
        <v>297720.06599999999</v>
      </c>
      <c r="M188" s="754">
        <f t="shared" si="42"/>
        <v>-13794.245999999985</v>
      </c>
      <c r="O188" s="647"/>
      <c r="P188" s="513"/>
      <c r="R188" s="331"/>
      <c r="S188" s="331"/>
      <c r="T188" s="331"/>
      <c r="U188" s="331"/>
      <c r="V188" s="331"/>
      <c r="W188" s="331"/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31"/>
      <c r="AW188" s="331"/>
      <c r="AX188" s="331"/>
      <c r="AY188" s="331"/>
      <c r="AZ188" s="331"/>
      <c r="BA188" s="331"/>
      <c r="BB188" s="331"/>
    </row>
    <row r="189" spans="2:54">
      <c r="B189" s="156">
        <v>45849</v>
      </c>
      <c r="C189" s="255" t="s">
        <v>2807</v>
      </c>
      <c r="D189" s="402">
        <f t="shared" si="38"/>
        <v>2321900.4899999998</v>
      </c>
      <c r="E189" s="376">
        <v>950.43</v>
      </c>
      <c r="F189" s="401">
        <v>2443</v>
      </c>
      <c r="G189" s="376">
        <f t="shared" si="43"/>
        <v>865.1</v>
      </c>
      <c r="H189" s="402">
        <f t="shared" si="39"/>
        <v>-208461.18999999948</v>
      </c>
      <c r="I189" s="402">
        <f t="shared" si="40"/>
        <v>2113439.3000000003</v>
      </c>
      <c r="J189" s="753"/>
      <c r="K189" s="515">
        <f t="shared" si="44"/>
        <v>907.13</v>
      </c>
      <c r="L189" s="648">
        <f t="shared" si="41"/>
        <v>2216118.59</v>
      </c>
      <c r="M189" s="754">
        <f t="shared" si="42"/>
        <v>-102679.28999999957</v>
      </c>
      <c r="O189" s="647"/>
      <c r="P189" s="513"/>
      <c r="R189" s="331"/>
      <c r="S189" s="331"/>
      <c r="T189" s="331"/>
      <c r="U189" s="331"/>
      <c r="V189" s="331"/>
      <c r="W189" s="331"/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31"/>
      <c r="AW189" s="331"/>
      <c r="AX189" s="331"/>
      <c r="AY189" s="331"/>
      <c r="AZ189" s="331"/>
      <c r="BA189" s="331"/>
      <c r="BB189" s="331"/>
    </row>
    <row r="190" spans="2:54">
      <c r="B190" s="156">
        <v>45849</v>
      </c>
      <c r="C190" s="255" t="s">
        <v>2808</v>
      </c>
      <c r="D190" s="402">
        <f t="shared" si="38"/>
        <v>6272838</v>
      </c>
      <c r="E190" s="376">
        <v>950.43</v>
      </c>
      <c r="F190" s="401">
        <v>6600</v>
      </c>
      <c r="G190" s="376">
        <f t="shared" si="43"/>
        <v>865.1</v>
      </c>
      <c r="H190" s="402">
        <f t="shared" si="39"/>
        <v>-563178</v>
      </c>
      <c r="I190" s="402">
        <f t="shared" si="40"/>
        <v>5709660</v>
      </c>
      <c r="J190" s="753">
        <f>SUM(I143:I190)</f>
        <v>260433250.91</v>
      </c>
      <c r="K190" s="515">
        <f t="shared" si="44"/>
        <v>907.13</v>
      </c>
      <c r="L190" s="648">
        <f t="shared" si="41"/>
        <v>5987058</v>
      </c>
      <c r="M190" s="754">
        <f t="shared" si="42"/>
        <v>-277398</v>
      </c>
      <c r="O190" s="647"/>
      <c r="P190" s="513"/>
      <c r="R190" s="331"/>
      <c r="S190" s="331"/>
      <c r="T190" s="331"/>
      <c r="U190" s="331"/>
      <c r="V190" s="331"/>
      <c r="W190" s="331"/>
      <c r="X190" s="331"/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31"/>
      <c r="AW190" s="331"/>
      <c r="AX190" s="331"/>
      <c r="AY190" s="331"/>
      <c r="AZ190" s="331"/>
      <c r="BA190" s="331"/>
      <c r="BB190" s="331"/>
    </row>
    <row r="191" spans="2:54">
      <c r="B191" s="235">
        <v>45873</v>
      </c>
      <c r="C191" s="255" t="s">
        <v>2842</v>
      </c>
      <c r="D191" s="402">
        <f t="shared" si="38"/>
        <v>1268366.28</v>
      </c>
      <c r="E191" s="376">
        <v>967.48</v>
      </c>
      <c r="F191" s="401">
        <v>1311</v>
      </c>
      <c r="G191" s="376">
        <f t="shared" si="43"/>
        <v>865.1</v>
      </c>
      <c r="H191" s="402">
        <f t="shared" ref="H191:H229" si="45">+I191-D191</f>
        <v>-134220.17999999993</v>
      </c>
      <c r="I191" s="402">
        <f t="shared" ref="I191:I229" si="46">+F191*G191</f>
        <v>1134146.1000000001</v>
      </c>
      <c r="J191" s="753"/>
      <c r="K191" s="515">
        <f t="shared" si="44"/>
        <v>907.13</v>
      </c>
      <c r="L191" s="648">
        <f t="shared" ref="L191:L253" si="47">K191*F191</f>
        <v>1189247.43</v>
      </c>
      <c r="M191" s="754">
        <f t="shared" ref="M191:M253" si="48">I191-L191</f>
        <v>-55101.329999999842</v>
      </c>
      <c r="O191" s="647"/>
      <c r="P191" s="513"/>
      <c r="R191" s="331"/>
      <c r="S191" s="331"/>
      <c r="T191" s="331"/>
      <c r="U191" s="331"/>
      <c r="V191" s="331"/>
      <c r="W191" s="331"/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31"/>
      <c r="AW191" s="331"/>
      <c r="AX191" s="331"/>
      <c r="AY191" s="331"/>
      <c r="AZ191" s="331"/>
      <c r="BA191" s="331"/>
      <c r="BB191" s="331"/>
    </row>
    <row r="192" spans="2:54">
      <c r="B192" s="235">
        <v>45884</v>
      </c>
      <c r="C192" s="255" t="s">
        <v>2843</v>
      </c>
      <c r="D192" s="402">
        <f t="shared" si="38"/>
        <v>6948491.5200000005</v>
      </c>
      <c r="E192" s="376">
        <v>952.37</v>
      </c>
      <c r="F192" s="401">
        <v>7296</v>
      </c>
      <c r="G192" s="376">
        <f t="shared" si="43"/>
        <v>865.1</v>
      </c>
      <c r="H192" s="402">
        <f t="shared" si="45"/>
        <v>-636721.91999999993</v>
      </c>
      <c r="I192" s="402">
        <f t="shared" si="46"/>
        <v>6311769.6000000006</v>
      </c>
      <c r="J192" s="753"/>
      <c r="K192" s="515">
        <f t="shared" si="44"/>
        <v>907.13</v>
      </c>
      <c r="L192" s="648">
        <f t="shared" si="47"/>
        <v>6618420.4799999995</v>
      </c>
      <c r="M192" s="754">
        <f t="shared" si="48"/>
        <v>-306650.87999999896</v>
      </c>
      <c r="O192" s="647"/>
      <c r="P192" s="513"/>
      <c r="R192" s="331"/>
      <c r="S192" s="331"/>
      <c r="T192" s="331"/>
      <c r="U192" s="331"/>
      <c r="V192" s="331"/>
      <c r="W192" s="331"/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31"/>
      <c r="AW192" s="331"/>
      <c r="AX192" s="331"/>
      <c r="AY192" s="331"/>
      <c r="AZ192" s="331"/>
      <c r="BA192" s="331"/>
      <c r="BB192" s="331"/>
    </row>
    <row r="193" spans="2:54">
      <c r="B193" s="235">
        <v>45884</v>
      </c>
      <c r="C193" s="255" t="s">
        <v>2844</v>
      </c>
      <c r="D193" s="402">
        <f t="shared" si="38"/>
        <v>184759.78</v>
      </c>
      <c r="E193" s="376">
        <v>952.37</v>
      </c>
      <c r="F193" s="401">
        <v>194</v>
      </c>
      <c r="G193" s="376">
        <f t="shared" si="43"/>
        <v>865.1</v>
      </c>
      <c r="H193" s="402">
        <f t="shared" si="45"/>
        <v>-16930.380000000005</v>
      </c>
      <c r="I193" s="402">
        <f t="shared" si="46"/>
        <v>167829.4</v>
      </c>
      <c r="J193" s="753"/>
      <c r="K193" s="515">
        <f t="shared" si="44"/>
        <v>907.13</v>
      </c>
      <c r="L193" s="648">
        <f t="shared" si="47"/>
        <v>175983.22</v>
      </c>
      <c r="M193" s="754">
        <f t="shared" si="48"/>
        <v>-8153.820000000007</v>
      </c>
      <c r="O193" s="647"/>
      <c r="P193" s="513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31"/>
      <c r="AW193" s="331"/>
      <c r="AX193" s="331"/>
      <c r="AY193" s="331"/>
      <c r="AZ193" s="331"/>
      <c r="BA193" s="331"/>
      <c r="BB193" s="331"/>
    </row>
    <row r="194" spans="2:54">
      <c r="B194" s="235">
        <v>45887</v>
      </c>
      <c r="C194" s="255" t="s">
        <v>2845</v>
      </c>
      <c r="D194" s="402">
        <f t="shared" si="38"/>
        <v>941641.36</v>
      </c>
      <c r="E194" s="376">
        <v>961.84</v>
      </c>
      <c r="F194" s="401">
        <v>979</v>
      </c>
      <c r="G194" s="376">
        <f t="shared" si="43"/>
        <v>865.1</v>
      </c>
      <c r="H194" s="402">
        <f t="shared" si="45"/>
        <v>-94708.459999999963</v>
      </c>
      <c r="I194" s="402">
        <f t="shared" si="46"/>
        <v>846932.9</v>
      </c>
      <c r="J194" s="753"/>
      <c r="K194" s="515">
        <f t="shared" si="44"/>
        <v>907.13</v>
      </c>
      <c r="L194" s="648">
        <f t="shared" si="47"/>
        <v>888080.27</v>
      </c>
      <c r="M194" s="754">
        <f t="shared" si="48"/>
        <v>-41147.369999999995</v>
      </c>
      <c r="O194" s="647"/>
      <c r="P194" s="513"/>
      <c r="R194" s="331"/>
      <c r="S194" s="331"/>
      <c r="T194" s="331"/>
      <c r="U194" s="331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31"/>
      <c r="AW194" s="331"/>
      <c r="AX194" s="331"/>
      <c r="AY194" s="331"/>
      <c r="AZ194" s="331"/>
      <c r="BA194" s="331"/>
      <c r="BB194" s="331"/>
    </row>
    <row r="195" spans="2:54">
      <c r="B195" s="235">
        <v>45887</v>
      </c>
      <c r="C195" s="255" t="s">
        <v>2846</v>
      </c>
      <c r="D195" s="402">
        <f t="shared" si="38"/>
        <v>11512743.880000001</v>
      </c>
      <c r="E195" s="376">
        <v>961.84</v>
      </c>
      <c r="F195" s="401">
        <v>11969.5</v>
      </c>
      <c r="G195" s="376">
        <f t="shared" si="43"/>
        <v>865.1</v>
      </c>
      <c r="H195" s="402">
        <f t="shared" si="45"/>
        <v>-1157929.4299999997</v>
      </c>
      <c r="I195" s="402">
        <f t="shared" si="46"/>
        <v>10354814.450000001</v>
      </c>
      <c r="J195" s="753"/>
      <c r="K195" s="515">
        <f t="shared" si="44"/>
        <v>907.13</v>
      </c>
      <c r="L195" s="648">
        <f t="shared" si="47"/>
        <v>10857892.535</v>
      </c>
      <c r="M195" s="754">
        <f t="shared" si="48"/>
        <v>-503078.08499999903</v>
      </c>
      <c r="O195" s="647"/>
      <c r="P195" s="513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31"/>
      <c r="AW195" s="331"/>
      <c r="AX195" s="331"/>
      <c r="AY195" s="331"/>
      <c r="AZ195" s="331"/>
      <c r="BA195" s="331"/>
      <c r="BB195" s="331"/>
    </row>
    <row r="196" spans="2:54">
      <c r="B196" s="235">
        <v>45887</v>
      </c>
      <c r="C196" s="255" t="s">
        <v>2847</v>
      </c>
      <c r="D196" s="402">
        <f t="shared" si="38"/>
        <v>990214.28</v>
      </c>
      <c r="E196" s="376">
        <v>961.84</v>
      </c>
      <c r="F196" s="401">
        <v>1029.5</v>
      </c>
      <c r="G196" s="376">
        <f t="shared" si="43"/>
        <v>865.1</v>
      </c>
      <c r="H196" s="402">
        <f t="shared" si="45"/>
        <v>-99593.829999999958</v>
      </c>
      <c r="I196" s="402">
        <f t="shared" si="46"/>
        <v>890620.45000000007</v>
      </c>
      <c r="J196" s="753"/>
      <c r="K196" s="515">
        <f t="shared" si="44"/>
        <v>907.13</v>
      </c>
      <c r="L196" s="648">
        <f t="shared" si="47"/>
        <v>933890.33499999996</v>
      </c>
      <c r="M196" s="754">
        <f t="shared" si="48"/>
        <v>-43269.884999999893</v>
      </c>
      <c r="O196" s="647"/>
      <c r="P196" s="513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31"/>
      <c r="AW196" s="331"/>
      <c r="AX196" s="331"/>
      <c r="AY196" s="331"/>
      <c r="AZ196" s="331"/>
      <c r="BA196" s="331"/>
      <c r="BB196" s="331"/>
    </row>
    <row r="197" spans="2:54">
      <c r="B197" s="235">
        <v>45887</v>
      </c>
      <c r="C197" s="255" t="s">
        <v>2848</v>
      </c>
      <c r="D197" s="402">
        <f t="shared" si="38"/>
        <v>11729157.880000001</v>
      </c>
      <c r="E197" s="376">
        <v>961.84</v>
      </c>
      <c r="F197" s="401">
        <v>12194.5</v>
      </c>
      <c r="G197" s="376">
        <f t="shared" si="43"/>
        <v>865.1</v>
      </c>
      <c r="H197" s="402">
        <f t="shared" si="45"/>
        <v>-1179695.9299999997</v>
      </c>
      <c r="I197" s="402">
        <f t="shared" si="46"/>
        <v>10549461.950000001</v>
      </c>
      <c r="J197" s="753"/>
      <c r="K197" s="515">
        <f t="shared" si="44"/>
        <v>907.13</v>
      </c>
      <c r="L197" s="648">
        <f t="shared" si="47"/>
        <v>11061996.785</v>
      </c>
      <c r="M197" s="754">
        <f t="shared" si="48"/>
        <v>-512534.83499999903</v>
      </c>
      <c r="O197" s="647"/>
      <c r="P197" s="513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31"/>
      <c r="AW197" s="331"/>
      <c r="AX197" s="331"/>
      <c r="AY197" s="331"/>
      <c r="AZ197" s="331"/>
      <c r="BA197" s="331"/>
      <c r="BB197" s="331"/>
    </row>
    <row r="198" spans="2:54">
      <c r="B198" s="235">
        <v>45887</v>
      </c>
      <c r="C198" s="255" t="s">
        <v>2849</v>
      </c>
      <c r="D198" s="402">
        <f t="shared" si="38"/>
        <v>1457187.6</v>
      </c>
      <c r="E198" s="376">
        <v>961.84</v>
      </c>
      <c r="F198" s="401">
        <v>1515</v>
      </c>
      <c r="G198" s="376">
        <f t="shared" si="43"/>
        <v>865.1</v>
      </c>
      <c r="H198" s="402">
        <f t="shared" si="45"/>
        <v>-146561.10000000009</v>
      </c>
      <c r="I198" s="402">
        <f t="shared" si="46"/>
        <v>1310626.5</v>
      </c>
      <c r="J198" s="753"/>
      <c r="K198" s="515">
        <f t="shared" si="44"/>
        <v>907.13</v>
      </c>
      <c r="L198" s="648">
        <f t="shared" si="47"/>
        <v>1374301.95</v>
      </c>
      <c r="M198" s="754">
        <f t="shared" si="48"/>
        <v>-63675.449999999953</v>
      </c>
      <c r="O198" s="647"/>
      <c r="P198" s="513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31"/>
      <c r="AW198" s="331"/>
      <c r="AX198" s="331"/>
      <c r="AY198" s="331"/>
      <c r="AZ198" s="331"/>
      <c r="BA198" s="331"/>
      <c r="BB198" s="331"/>
    </row>
    <row r="199" spans="2:54">
      <c r="B199" s="235">
        <v>45887</v>
      </c>
      <c r="C199" s="255" t="s">
        <v>2850</v>
      </c>
      <c r="D199" s="402">
        <f t="shared" si="38"/>
        <v>781495</v>
      </c>
      <c r="E199" s="376">
        <v>961.84</v>
      </c>
      <c r="F199" s="401">
        <v>812.5</v>
      </c>
      <c r="G199" s="376">
        <f t="shared" si="43"/>
        <v>865.1</v>
      </c>
      <c r="H199" s="402">
        <f t="shared" si="45"/>
        <v>-78601.25</v>
      </c>
      <c r="I199" s="402">
        <f t="shared" si="46"/>
        <v>702893.75</v>
      </c>
      <c r="J199" s="753"/>
      <c r="K199" s="515">
        <f t="shared" si="44"/>
        <v>907.13</v>
      </c>
      <c r="L199" s="648">
        <f t="shared" si="47"/>
        <v>737043.125</v>
      </c>
      <c r="M199" s="754">
        <f t="shared" si="48"/>
        <v>-34149.375</v>
      </c>
      <c r="O199" s="647"/>
      <c r="P199" s="513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31"/>
      <c r="AW199" s="331"/>
      <c r="AX199" s="331"/>
      <c r="AY199" s="331"/>
      <c r="AZ199" s="331"/>
      <c r="BA199" s="331"/>
      <c r="BB199" s="331"/>
    </row>
    <row r="200" spans="2:54">
      <c r="B200" s="235">
        <v>45887</v>
      </c>
      <c r="C200" s="255" t="s">
        <v>2851</v>
      </c>
      <c r="D200" s="402">
        <f t="shared" si="38"/>
        <v>9774218.0800000001</v>
      </c>
      <c r="E200" s="376">
        <v>961.84</v>
      </c>
      <c r="F200" s="401">
        <v>10162</v>
      </c>
      <c r="G200" s="376">
        <f t="shared" si="43"/>
        <v>865.1</v>
      </c>
      <c r="H200" s="402">
        <f t="shared" si="45"/>
        <v>-983071.87999999896</v>
      </c>
      <c r="I200" s="402">
        <f t="shared" si="46"/>
        <v>8791146.2000000011</v>
      </c>
      <c r="J200" s="753"/>
      <c r="K200" s="515">
        <f t="shared" si="44"/>
        <v>907.13</v>
      </c>
      <c r="L200" s="648">
        <f t="shared" si="47"/>
        <v>9218255.0600000005</v>
      </c>
      <c r="M200" s="754">
        <f t="shared" si="48"/>
        <v>-427108.8599999994</v>
      </c>
      <c r="O200" s="647"/>
      <c r="P200" s="513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31"/>
      <c r="AW200" s="331"/>
      <c r="AX200" s="331"/>
      <c r="AY200" s="331"/>
      <c r="AZ200" s="331"/>
      <c r="BA200" s="331"/>
      <c r="BB200" s="331"/>
    </row>
    <row r="201" spans="2:54">
      <c r="B201" s="235">
        <v>45887</v>
      </c>
      <c r="C201" s="255" t="s">
        <v>2852</v>
      </c>
      <c r="D201" s="402">
        <f t="shared" ref="D201:D276" si="49">F201*E201</f>
        <v>990214.28</v>
      </c>
      <c r="E201" s="376">
        <v>961.84</v>
      </c>
      <c r="F201" s="401">
        <v>1029.5</v>
      </c>
      <c r="G201" s="376">
        <f t="shared" si="43"/>
        <v>865.1</v>
      </c>
      <c r="H201" s="402">
        <f t="shared" si="45"/>
        <v>-99593.829999999958</v>
      </c>
      <c r="I201" s="402">
        <f t="shared" si="46"/>
        <v>890620.45000000007</v>
      </c>
      <c r="J201" s="753"/>
      <c r="K201" s="515">
        <f t="shared" si="44"/>
        <v>907.13</v>
      </c>
      <c r="L201" s="648">
        <f t="shared" si="47"/>
        <v>933890.33499999996</v>
      </c>
      <c r="M201" s="754">
        <f t="shared" si="48"/>
        <v>-43269.884999999893</v>
      </c>
      <c r="O201" s="647"/>
      <c r="P201" s="513"/>
      <c r="R201" s="331"/>
      <c r="S201" s="331"/>
      <c r="T201" s="331"/>
      <c r="U201" s="331"/>
      <c r="V201" s="331"/>
      <c r="W201" s="331"/>
      <c r="X201" s="331"/>
      <c r="Y201" s="331"/>
      <c r="Z201" s="331"/>
      <c r="AA201" s="331"/>
      <c r="AB201" s="331"/>
      <c r="AC201" s="331"/>
      <c r="AD201" s="331"/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31"/>
      <c r="AW201" s="331"/>
      <c r="AX201" s="331"/>
      <c r="AY201" s="331"/>
      <c r="AZ201" s="331"/>
      <c r="BA201" s="331"/>
      <c r="BB201" s="331"/>
    </row>
    <row r="202" spans="2:54">
      <c r="B202" s="235">
        <v>45887</v>
      </c>
      <c r="C202" s="255" t="s">
        <v>2853</v>
      </c>
      <c r="D202" s="402">
        <f t="shared" si="49"/>
        <v>11488697.880000001</v>
      </c>
      <c r="E202" s="376">
        <v>961.84</v>
      </c>
      <c r="F202" s="401">
        <v>11944.5</v>
      </c>
      <c r="G202" s="376">
        <f t="shared" si="43"/>
        <v>865.1</v>
      </c>
      <c r="H202" s="402">
        <f t="shared" si="45"/>
        <v>-1155510.9299999997</v>
      </c>
      <c r="I202" s="402">
        <f t="shared" si="46"/>
        <v>10333186.950000001</v>
      </c>
      <c r="J202" s="753"/>
      <c r="K202" s="515">
        <f t="shared" si="44"/>
        <v>907.13</v>
      </c>
      <c r="L202" s="648">
        <f t="shared" si="47"/>
        <v>10835214.285</v>
      </c>
      <c r="M202" s="754">
        <f t="shared" si="48"/>
        <v>-502027.33499999903</v>
      </c>
      <c r="O202" s="647"/>
      <c r="P202" s="513"/>
      <c r="R202" s="331"/>
      <c r="S202" s="331"/>
      <c r="T202" s="331"/>
      <c r="U202" s="331"/>
      <c r="V202" s="331"/>
      <c r="W202" s="331"/>
      <c r="X202" s="331"/>
      <c r="Y202" s="331"/>
      <c r="Z202" s="331"/>
      <c r="AA202" s="331"/>
      <c r="AB202" s="331"/>
      <c r="AC202" s="331"/>
      <c r="AD202" s="331"/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31"/>
      <c r="AW202" s="331"/>
      <c r="AX202" s="331"/>
      <c r="AY202" s="331"/>
      <c r="AZ202" s="331"/>
      <c r="BA202" s="331"/>
      <c r="BB202" s="331"/>
    </row>
    <row r="203" spans="2:54">
      <c r="B203" s="235">
        <v>45887</v>
      </c>
      <c r="C203" s="255" t="s">
        <v>2854</v>
      </c>
      <c r="D203" s="402">
        <f t="shared" si="49"/>
        <v>388583.36</v>
      </c>
      <c r="E203" s="376">
        <v>961.84</v>
      </c>
      <c r="F203" s="401">
        <v>404</v>
      </c>
      <c r="G203" s="376">
        <f t="shared" si="43"/>
        <v>865.1</v>
      </c>
      <c r="H203" s="402">
        <f t="shared" si="45"/>
        <v>-39082.959999999963</v>
      </c>
      <c r="I203" s="402">
        <f t="shared" si="46"/>
        <v>349500.4</v>
      </c>
      <c r="J203" s="753"/>
      <c r="K203" s="515">
        <f t="shared" si="44"/>
        <v>907.13</v>
      </c>
      <c r="L203" s="648">
        <f t="shared" si="47"/>
        <v>366480.52</v>
      </c>
      <c r="M203" s="754">
        <f t="shared" si="48"/>
        <v>-16980.119999999995</v>
      </c>
      <c r="O203" s="647"/>
      <c r="P203" s="513"/>
      <c r="R203" s="331"/>
      <c r="S203" s="331"/>
      <c r="T203" s="331"/>
      <c r="U203" s="331"/>
      <c r="V203" s="331"/>
      <c r="W203" s="331"/>
      <c r="X203" s="331"/>
      <c r="Y203" s="331"/>
      <c r="Z203" s="331"/>
      <c r="AA203" s="331"/>
      <c r="AB203" s="331"/>
      <c r="AC203" s="331"/>
      <c r="AD203" s="331"/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31"/>
      <c r="AW203" s="331"/>
      <c r="AX203" s="331"/>
      <c r="AY203" s="331"/>
      <c r="AZ203" s="331"/>
      <c r="BA203" s="331"/>
      <c r="BB203" s="331"/>
    </row>
    <row r="204" spans="2:54">
      <c r="B204" s="235">
        <v>45887</v>
      </c>
      <c r="C204" s="255" t="s">
        <v>2855</v>
      </c>
      <c r="D204" s="402">
        <f t="shared" si="49"/>
        <v>9774218.0800000001</v>
      </c>
      <c r="E204" s="376">
        <v>961.84</v>
      </c>
      <c r="F204" s="401">
        <v>10162</v>
      </c>
      <c r="G204" s="376">
        <f t="shared" si="43"/>
        <v>865.1</v>
      </c>
      <c r="H204" s="402">
        <f t="shared" si="45"/>
        <v>-983071.87999999896</v>
      </c>
      <c r="I204" s="402">
        <f t="shared" si="46"/>
        <v>8791146.2000000011</v>
      </c>
      <c r="J204" s="753"/>
      <c r="K204" s="515">
        <f t="shared" si="44"/>
        <v>907.13</v>
      </c>
      <c r="L204" s="648">
        <f t="shared" si="47"/>
        <v>9218255.0600000005</v>
      </c>
      <c r="M204" s="754">
        <f t="shared" si="48"/>
        <v>-427108.8599999994</v>
      </c>
      <c r="O204" s="647"/>
      <c r="P204" s="513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31"/>
      <c r="AW204" s="331"/>
      <c r="AX204" s="331"/>
      <c r="AY204" s="331"/>
      <c r="AZ204" s="331"/>
      <c r="BA204" s="331"/>
      <c r="BB204" s="331"/>
    </row>
    <row r="205" spans="2:54">
      <c r="B205" s="235">
        <v>45887</v>
      </c>
      <c r="C205" s="255" t="s">
        <v>2856</v>
      </c>
      <c r="D205" s="402">
        <f t="shared" si="49"/>
        <v>941641.36</v>
      </c>
      <c r="E205" s="376">
        <v>961.84</v>
      </c>
      <c r="F205" s="401">
        <v>979</v>
      </c>
      <c r="G205" s="376">
        <f t="shared" si="43"/>
        <v>865.1</v>
      </c>
      <c r="H205" s="402">
        <f t="shared" si="45"/>
        <v>-94708.459999999963</v>
      </c>
      <c r="I205" s="402">
        <f t="shared" si="46"/>
        <v>846932.9</v>
      </c>
      <c r="J205" s="753"/>
      <c r="K205" s="515">
        <f t="shared" si="44"/>
        <v>907.13</v>
      </c>
      <c r="L205" s="648">
        <f t="shared" si="47"/>
        <v>888080.27</v>
      </c>
      <c r="M205" s="754">
        <f t="shared" si="48"/>
        <v>-41147.369999999995</v>
      </c>
      <c r="O205" s="647"/>
      <c r="P205" s="513"/>
      <c r="R205" s="331"/>
      <c r="S205" s="331"/>
      <c r="T205" s="331"/>
      <c r="U205" s="331"/>
      <c r="V205" s="331"/>
      <c r="W205" s="331"/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31"/>
      <c r="AW205" s="331"/>
      <c r="AX205" s="331"/>
      <c r="AY205" s="331"/>
      <c r="AZ205" s="331"/>
      <c r="BA205" s="331"/>
      <c r="BB205" s="331"/>
    </row>
    <row r="206" spans="2:54">
      <c r="B206" s="235">
        <v>45887</v>
      </c>
      <c r="C206" s="255" t="s">
        <v>2857</v>
      </c>
      <c r="D206" s="402">
        <f t="shared" si="49"/>
        <v>10381139.120000001</v>
      </c>
      <c r="E206" s="376">
        <v>961.84</v>
      </c>
      <c r="F206" s="401">
        <v>10793</v>
      </c>
      <c r="G206" s="376">
        <f t="shared" si="43"/>
        <v>865.1</v>
      </c>
      <c r="H206" s="402">
        <f t="shared" si="45"/>
        <v>-1044114.8200000003</v>
      </c>
      <c r="I206" s="402">
        <f t="shared" si="46"/>
        <v>9337024.3000000007</v>
      </c>
      <c r="J206" s="753"/>
      <c r="K206" s="515">
        <f t="shared" si="44"/>
        <v>907.13</v>
      </c>
      <c r="L206" s="648">
        <f t="shared" si="47"/>
        <v>9790654.0899999999</v>
      </c>
      <c r="M206" s="754">
        <f t="shared" si="48"/>
        <v>-453629.78999999911</v>
      </c>
      <c r="O206" s="647"/>
      <c r="P206" s="513"/>
      <c r="R206" s="331"/>
      <c r="S206" s="331"/>
      <c r="T206" s="331"/>
      <c r="U206" s="331"/>
      <c r="V206" s="331"/>
      <c r="W206" s="331"/>
      <c r="X206" s="331"/>
      <c r="Y206" s="331"/>
      <c r="Z206" s="331"/>
      <c r="AA206" s="331"/>
      <c r="AB206" s="331"/>
      <c r="AC206" s="331"/>
      <c r="AD206" s="331"/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31"/>
      <c r="AR206" s="331"/>
      <c r="AS206" s="331"/>
      <c r="AT206" s="331"/>
      <c r="AU206" s="331"/>
      <c r="AV206" s="331"/>
      <c r="AW206" s="331"/>
      <c r="AX206" s="331"/>
      <c r="AY206" s="331"/>
      <c r="AZ206" s="331"/>
      <c r="BA206" s="331"/>
      <c r="BB206" s="331"/>
    </row>
    <row r="207" spans="2:54">
      <c r="B207" s="235">
        <v>45887</v>
      </c>
      <c r="C207" s="255" t="s">
        <v>2858</v>
      </c>
      <c r="D207" s="402">
        <f t="shared" si="49"/>
        <v>781495</v>
      </c>
      <c r="E207" s="376">
        <v>961.84</v>
      </c>
      <c r="F207" s="401">
        <v>812.5</v>
      </c>
      <c r="G207" s="376">
        <f t="shared" si="43"/>
        <v>865.1</v>
      </c>
      <c r="H207" s="402">
        <f t="shared" si="45"/>
        <v>-78601.25</v>
      </c>
      <c r="I207" s="402">
        <f t="shared" si="46"/>
        <v>702893.75</v>
      </c>
      <c r="J207" s="753"/>
      <c r="K207" s="515">
        <f t="shared" si="44"/>
        <v>907.13</v>
      </c>
      <c r="L207" s="648">
        <f t="shared" si="47"/>
        <v>737043.125</v>
      </c>
      <c r="M207" s="754">
        <f t="shared" si="48"/>
        <v>-34149.375</v>
      </c>
      <c r="O207" s="647"/>
      <c r="P207" s="513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31"/>
      <c r="AD207" s="331"/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31"/>
      <c r="AR207" s="331"/>
      <c r="AS207" s="331"/>
      <c r="AT207" s="331"/>
      <c r="AU207" s="331"/>
      <c r="AV207" s="331"/>
      <c r="AW207" s="331"/>
      <c r="AX207" s="331"/>
      <c r="AY207" s="331"/>
      <c r="AZ207" s="331"/>
      <c r="BA207" s="331"/>
      <c r="BB207" s="331"/>
    </row>
    <row r="208" spans="2:54">
      <c r="B208" s="235">
        <v>45887</v>
      </c>
      <c r="C208" s="255" t="s">
        <v>2859</v>
      </c>
      <c r="D208" s="402">
        <f t="shared" si="49"/>
        <v>9774218.0800000001</v>
      </c>
      <c r="E208" s="376">
        <v>961.84</v>
      </c>
      <c r="F208" s="401">
        <v>10162</v>
      </c>
      <c r="G208" s="376">
        <f t="shared" si="43"/>
        <v>865.1</v>
      </c>
      <c r="H208" s="402">
        <f t="shared" si="45"/>
        <v>-983071.87999999896</v>
      </c>
      <c r="I208" s="402">
        <f t="shared" si="46"/>
        <v>8791146.2000000011</v>
      </c>
      <c r="J208" s="753"/>
      <c r="K208" s="515">
        <f t="shared" si="44"/>
        <v>907.13</v>
      </c>
      <c r="L208" s="648">
        <f t="shared" si="47"/>
        <v>9218255.0600000005</v>
      </c>
      <c r="M208" s="754">
        <f t="shared" si="48"/>
        <v>-427108.8599999994</v>
      </c>
      <c r="O208" s="647"/>
      <c r="P208" s="513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31"/>
      <c r="AD208" s="331"/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31"/>
      <c r="AW208" s="331"/>
      <c r="AX208" s="331"/>
      <c r="AY208" s="331"/>
      <c r="AZ208" s="331"/>
      <c r="BA208" s="331"/>
      <c r="BB208" s="331"/>
    </row>
    <row r="209" spans="2:54">
      <c r="B209" s="235">
        <v>45887</v>
      </c>
      <c r="C209" s="255" t="s">
        <v>2860</v>
      </c>
      <c r="D209" s="402">
        <f t="shared" si="49"/>
        <v>941641.36</v>
      </c>
      <c r="E209" s="376">
        <v>961.84</v>
      </c>
      <c r="F209" s="401">
        <v>979</v>
      </c>
      <c r="G209" s="376">
        <f t="shared" si="43"/>
        <v>865.1</v>
      </c>
      <c r="H209" s="402">
        <f t="shared" si="45"/>
        <v>-94708.459999999963</v>
      </c>
      <c r="I209" s="402">
        <f t="shared" si="46"/>
        <v>846932.9</v>
      </c>
      <c r="J209" s="753"/>
      <c r="K209" s="515">
        <f t="shared" si="44"/>
        <v>907.13</v>
      </c>
      <c r="L209" s="648">
        <f t="shared" si="47"/>
        <v>888080.27</v>
      </c>
      <c r="M209" s="754">
        <f t="shared" si="48"/>
        <v>-41147.369999999995</v>
      </c>
      <c r="O209" s="647"/>
      <c r="P209" s="513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31"/>
      <c r="AW209" s="331"/>
      <c r="AX209" s="331"/>
      <c r="AY209" s="331"/>
      <c r="AZ209" s="331"/>
      <c r="BA209" s="331"/>
      <c r="BB209" s="331"/>
    </row>
    <row r="210" spans="2:54">
      <c r="B210" s="235">
        <v>45887</v>
      </c>
      <c r="C210" s="255" t="s">
        <v>2861</v>
      </c>
      <c r="D210" s="402">
        <f t="shared" si="49"/>
        <v>11488697.880000001</v>
      </c>
      <c r="E210" s="376">
        <v>961.84</v>
      </c>
      <c r="F210" s="401">
        <v>11944.5</v>
      </c>
      <c r="G210" s="376">
        <f t="shared" si="43"/>
        <v>865.1</v>
      </c>
      <c r="H210" s="402">
        <f t="shared" si="45"/>
        <v>-1155510.9299999997</v>
      </c>
      <c r="I210" s="402">
        <f t="shared" si="46"/>
        <v>10333186.950000001</v>
      </c>
      <c r="J210" s="753"/>
      <c r="K210" s="515">
        <f t="shared" si="44"/>
        <v>907.13</v>
      </c>
      <c r="L210" s="648">
        <f t="shared" si="47"/>
        <v>10835214.285</v>
      </c>
      <c r="M210" s="754">
        <f t="shared" si="48"/>
        <v>-502027.33499999903</v>
      </c>
      <c r="O210" s="647"/>
      <c r="P210" s="513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31"/>
      <c r="AD210" s="331"/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31"/>
      <c r="AW210" s="331"/>
      <c r="AX210" s="331"/>
      <c r="AY210" s="331"/>
      <c r="AZ210" s="331"/>
      <c r="BA210" s="331"/>
      <c r="BB210" s="331"/>
    </row>
    <row r="211" spans="2:54">
      <c r="B211" s="235">
        <v>45887</v>
      </c>
      <c r="C211" s="255" t="s">
        <v>2862</v>
      </c>
      <c r="D211" s="402">
        <f t="shared" si="49"/>
        <v>9822791</v>
      </c>
      <c r="E211" s="376">
        <v>961.84</v>
      </c>
      <c r="F211" s="401">
        <v>10212.5</v>
      </c>
      <c r="G211" s="376">
        <f t="shared" si="43"/>
        <v>865.1</v>
      </c>
      <c r="H211" s="402">
        <f t="shared" si="45"/>
        <v>-987957.25</v>
      </c>
      <c r="I211" s="402">
        <f t="shared" si="46"/>
        <v>8834833.75</v>
      </c>
      <c r="J211" s="753"/>
      <c r="K211" s="515">
        <f t="shared" si="44"/>
        <v>907.13</v>
      </c>
      <c r="L211" s="648">
        <f t="shared" si="47"/>
        <v>9264065.125</v>
      </c>
      <c r="M211" s="754">
        <f t="shared" si="48"/>
        <v>-429231.375</v>
      </c>
      <c r="O211" s="647"/>
      <c r="P211" s="513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31"/>
      <c r="AW211" s="331"/>
      <c r="AX211" s="331"/>
      <c r="AY211" s="331"/>
      <c r="AZ211" s="331"/>
      <c r="BA211" s="331"/>
      <c r="BB211" s="331"/>
    </row>
    <row r="212" spans="2:54">
      <c r="B212" s="235">
        <v>45887</v>
      </c>
      <c r="C212" s="255" t="s">
        <v>2863</v>
      </c>
      <c r="D212" s="402">
        <f t="shared" si="49"/>
        <v>786304.20000000007</v>
      </c>
      <c r="E212" s="376">
        <v>961.84</v>
      </c>
      <c r="F212" s="401">
        <v>817.5</v>
      </c>
      <c r="G212" s="376">
        <f t="shared" si="43"/>
        <v>865.1</v>
      </c>
      <c r="H212" s="402">
        <f t="shared" si="45"/>
        <v>-79084.95000000007</v>
      </c>
      <c r="I212" s="402">
        <f t="shared" si="46"/>
        <v>707219.25</v>
      </c>
      <c r="J212" s="753"/>
      <c r="K212" s="515">
        <f t="shared" si="44"/>
        <v>907.13</v>
      </c>
      <c r="L212" s="648">
        <f t="shared" si="47"/>
        <v>741578.77500000002</v>
      </c>
      <c r="M212" s="754">
        <f t="shared" si="48"/>
        <v>-34359.525000000023</v>
      </c>
      <c r="O212" s="647"/>
      <c r="P212" s="513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31"/>
      <c r="AD212" s="331"/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31"/>
      <c r="AW212" s="331"/>
      <c r="AX212" s="331"/>
      <c r="AY212" s="331"/>
      <c r="AZ212" s="331"/>
      <c r="BA212" s="331"/>
      <c r="BB212" s="331"/>
    </row>
    <row r="213" spans="2:54">
      <c r="B213" s="235">
        <v>45887</v>
      </c>
      <c r="C213" s="255" t="s">
        <v>2864</v>
      </c>
      <c r="D213" s="402">
        <f t="shared" si="49"/>
        <v>541035</v>
      </c>
      <c r="E213" s="376">
        <v>961.84</v>
      </c>
      <c r="F213" s="401">
        <v>562.5</v>
      </c>
      <c r="G213" s="376">
        <f t="shared" si="43"/>
        <v>865.1</v>
      </c>
      <c r="H213" s="402">
        <f t="shared" si="45"/>
        <v>-54416.25</v>
      </c>
      <c r="I213" s="402">
        <f t="shared" si="46"/>
        <v>486618.75</v>
      </c>
      <c r="J213" s="753"/>
      <c r="K213" s="515">
        <f t="shared" si="44"/>
        <v>907.13</v>
      </c>
      <c r="L213" s="648">
        <f t="shared" si="47"/>
        <v>510260.625</v>
      </c>
      <c r="M213" s="754">
        <f t="shared" si="48"/>
        <v>-23641.875</v>
      </c>
      <c r="O213" s="647"/>
      <c r="P213" s="513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31"/>
      <c r="AW213" s="331"/>
      <c r="AX213" s="331"/>
      <c r="AY213" s="331"/>
      <c r="AZ213" s="331"/>
      <c r="BA213" s="331"/>
      <c r="BB213" s="331"/>
    </row>
    <row r="214" spans="2:54">
      <c r="B214" s="235">
        <v>45887</v>
      </c>
      <c r="C214" s="255" t="s">
        <v>2865</v>
      </c>
      <c r="D214" s="402">
        <f t="shared" si="49"/>
        <v>786304.20000000007</v>
      </c>
      <c r="E214" s="376">
        <v>961.84</v>
      </c>
      <c r="F214" s="401">
        <v>817.5</v>
      </c>
      <c r="G214" s="376">
        <f t="shared" si="43"/>
        <v>865.1</v>
      </c>
      <c r="H214" s="402">
        <f t="shared" si="45"/>
        <v>-79084.95000000007</v>
      </c>
      <c r="I214" s="402">
        <f t="shared" si="46"/>
        <v>707219.25</v>
      </c>
      <c r="J214" s="753"/>
      <c r="K214" s="515">
        <f t="shared" si="44"/>
        <v>907.13</v>
      </c>
      <c r="L214" s="648">
        <f t="shared" si="47"/>
        <v>741578.77500000002</v>
      </c>
      <c r="M214" s="754">
        <f t="shared" si="48"/>
        <v>-34359.525000000023</v>
      </c>
      <c r="O214" s="647"/>
      <c r="P214" s="513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31"/>
      <c r="AD214" s="331"/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31"/>
      <c r="AW214" s="331"/>
      <c r="AX214" s="331"/>
      <c r="AY214" s="331"/>
      <c r="AZ214" s="331"/>
      <c r="BA214" s="331"/>
      <c r="BB214" s="331"/>
    </row>
    <row r="215" spans="2:54">
      <c r="B215" s="235">
        <v>45887</v>
      </c>
      <c r="C215" s="255" t="s">
        <v>2866</v>
      </c>
      <c r="D215" s="402">
        <f t="shared" si="49"/>
        <v>541035</v>
      </c>
      <c r="E215" s="376">
        <v>961.84</v>
      </c>
      <c r="F215" s="401">
        <v>562.5</v>
      </c>
      <c r="G215" s="376">
        <f t="shared" si="43"/>
        <v>865.1</v>
      </c>
      <c r="H215" s="402">
        <f t="shared" si="45"/>
        <v>-54416.25</v>
      </c>
      <c r="I215" s="402">
        <f t="shared" si="46"/>
        <v>486618.75</v>
      </c>
      <c r="J215" s="753"/>
      <c r="K215" s="515">
        <f t="shared" si="44"/>
        <v>907.13</v>
      </c>
      <c r="L215" s="648">
        <f t="shared" si="47"/>
        <v>510260.625</v>
      </c>
      <c r="M215" s="754">
        <f t="shared" si="48"/>
        <v>-23641.875</v>
      </c>
      <c r="O215" s="647"/>
      <c r="P215" s="513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31"/>
      <c r="AD215" s="331"/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31"/>
      <c r="AW215" s="331"/>
      <c r="AX215" s="331"/>
      <c r="AY215" s="331"/>
      <c r="AZ215" s="331"/>
      <c r="BA215" s="331"/>
      <c r="BB215" s="331"/>
    </row>
    <row r="216" spans="2:54">
      <c r="B216" s="235">
        <v>45887</v>
      </c>
      <c r="C216" s="255" t="s">
        <v>2867</v>
      </c>
      <c r="D216" s="402">
        <f t="shared" si="49"/>
        <v>320292.72000000003</v>
      </c>
      <c r="E216" s="376">
        <v>961.84</v>
      </c>
      <c r="F216" s="401">
        <v>333</v>
      </c>
      <c r="G216" s="376">
        <f t="shared" si="43"/>
        <v>865.1</v>
      </c>
      <c r="H216" s="402">
        <f t="shared" si="45"/>
        <v>-32214.420000000042</v>
      </c>
      <c r="I216" s="402">
        <f t="shared" si="46"/>
        <v>288078.3</v>
      </c>
      <c r="J216" s="753"/>
      <c r="K216" s="515">
        <f t="shared" si="44"/>
        <v>907.13</v>
      </c>
      <c r="L216" s="648">
        <f t="shared" si="47"/>
        <v>302074.28999999998</v>
      </c>
      <c r="M216" s="754">
        <f t="shared" si="48"/>
        <v>-13995.989999999991</v>
      </c>
      <c r="O216" s="647"/>
      <c r="P216" s="513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31"/>
      <c r="AW216" s="331"/>
      <c r="AX216" s="331"/>
      <c r="AY216" s="331"/>
      <c r="AZ216" s="331"/>
      <c r="BA216" s="331"/>
      <c r="BB216" s="331"/>
    </row>
    <row r="217" spans="2:54">
      <c r="B217" s="235">
        <v>45887</v>
      </c>
      <c r="C217" s="255" t="s">
        <v>2868</v>
      </c>
      <c r="D217" s="402">
        <f t="shared" si="49"/>
        <v>629043.36</v>
      </c>
      <c r="E217" s="376">
        <v>961.84</v>
      </c>
      <c r="F217" s="401">
        <v>654</v>
      </c>
      <c r="G217" s="376">
        <f t="shared" si="43"/>
        <v>865.1</v>
      </c>
      <c r="H217" s="402">
        <f t="shared" si="45"/>
        <v>-63267.959999999963</v>
      </c>
      <c r="I217" s="402">
        <f t="shared" si="46"/>
        <v>565775.4</v>
      </c>
      <c r="J217" s="753"/>
      <c r="K217" s="515">
        <f t="shared" si="44"/>
        <v>907.13</v>
      </c>
      <c r="L217" s="648">
        <f t="shared" si="47"/>
        <v>593263.02</v>
      </c>
      <c r="M217" s="754">
        <f t="shared" si="48"/>
        <v>-27487.619999999995</v>
      </c>
      <c r="O217" s="647"/>
      <c r="P217" s="513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31"/>
      <c r="AD217" s="331"/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31"/>
      <c r="AW217" s="331"/>
      <c r="AX217" s="331"/>
      <c r="AY217" s="331"/>
      <c r="AZ217" s="331"/>
      <c r="BA217" s="331"/>
      <c r="BB217" s="331"/>
    </row>
    <row r="218" spans="2:54">
      <c r="B218" s="235">
        <v>45887</v>
      </c>
      <c r="C218" s="255" t="s">
        <v>2869</v>
      </c>
      <c r="D218" s="402">
        <f t="shared" si="49"/>
        <v>721380</v>
      </c>
      <c r="E218" s="376">
        <v>961.84</v>
      </c>
      <c r="F218" s="401">
        <v>750</v>
      </c>
      <c r="G218" s="376">
        <f t="shared" si="43"/>
        <v>865.1</v>
      </c>
      <c r="H218" s="402">
        <f t="shared" si="45"/>
        <v>-72555</v>
      </c>
      <c r="I218" s="402">
        <f t="shared" si="46"/>
        <v>648825</v>
      </c>
      <c r="J218" s="753"/>
      <c r="K218" s="515">
        <f t="shared" si="44"/>
        <v>907.13</v>
      </c>
      <c r="L218" s="648">
        <f t="shared" si="47"/>
        <v>680347.5</v>
      </c>
      <c r="M218" s="754">
        <f t="shared" si="48"/>
        <v>-31522.5</v>
      </c>
      <c r="O218" s="647"/>
      <c r="P218" s="513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31"/>
      <c r="AD218" s="331"/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31"/>
      <c r="AW218" s="331"/>
      <c r="AX218" s="331"/>
      <c r="AY218" s="331"/>
      <c r="AZ218" s="331"/>
      <c r="BA218" s="331"/>
      <c r="BB218" s="331"/>
    </row>
    <row r="219" spans="2:54">
      <c r="B219" s="235">
        <v>45887</v>
      </c>
      <c r="C219" s="255" t="s">
        <v>2870</v>
      </c>
      <c r="D219" s="402">
        <f t="shared" si="49"/>
        <v>786304.20000000007</v>
      </c>
      <c r="E219" s="376">
        <v>961.84</v>
      </c>
      <c r="F219" s="401">
        <v>817.5</v>
      </c>
      <c r="G219" s="376">
        <f t="shared" si="43"/>
        <v>865.1</v>
      </c>
      <c r="H219" s="402">
        <f t="shared" si="45"/>
        <v>-79084.95000000007</v>
      </c>
      <c r="I219" s="402">
        <f t="shared" si="46"/>
        <v>707219.25</v>
      </c>
      <c r="J219" s="753"/>
      <c r="K219" s="515">
        <f t="shared" si="44"/>
        <v>907.13</v>
      </c>
      <c r="L219" s="648">
        <f t="shared" si="47"/>
        <v>741578.77500000002</v>
      </c>
      <c r="M219" s="754">
        <f t="shared" si="48"/>
        <v>-34359.525000000023</v>
      </c>
      <c r="O219" s="647"/>
      <c r="P219" s="513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31"/>
      <c r="AD219" s="331"/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31"/>
      <c r="AW219" s="331"/>
      <c r="AX219" s="331"/>
      <c r="AY219" s="331"/>
      <c r="AZ219" s="331"/>
      <c r="BA219" s="331"/>
      <c r="BB219" s="331"/>
    </row>
    <row r="220" spans="2:54">
      <c r="B220" s="235">
        <v>45887</v>
      </c>
      <c r="C220" s="255" t="s">
        <v>2871</v>
      </c>
      <c r="D220" s="402">
        <f t="shared" si="49"/>
        <v>781495</v>
      </c>
      <c r="E220" s="376">
        <v>961.84</v>
      </c>
      <c r="F220" s="401">
        <v>812.5</v>
      </c>
      <c r="G220" s="376">
        <f t="shared" si="43"/>
        <v>865.1</v>
      </c>
      <c r="H220" s="402">
        <f t="shared" si="45"/>
        <v>-78601.25</v>
      </c>
      <c r="I220" s="402">
        <f t="shared" si="46"/>
        <v>702893.75</v>
      </c>
      <c r="J220" s="753"/>
      <c r="K220" s="515">
        <f t="shared" si="44"/>
        <v>907.13</v>
      </c>
      <c r="L220" s="648">
        <f t="shared" si="47"/>
        <v>737043.125</v>
      </c>
      <c r="M220" s="754">
        <f t="shared" si="48"/>
        <v>-34149.375</v>
      </c>
      <c r="O220" s="647"/>
      <c r="P220" s="513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31"/>
      <c r="AD220" s="331"/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31"/>
      <c r="AW220" s="331"/>
      <c r="AX220" s="331"/>
      <c r="AY220" s="331"/>
      <c r="AZ220" s="331"/>
      <c r="BA220" s="331"/>
      <c r="BB220" s="331"/>
    </row>
    <row r="221" spans="2:54">
      <c r="B221" s="235">
        <v>45887</v>
      </c>
      <c r="C221" s="255" t="s">
        <v>2872</v>
      </c>
      <c r="D221" s="402">
        <f t="shared" si="49"/>
        <v>2245896.4</v>
      </c>
      <c r="E221" s="376">
        <v>961.84</v>
      </c>
      <c r="F221" s="401">
        <v>2335</v>
      </c>
      <c r="G221" s="376">
        <f t="shared" si="43"/>
        <v>865.1</v>
      </c>
      <c r="H221" s="402">
        <f t="shared" si="45"/>
        <v>-225887.89999999991</v>
      </c>
      <c r="I221" s="402">
        <f t="shared" si="46"/>
        <v>2020008.5</v>
      </c>
      <c r="J221" s="753"/>
      <c r="K221" s="515">
        <f t="shared" si="44"/>
        <v>907.13</v>
      </c>
      <c r="L221" s="648">
        <f t="shared" si="47"/>
        <v>2118148.5499999998</v>
      </c>
      <c r="M221" s="754">
        <f t="shared" si="48"/>
        <v>-98140.049999999814</v>
      </c>
      <c r="O221" s="647"/>
      <c r="P221" s="513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31"/>
      <c r="AD221" s="331"/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31"/>
      <c r="AW221" s="331"/>
      <c r="AX221" s="331"/>
      <c r="AY221" s="331"/>
      <c r="AZ221" s="331"/>
      <c r="BA221" s="331"/>
      <c r="BB221" s="331"/>
    </row>
    <row r="222" spans="2:54">
      <c r="B222" s="235">
        <v>45887</v>
      </c>
      <c r="C222" s="255" t="s">
        <v>2873</v>
      </c>
      <c r="D222" s="402">
        <f t="shared" si="49"/>
        <v>721380</v>
      </c>
      <c r="E222" s="376">
        <v>961.84</v>
      </c>
      <c r="F222" s="401">
        <v>750</v>
      </c>
      <c r="G222" s="376">
        <f t="shared" si="43"/>
        <v>865.1</v>
      </c>
      <c r="H222" s="402">
        <f t="shared" si="45"/>
        <v>-72555</v>
      </c>
      <c r="I222" s="402">
        <f t="shared" si="46"/>
        <v>648825</v>
      </c>
      <c r="J222" s="753"/>
      <c r="K222" s="515">
        <f t="shared" si="44"/>
        <v>907.13</v>
      </c>
      <c r="L222" s="648">
        <f t="shared" si="47"/>
        <v>680347.5</v>
      </c>
      <c r="M222" s="754">
        <f t="shared" si="48"/>
        <v>-31522.5</v>
      </c>
      <c r="O222" s="647"/>
      <c r="P222" s="513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31"/>
      <c r="AD222" s="331"/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31"/>
      <c r="AW222" s="331"/>
      <c r="AX222" s="331"/>
      <c r="AY222" s="331"/>
      <c r="AZ222" s="331"/>
      <c r="BA222" s="331"/>
      <c r="BB222" s="331"/>
    </row>
    <row r="223" spans="2:54">
      <c r="B223" s="235">
        <v>45887</v>
      </c>
      <c r="C223" s="255" t="s">
        <v>2874</v>
      </c>
      <c r="D223" s="402">
        <f t="shared" si="49"/>
        <v>786304.20000000007</v>
      </c>
      <c r="E223" s="376">
        <v>961.84</v>
      </c>
      <c r="F223" s="401">
        <v>817.5</v>
      </c>
      <c r="G223" s="376">
        <f t="shared" si="43"/>
        <v>865.1</v>
      </c>
      <c r="H223" s="402">
        <f t="shared" si="45"/>
        <v>-79084.95000000007</v>
      </c>
      <c r="I223" s="402">
        <f t="shared" si="46"/>
        <v>707219.25</v>
      </c>
      <c r="J223" s="753"/>
      <c r="K223" s="515">
        <f t="shared" si="44"/>
        <v>907.13</v>
      </c>
      <c r="L223" s="648">
        <f t="shared" si="47"/>
        <v>741578.77500000002</v>
      </c>
      <c r="M223" s="754">
        <f t="shared" si="48"/>
        <v>-34359.525000000023</v>
      </c>
      <c r="O223" s="647"/>
      <c r="P223" s="513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31"/>
      <c r="AW223" s="331"/>
      <c r="AX223" s="331"/>
      <c r="AY223" s="331"/>
      <c r="AZ223" s="331"/>
      <c r="BA223" s="331"/>
      <c r="BB223" s="331"/>
    </row>
    <row r="224" spans="2:54">
      <c r="B224" s="235">
        <v>45887</v>
      </c>
      <c r="C224" s="255" t="s">
        <v>2875</v>
      </c>
      <c r="D224" s="402">
        <f t="shared" si="49"/>
        <v>721380</v>
      </c>
      <c r="E224" s="376">
        <v>961.84</v>
      </c>
      <c r="F224" s="401">
        <v>750</v>
      </c>
      <c r="G224" s="376">
        <f t="shared" si="43"/>
        <v>865.1</v>
      </c>
      <c r="H224" s="402">
        <f t="shared" si="45"/>
        <v>-72555</v>
      </c>
      <c r="I224" s="402">
        <f t="shared" si="46"/>
        <v>648825</v>
      </c>
      <c r="J224" s="753"/>
      <c r="K224" s="515">
        <f t="shared" si="44"/>
        <v>907.13</v>
      </c>
      <c r="L224" s="648">
        <f t="shared" si="47"/>
        <v>680347.5</v>
      </c>
      <c r="M224" s="754">
        <f t="shared" si="48"/>
        <v>-31522.5</v>
      </c>
      <c r="O224" s="647"/>
      <c r="P224" s="513"/>
      <c r="R224" s="331"/>
      <c r="S224" s="331"/>
      <c r="T224" s="331"/>
      <c r="U224" s="331"/>
      <c r="V224" s="331"/>
      <c r="W224" s="331"/>
      <c r="X224" s="331"/>
      <c r="Y224" s="331"/>
      <c r="Z224" s="331"/>
      <c r="AA224" s="331"/>
      <c r="AB224" s="331"/>
      <c r="AC224" s="331"/>
      <c r="AD224" s="331"/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31"/>
      <c r="AW224" s="331"/>
      <c r="AX224" s="331"/>
      <c r="AY224" s="331"/>
      <c r="AZ224" s="331"/>
      <c r="BA224" s="331"/>
      <c r="BB224" s="331"/>
    </row>
    <row r="225" spans="2:54">
      <c r="B225" s="235">
        <v>45887</v>
      </c>
      <c r="C225" s="255" t="s">
        <v>2876</v>
      </c>
      <c r="D225" s="402">
        <f t="shared" si="49"/>
        <v>629043.36</v>
      </c>
      <c r="E225" s="376">
        <v>961.84</v>
      </c>
      <c r="F225" s="401">
        <v>654</v>
      </c>
      <c r="G225" s="376">
        <f t="shared" si="43"/>
        <v>865.1</v>
      </c>
      <c r="H225" s="402">
        <f t="shared" si="45"/>
        <v>-63267.959999999963</v>
      </c>
      <c r="I225" s="402">
        <f t="shared" si="46"/>
        <v>565775.4</v>
      </c>
      <c r="J225" s="753"/>
      <c r="K225" s="515">
        <f t="shared" si="44"/>
        <v>907.13</v>
      </c>
      <c r="L225" s="648">
        <f t="shared" si="47"/>
        <v>593263.02</v>
      </c>
      <c r="M225" s="754">
        <f t="shared" si="48"/>
        <v>-27487.619999999995</v>
      </c>
      <c r="O225" s="647"/>
      <c r="P225" s="513"/>
      <c r="R225" s="331"/>
      <c r="S225" s="331"/>
      <c r="T225" s="331"/>
      <c r="U225" s="331"/>
      <c r="V225" s="331"/>
      <c r="W225" s="331"/>
      <c r="X225" s="331"/>
      <c r="Y225" s="331"/>
      <c r="Z225" s="331"/>
      <c r="AA225" s="331"/>
      <c r="AB225" s="331"/>
      <c r="AC225" s="331"/>
      <c r="AD225" s="331"/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31"/>
      <c r="AW225" s="331"/>
      <c r="AX225" s="331"/>
      <c r="AY225" s="331"/>
      <c r="AZ225" s="331"/>
      <c r="BA225" s="331"/>
      <c r="BB225" s="331"/>
    </row>
    <row r="226" spans="2:54">
      <c r="B226" s="235">
        <v>45887</v>
      </c>
      <c r="C226" s="255" t="s">
        <v>2877</v>
      </c>
      <c r="D226" s="402">
        <f t="shared" si="49"/>
        <v>721380</v>
      </c>
      <c r="E226" s="376">
        <v>961.84</v>
      </c>
      <c r="F226" s="401">
        <v>750</v>
      </c>
      <c r="G226" s="376">
        <f t="shared" si="43"/>
        <v>865.1</v>
      </c>
      <c r="H226" s="402">
        <f t="shared" si="45"/>
        <v>-72555</v>
      </c>
      <c r="I226" s="402">
        <f t="shared" si="46"/>
        <v>648825</v>
      </c>
      <c r="J226" s="753"/>
      <c r="K226" s="515">
        <f t="shared" si="44"/>
        <v>907.13</v>
      </c>
      <c r="L226" s="648">
        <f t="shared" si="47"/>
        <v>680347.5</v>
      </c>
      <c r="M226" s="754">
        <f t="shared" si="48"/>
        <v>-31522.5</v>
      </c>
      <c r="O226" s="647"/>
      <c r="P226" s="513"/>
      <c r="R226" s="331"/>
      <c r="S226" s="331"/>
      <c r="T226" s="331"/>
      <c r="U226" s="331"/>
      <c r="V226" s="331"/>
      <c r="W226" s="331"/>
      <c r="X226" s="331"/>
      <c r="Y226" s="331"/>
      <c r="Z226" s="331"/>
      <c r="AA226" s="331"/>
      <c r="AB226" s="331"/>
      <c r="AC226" s="331"/>
      <c r="AD226" s="331"/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31"/>
      <c r="AW226" s="331"/>
      <c r="AX226" s="331"/>
      <c r="AY226" s="331"/>
      <c r="AZ226" s="331"/>
      <c r="BA226" s="331"/>
      <c r="BB226" s="331"/>
    </row>
    <row r="227" spans="2:54">
      <c r="B227" s="235">
        <v>45887</v>
      </c>
      <c r="C227" s="255" t="s">
        <v>2878</v>
      </c>
      <c r="D227" s="402">
        <f t="shared" si="49"/>
        <v>786304.20000000007</v>
      </c>
      <c r="E227" s="376">
        <v>961.84</v>
      </c>
      <c r="F227" s="401">
        <v>817.5</v>
      </c>
      <c r="G227" s="376">
        <f t="shared" si="43"/>
        <v>865.1</v>
      </c>
      <c r="H227" s="402">
        <f t="shared" si="45"/>
        <v>-79084.95000000007</v>
      </c>
      <c r="I227" s="402">
        <f t="shared" si="46"/>
        <v>707219.25</v>
      </c>
      <c r="J227" s="753"/>
      <c r="K227" s="515">
        <f t="shared" si="44"/>
        <v>907.13</v>
      </c>
      <c r="L227" s="648">
        <f t="shared" si="47"/>
        <v>741578.77500000002</v>
      </c>
      <c r="M227" s="754">
        <f t="shared" si="48"/>
        <v>-34359.525000000023</v>
      </c>
      <c r="O227" s="647"/>
      <c r="P227" s="513"/>
      <c r="R227" s="331"/>
      <c r="S227" s="331"/>
      <c r="T227" s="331"/>
      <c r="U227" s="331"/>
      <c r="V227" s="331"/>
      <c r="W227" s="331"/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31"/>
      <c r="AW227" s="331"/>
      <c r="AX227" s="331"/>
      <c r="AY227" s="331"/>
      <c r="AZ227" s="331"/>
      <c r="BA227" s="331"/>
      <c r="BB227" s="331"/>
    </row>
    <row r="228" spans="2:54">
      <c r="B228" s="235">
        <v>45887</v>
      </c>
      <c r="C228" s="255" t="s">
        <v>2879</v>
      </c>
      <c r="D228" s="402">
        <f t="shared" si="49"/>
        <v>781495</v>
      </c>
      <c r="E228" s="376">
        <v>961.84</v>
      </c>
      <c r="F228" s="401">
        <v>812.5</v>
      </c>
      <c r="G228" s="376">
        <f t="shared" si="43"/>
        <v>865.1</v>
      </c>
      <c r="H228" s="402">
        <f t="shared" si="45"/>
        <v>-78601.25</v>
      </c>
      <c r="I228" s="402">
        <f t="shared" si="46"/>
        <v>702893.75</v>
      </c>
      <c r="J228" s="753"/>
      <c r="K228" s="515">
        <f t="shared" si="44"/>
        <v>907.13</v>
      </c>
      <c r="L228" s="648">
        <f t="shared" si="47"/>
        <v>737043.125</v>
      </c>
      <c r="M228" s="754">
        <f t="shared" si="48"/>
        <v>-34149.375</v>
      </c>
      <c r="O228" s="647"/>
      <c r="P228" s="513"/>
      <c r="R228" s="331"/>
      <c r="S228" s="331"/>
      <c r="T228" s="331"/>
      <c r="U228" s="331"/>
      <c r="V228" s="331"/>
      <c r="W228" s="331"/>
      <c r="X228" s="331"/>
      <c r="Y228" s="331"/>
      <c r="Z228" s="331"/>
      <c r="AA228" s="331"/>
      <c r="AB228" s="331"/>
      <c r="AC228" s="331"/>
      <c r="AD228" s="331"/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31"/>
      <c r="AW228" s="331"/>
      <c r="AX228" s="331"/>
      <c r="AY228" s="331"/>
      <c r="AZ228" s="331"/>
      <c r="BA228" s="331"/>
      <c r="BB228" s="331"/>
    </row>
    <row r="229" spans="2:54">
      <c r="B229" s="235">
        <v>45887</v>
      </c>
      <c r="C229" s="255" t="s">
        <v>2880</v>
      </c>
      <c r="D229" s="402">
        <f t="shared" si="49"/>
        <v>721380</v>
      </c>
      <c r="E229" s="376">
        <v>961.84</v>
      </c>
      <c r="F229" s="401">
        <v>750</v>
      </c>
      <c r="G229" s="376">
        <f t="shared" si="43"/>
        <v>865.1</v>
      </c>
      <c r="H229" s="402">
        <f t="shared" si="45"/>
        <v>-72555</v>
      </c>
      <c r="I229" s="402">
        <f t="shared" si="46"/>
        <v>648825</v>
      </c>
      <c r="J229" s="753">
        <f>SUM(I191:I229)</f>
        <v>113716529.90000004</v>
      </c>
      <c r="K229" s="515">
        <f t="shared" si="44"/>
        <v>907.13</v>
      </c>
      <c r="L229" s="648">
        <f t="shared" si="47"/>
        <v>680347.5</v>
      </c>
      <c r="M229" s="754">
        <f t="shared" si="48"/>
        <v>-31522.5</v>
      </c>
      <c r="O229" s="647"/>
      <c r="P229" s="513"/>
      <c r="R229" s="331"/>
      <c r="S229" s="331"/>
      <c r="T229" s="331"/>
      <c r="U229" s="331"/>
      <c r="V229" s="331"/>
      <c r="W229" s="331"/>
      <c r="X229" s="331"/>
      <c r="Y229" s="331"/>
      <c r="Z229" s="331"/>
      <c r="AA229" s="331"/>
      <c r="AB229" s="331"/>
      <c r="AC229" s="331"/>
      <c r="AD229" s="331"/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31"/>
      <c r="AW229" s="331"/>
      <c r="AX229" s="331"/>
      <c r="AY229" s="331"/>
      <c r="AZ229" s="331"/>
      <c r="BA229" s="331"/>
      <c r="BB229" s="331"/>
    </row>
    <row r="230" spans="2:54">
      <c r="B230" s="235">
        <v>45902</v>
      </c>
      <c r="C230" s="255" t="s">
        <v>2915</v>
      </c>
      <c r="D230" s="402">
        <f t="shared" si="49"/>
        <v>1220121</v>
      </c>
      <c r="E230" s="376">
        <v>968.35</v>
      </c>
      <c r="F230" s="401">
        <v>1260</v>
      </c>
      <c r="G230" s="376">
        <f t="shared" si="43"/>
        <v>865.1</v>
      </c>
      <c r="H230" s="402">
        <f t="shared" ref="H230:H273" si="50">+I230-D230</f>
        <v>-130095</v>
      </c>
      <c r="I230" s="402">
        <f t="shared" ref="I230:I273" si="51">+F230*G230</f>
        <v>1090026</v>
      </c>
      <c r="J230" s="753"/>
      <c r="K230" s="515">
        <f t="shared" si="44"/>
        <v>907.13</v>
      </c>
      <c r="L230" s="648">
        <f t="shared" si="47"/>
        <v>1142983.8</v>
      </c>
      <c r="M230" s="754">
        <f t="shared" si="48"/>
        <v>-52957.800000000047</v>
      </c>
      <c r="O230" s="647"/>
      <c r="P230" s="513"/>
      <c r="R230" s="331"/>
      <c r="S230" s="331"/>
      <c r="T230" s="331"/>
      <c r="U230" s="331"/>
      <c r="V230" s="331"/>
      <c r="W230" s="331"/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31"/>
      <c r="AW230" s="331"/>
      <c r="AX230" s="331"/>
      <c r="AY230" s="331"/>
      <c r="AZ230" s="331"/>
      <c r="BA230" s="331"/>
      <c r="BB230" s="331"/>
    </row>
    <row r="231" spans="2:54">
      <c r="B231" s="235">
        <v>45909</v>
      </c>
      <c r="C231" s="255" t="s">
        <v>2916</v>
      </c>
      <c r="D231" s="402">
        <f t="shared" si="49"/>
        <v>792997.4</v>
      </c>
      <c r="E231" s="376">
        <v>967.07</v>
      </c>
      <c r="F231" s="401">
        <v>820</v>
      </c>
      <c r="G231" s="376">
        <f t="shared" si="43"/>
        <v>865.1</v>
      </c>
      <c r="H231" s="402">
        <f t="shared" si="50"/>
        <v>-83615.400000000023</v>
      </c>
      <c r="I231" s="402">
        <f t="shared" si="51"/>
        <v>709382</v>
      </c>
      <c r="J231" s="753"/>
      <c r="K231" s="515">
        <f t="shared" si="44"/>
        <v>907.13</v>
      </c>
      <c r="L231" s="648">
        <f t="shared" si="47"/>
        <v>743846.6</v>
      </c>
      <c r="M231" s="754">
        <f t="shared" si="48"/>
        <v>-34464.599999999977</v>
      </c>
      <c r="O231" s="647"/>
      <c r="P231" s="513"/>
      <c r="R231" s="331"/>
      <c r="S231" s="331"/>
      <c r="T231" s="331"/>
      <c r="U231" s="331"/>
      <c r="V231" s="331"/>
      <c r="W231" s="331"/>
      <c r="X231" s="331"/>
      <c r="Y231" s="331"/>
      <c r="Z231" s="331"/>
      <c r="AA231" s="331"/>
      <c r="AB231" s="331"/>
      <c r="AC231" s="331"/>
      <c r="AD231" s="331"/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31"/>
      <c r="AW231" s="331"/>
      <c r="AX231" s="331"/>
      <c r="AY231" s="331"/>
      <c r="AZ231" s="331"/>
      <c r="BA231" s="331"/>
      <c r="BB231" s="331"/>
    </row>
    <row r="232" spans="2:54">
      <c r="B232" s="235">
        <v>45909</v>
      </c>
      <c r="C232" s="255" t="s">
        <v>2917</v>
      </c>
      <c r="D232" s="402">
        <f t="shared" si="49"/>
        <v>1979882.4110000001</v>
      </c>
      <c r="E232" s="376">
        <v>967.07</v>
      </c>
      <c r="F232" s="401">
        <v>2047.3</v>
      </c>
      <c r="G232" s="376">
        <f t="shared" si="43"/>
        <v>865.1</v>
      </c>
      <c r="H232" s="402">
        <f t="shared" si="50"/>
        <v>-208763.1810000001</v>
      </c>
      <c r="I232" s="402">
        <f t="shared" si="51"/>
        <v>1771119.23</v>
      </c>
      <c r="J232" s="753"/>
      <c r="K232" s="515">
        <f t="shared" si="44"/>
        <v>907.13</v>
      </c>
      <c r="L232" s="648">
        <f t="shared" si="47"/>
        <v>1857167.2489999998</v>
      </c>
      <c r="M232" s="754">
        <f t="shared" si="48"/>
        <v>-86048.018999999855</v>
      </c>
      <c r="O232" s="647"/>
      <c r="P232" s="513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31"/>
      <c r="AW232" s="331"/>
      <c r="AX232" s="331"/>
      <c r="AY232" s="331"/>
      <c r="AZ232" s="331"/>
      <c r="BA232" s="331"/>
      <c r="BB232" s="331"/>
    </row>
    <row r="233" spans="2:54">
      <c r="B233" s="235">
        <v>45909</v>
      </c>
      <c r="C233" s="255" t="s">
        <v>2918</v>
      </c>
      <c r="D233" s="402">
        <f t="shared" si="49"/>
        <v>792997.4</v>
      </c>
      <c r="E233" s="376">
        <v>967.07</v>
      </c>
      <c r="F233" s="401">
        <v>820</v>
      </c>
      <c r="G233" s="376">
        <f t="shared" si="43"/>
        <v>865.1</v>
      </c>
      <c r="H233" s="402">
        <f t="shared" si="50"/>
        <v>-83615.400000000023</v>
      </c>
      <c r="I233" s="402">
        <f t="shared" si="51"/>
        <v>709382</v>
      </c>
      <c r="J233" s="753"/>
      <c r="K233" s="515">
        <f t="shared" si="44"/>
        <v>907.13</v>
      </c>
      <c r="L233" s="648">
        <f t="shared" si="47"/>
        <v>743846.6</v>
      </c>
      <c r="M233" s="754">
        <f t="shared" si="48"/>
        <v>-34464.599999999977</v>
      </c>
      <c r="O233" s="647"/>
      <c r="P233" s="513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31"/>
      <c r="AW233" s="331"/>
      <c r="AX233" s="331"/>
      <c r="AY233" s="331"/>
      <c r="AZ233" s="331"/>
      <c r="BA233" s="331"/>
      <c r="BB233" s="331"/>
    </row>
    <row r="234" spans="2:54">
      <c r="B234" s="235">
        <v>45909</v>
      </c>
      <c r="C234" s="255" t="s">
        <v>2919</v>
      </c>
      <c r="D234" s="402">
        <f t="shared" si="49"/>
        <v>528020.22</v>
      </c>
      <c r="E234" s="376">
        <v>967.07</v>
      </c>
      <c r="F234" s="401">
        <v>546</v>
      </c>
      <c r="G234" s="376">
        <f t="shared" si="43"/>
        <v>865.1</v>
      </c>
      <c r="H234" s="402">
        <f t="shared" si="50"/>
        <v>-55675.619999999937</v>
      </c>
      <c r="I234" s="402">
        <f t="shared" si="51"/>
        <v>472344.60000000003</v>
      </c>
      <c r="J234" s="753"/>
      <c r="K234" s="515">
        <f t="shared" si="44"/>
        <v>907.13</v>
      </c>
      <c r="L234" s="648">
        <f t="shared" si="47"/>
        <v>495292.98</v>
      </c>
      <c r="M234" s="754">
        <f t="shared" si="48"/>
        <v>-22948.379999999946</v>
      </c>
      <c r="O234" s="647"/>
      <c r="P234" s="513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31"/>
      <c r="AW234" s="331"/>
      <c r="AX234" s="331"/>
      <c r="AY234" s="331"/>
      <c r="AZ234" s="331"/>
      <c r="BA234" s="331"/>
      <c r="BB234" s="331"/>
    </row>
    <row r="235" spans="2:54">
      <c r="B235" s="235">
        <v>45909</v>
      </c>
      <c r="C235" s="255" t="s">
        <v>2920</v>
      </c>
      <c r="D235" s="402">
        <f t="shared" si="49"/>
        <v>792997.4</v>
      </c>
      <c r="E235" s="376">
        <v>967.07</v>
      </c>
      <c r="F235" s="401">
        <v>820</v>
      </c>
      <c r="G235" s="376">
        <f t="shared" si="43"/>
        <v>865.1</v>
      </c>
      <c r="H235" s="402">
        <f t="shared" si="50"/>
        <v>-83615.400000000023</v>
      </c>
      <c r="I235" s="402">
        <f t="shared" si="51"/>
        <v>709382</v>
      </c>
      <c r="J235" s="753"/>
      <c r="K235" s="515">
        <f t="shared" si="44"/>
        <v>907.13</v>
      </c>
      <c r="L235" s="648">
        <f t="shared" si="47"/>
        <v>743846.6</v>
      </c>
      <c r="M235" s="754">
        <f t="shared" si="48"/>
        <v>-34464.599999999977</v>
      </c>
      <c r="O235" s="647"/>
      <c r="P235" s="513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31"/>
      <c r="AW235" s="331"/>
      <c r="AX235" s="331"/>
      <c r="AY235" s="331"/>
      <c r="AZ235" s="331"/>
      <c r="BA235" s="331"/>
      <c r="BB235" s="331"/>
    </row>
    <row r="236" spans="2:54">
      <c r="B236" s="235">
        <v>45909</v>
      </c>
      <c r="C236" s="255" t="s">
        <v>2921</v>
      </c>
      <c r="D236" s="402">
        <f t="shared" si="49"/>
        <v>528020.22</v>
      </c>
      <c r="E236" s="376">
        <v>967.07</v>
      </c>
      <c r="F236" s="401">
        <v>546</v>
      </c>
      <c r="G236" s="376">
        <f t="shared" si="43"/>
        <v>865.1</v>
      </c>
      <c r="H236" s="402">
        <f t="shared" si="50"/>
        <v>-55675.619999999937</v>
      </c>
      <c r="I236" s="402">
        <f t="shared" si="51"/>
        <v>472344.60000000003</v>
      </c>
      <c r="J236" s="753"/>
      <c r="K236" s="515">
        <f t="shared" si="44"/>
        <v>907.13</v>
      </c>
      <c r="L236" s="648">
        <f t="shared" si="47"/>
        <v>495292.98</v>
      </c>
      <c r="M236" s="754">
        <f t="shared" si="48"/>
        <v>-22948.379999999946</v>
      </c>
      <c r="O236" s="647"/>
      <c r="P236" s="513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31"/>
      <c r="AW236" s="331"/>
      <c r="AX236" s="331"/>
      <c r="AY236" s="331"/>
      <c r="AZ236" s="331"/>
      <c r="BA236" s="331"/>
      <c r="BB236" s="331"/>
    </row>
    <row r="237" spans="2:54">
      <c r="B237" s="235">
        <v>45909</v>
      </c>
      <c r="C237" s="255" t="s">
        <v>2922</v>
      </c>
      <c r="D237" s="402">
        <f t="shared" si="49"/>
        <v>1485419.52</v>
      </c>
      <c r="E237" s="376">
        <v>967.07</v>
      </c>
      <c r="F237" s="401">
        <v>1536</v>
      </c>
      <c r="G237" s="376">
        <f t="shared" si="43"/>
        <v>865.1</v>
      </c>
      <c r="H237" s="402">
        <f t="shared" si="50"/>
        <v>-156625.91999999993</v>
      </c>
      <c r="I237" s="402">
        <f t="shared" si="51"/>
        <v>1328793.6000000001</v>
      </c>
      <c r="J237" s="753"/>
      <c r="K237" s="515">
        <f t="shared" si="44"/>
        <v>907.13</v>
      </c>
      <c r="L237" s="648">
        <f t="shared" si="47"/>
        <v>1393351.6799999999</v>
      </c>
      <c r="M237" s="754">
        <f t="shared" si="48"/>
        <v>-64558.079999999842</v>
      </c>
      <c r="O237" s="647"/>
      <c r="P237" s="513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31"/>
      <c r="AW237" s="331"/>
      <c r="AX237" s="331"/>
      <c r="AY237" s="331"/>
      <c r="AZ237" s="331"/>
      <c r="BA237" s="331"/>
      <c r="BB237" s="331"/>
    </row>
    <row r="238" spans="2:54">
      <c r="B238" s="235">
        <v>45909</v>
      </c>
      <c r="C238" s="255" t="s">
        <v>2923</v>
      </c>
      <c r="D238" s="402">
        <f t="shared" si="49"/>
        <v>132005.05499999999</v>
      </c>
      <c r="E238" s="376">
        <v>967.07</v>
      </c>
      <c r="F238" s="401">
        <v>136.5</v>
      </c>
      <c r="G238" s="376">
        <f t="shared" si="43"/>
        <v>865.1</v>
      </c>
      <c r="H238" s="402">
        <f t="shared" si="50"/>
        <v>-13918.904999999984</v>
      </c>
      <c r="I238" s="402">
        <f t="shared" si="51"/>
        <v>118086.15000000001</v>
      </c>
      <c r="J238" s="753"/>
      <c r="K238" s="515">
        <f t="shared" si="44"/>
        <v>907.13</v>
      </c>
      <c r="L238" s="648">
        <f t="shared" si="47"/>
        <v>123823.245</v>
      </c>
      <c r="M238" s="754">
        <f t="shared" si="48"/>
        <v>-5737.0949999999866</v>
      </c>
      <c r="O238" s="647"/>
      <c r="P238" s="513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31"/>
      <c r="AW238" s="331"/>
      <c r="AX238" s="331"/>
      <c r="AY238" s="331"/>
      <c r="AZ238" s="331"/>
      <c r="BA238" s="331"/>
      <c r="BB238" s="331"/>
    </row>
    <row r="239" spans="2:54">
      <c r="B239" s="235">
        <v>45909</v>
      </c>
      <c r="C239" s="255" t="s">
        <v>2924</v>
      </c>
      <c r="D239" s="402">
        <f t="shared" si="49"/>
        <v>787194.9800000001</v>
      </c>
      <c r="E239" s="376">
        <v>967.07</v>
      </c>
      <c r="F239" s="401">
        <v>814</v>
      </c>
      <c r="G239" s="376">
        <f t="shared" si="43"/>
        <v>865.1</v>
      </c>
      <c r="H239" s="402">
        <f t="shared" si="50"/>
        <v>-83003.580000000075</v>
      </c>
      <c r="I239" s="402">
        <f t="shared" si="51"/>
        <v>704191.4</v>
      </c>
      <c r="J239" s="753"/>
      <c r="K239" s="515">
        <f t="shared" si="44"/>
        <v>907.13</v>
      </c>
      <c r="L239" s="648">
        <f t="shared" si="47"/>
        <v>738403.82</v>
      </c>
      <c r="M239" s="754">
        <f t="shared" si="48"/>
        <v>-34212.419999999925</v>
      </c>
      <c r="O239" s="647"/>
      <c r="P239" s="513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  <c r="AY239" s="331"/>
      <c r="AZ239" s="331"/>
      <c r="BA239" s="331"/>
      <c r="BB239" s="331"/>
    </row>
    <row r="240" spans="2:54">
      <c r="B240" s="235">
        <v>45909</v>
      </c>
      <c r="C240" s="255" t="s">
        <v>2925</v>
      </c>
      <c r="D240" s="402">
        <f t="shared" si="49"/>
        <v>528020.22</v>
      </c>
      <c r="E240" s="376">
        <v>967.07</v>
      </c>
      <c r="F240" s="401">
        <v>546</v>
      </c>
      <c r="G240" s="376">
        <f t="shared" ref="G240:G303" si="52">+G239</f>
        <v>865.1</v>
      </c>
      <c r="H240" s="402">
        <f t="shared" si="50"/>
        <v>-55675.619999999937</v>
      </c>
      <c r="I240" s="402">
        <f t="shared" si="51"/>
        <v>472344.60000000003</v>
      </c>
      <c r="J240" s="753"/>
      <c r="K240" s="515">
        <f t="shared" ref="K240:K303" si="53">+K239</f>
        <v>907.13</v>
      </c>
      <c r="L240" s="648">
        <f t="shared" si="47"/>
        <v>495292.98</v>
      </c>
      <c r="M240" s="754">
        <f t="shared" si="48"/>
        <v>-22948.379999999946</v>
      </c>
      <c r="O240" s="647"/>
      <c r="P240" s="513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31"/>
      <c r="AW240" s="331"/>
      <c r="AX240" s="331"/>
      <c r="AY240" s="331"/>
      <c r="AZ240" s="331"/>
      <c r="BA240" s="331"/>
      <c r="BB240" s="331"/>
    </row>
    <row r="241" spans="2:54">
      <c r="B241" s="235">
        <v>45909</v>
      </c>
      <c r="C241" s="255" t="s">
        <v>2926</v>
      </c>
      <c r="D241" s="402">
        <f t="shared" si="49"/>
        <v>792997.4</v>
      </c>
      <c r="E241" s="376">
        <v>967.07</v>
      </c>
      <c r="F241" s="401">
        <v>820</v>
      </c>
      <c r="G241" s="376">
        <f t="shared" si="52"/>
        <v>865.1</v>
      </c>
      <c r="H241" s="402">
        <f t="shared" si="50"/>
        <v>-83615.400000000023</v>
      </c>
      <c r="I241" s="402">
        <f t="shared" si="51"/>
        <v>709382</v>
      </c>
      <c r="J241" s="753"/>
      <c r="K241" s="515">
        <f t="shared" si="53"/>
        <v>907.13</v>
      </c>
      <c r="L241" s="648">
        <f t="shared" si="47"/>
        <v>743846.6</v>
      </c>
      <c r="M241" s="754">
        <f t="shared" si="48"/>
        <v>-34464.599999999977</v>
      </c>
      <c r="O241" s="647"/>
      <c r="P241" s="513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31"/>
      <c r="AW241" s="331"/>
      <c r="AX241" s="331"/>
      <c r="AY241" s="331"/>
      <c r="AZ241" s="331"/>
      <c r="BA241" s="331"/>
      <c r="BB241" s="331"/>
    </row>
    <row r="242" spans="2:54">
      <c r="B242" s="235">
        <v>45909</v>
      </c>
      <c r="C242" s="255" t="s">
        <v>2927</v>
      </c>
      <c r="D242" s="402">
        <f t="shared" si="49"/>
        <v>528020.22</v>
      </c>
      <c r="E242" s="376">
        <v>967.07</v>
      </c>
      <c r="F242" s="401">
        <v>546</v>
      </c>
      <c r="G242" s="376">
        <f t="shared" si="52"/>
        <v>865.1</v>
      </c>
      <c r="H242" s="402">
        <f t="shared" si="50"/>
        <v>-55675.619999999937</v>
      </c>
      <c r="I242" s="402">
        <f t="shared" si="51"/>
        <v>472344.60000000003</v>
      </c>
      <c r="J242" s="753"/>
      <c r="K242" s="515">
        <f t="shared" si="53"/>
        <v>907.13</v>
      </c>
      <c r="L242" s="648">
        <f t="shared" si="47"/>
        <v>495292.98</v>
      </c>
      <c r="M242" s="754">
        <f t="shared" si="48"/>
        <v>-22948.379999999946</v>
      </c>
      <c r="O242" s="647"/>
      <c r="P242" s="513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31"/>
      <c r="AW242" s="331"/>
      <c r="AX242" s="331"/>
      <c r="AY242" s="331"/>
      <c r="AZ242" s="331"/>
      <c r="BA242" s="331"/>
      <c r="BB242" s="331"/>
    </row>
    <row r="243" spans="2:54">
      <c r="B243" s="235">
        <v>45909</v>
      </c>
      <c r="C243" s="255" t="s">
        <v>2928</v>
      </c>
      <c r="D243" s="402">
        <f t="shared" si="49"/>
        <v>1574389.9600000002</v>
      </c>
      <c r="E243" s="376">
        <v>967.07</v>
      </c>
      <c r="F243" s="401">
        <v>1628</v>
      </c>
      <c r="G243" s="376">
        <f t="shared" si="52"/>
        <v>865.1</v>
      </c>
      <c r="H243" s="402">
        <f t="shared" si="50"/>
        <v>-166007.16000000015</v>
      </c>
      <c r="I243" s="402">
        <f t="shared" si="51"/>
        <v>1408382.8</v>
      </c>
      <c r="J243" s="753"/>
      <c r="K243" s="515">
        <f t="shared" si="53"/>
        <v>907.13</v>
      </c>
      <c r="L243" s="648">
        <f t="shared" si="47"/>
        <v>1476807.64</v>
      </c>
      <c r="M243" s="754">
        <f t="shared" si="48"/>
        <v>-68424.839999999851</v>
      </c>
      <c r="O243" s="647"/>
      <c r="P243" s="513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31"/>
      <c r="AD243" s="331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31"/>
      <c r="AW243" s="331"/>
      <c r="AX243" s="331"/>
      <c r="AY243" s="331"/>
      <c r="AZ243" s="331"/>
      <c r="BA243" s="331"/>
      <c r="BB243" s="331"/>
    </row>
    <row r="244" spans="2:54">
      <c r="B244" s="235">
        <v>45909</v>
      </c>
      <c r="C244" s="255" t="s">
        <v>2929</v>
      </c>
      <c r="D244" s="402">
        <f t="shared" si="49"/>
        <v>528020.22</v>
      </c>
      <c r="E244" s="376">
        <v>967.07</v>
      </c>
      <c r="F244" s="401">
        <v>546</v>
      </c>
      <c r="G244" s="376">
        <f t="shared" si="52"/>
        <v>865.1</v>
      </c>
      <c r="H244" s="402">
        <f t="shared" si="50"/>
        <v>-55675.619999999937</v>
      </c>
      <c r="I244" s="402">
        <f t="shared" si="51"/>
        <v>472344.60000000003</v>
      </c>
      <c r="J244" s="753"/>
      <c r="K244" s="515">
        <f t="shared" si="53"/>
        <v>907.13</v>
      </c>
      <c r="L244" s="648">
        <f t="shared" si="47"/>
        <v>495292.98</v>
      </c>
      <c r="M244" s="754">
        <f t="shared" si="48"/>
        <v>-22948.379999999946</v>
      </c>
      <c r="O244" s="647"/>
      <c r="P244" s="513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31"/>
      <c r="AD244" s="331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31"/>
      <c r="AW244" s="331"/>
      <c r="AX244" s="331"/>
      <c r="AY244" s="331"/>
      <c r="AZ244" s="331"/>
      <c r="BA244" s="331"/>
      <c r="BB244" s="331"/>
    </row>
    <row r="245" spans="2:54">
      <c r="B245" s="235">
        <v>45909</v>
      </c>
      <c r="C245" s="255" t="s">
        <v>2930</v>
      </c>
      <c r="D245" s="402">
        <f t="shared" si="49"/>
        <v>731104.92</v>
      </c>
      <c r="E245" s="376">
        <v>967.07</v>
      </c>
      <c r="F245" s="401">
        <v>756</v>
      </c>
      <c r="G245" s="376">
        <f t="shared" si="52"/>
        <v>865.1</v>
      </c>
      <c r="H245" s="402">
        <f t="shared" si="50"/>
        <v>-77089.320000000065</v>
      </c>
      <c r="I245" s="402">
        <f t="shared" si="51"/>
        <v>654015.6</v>
      </c>
      <c r="J245" s="753"/>
      <c r="K245" s="515">
        <f t="shared" si="53"/>
        <v>907.13</v>
      </c>
      <c r="L245" s="648">
        <f t="shared" si="47"/>
        <v>685790.28</v>
      </c>
      <c r="M245" s="754">
        <f t="shared" si="48"/>
        <v>-31774.680000000051</v>
      </c>
      <c r="O245" s="647"/>
      <c r="P245" s="513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31"/>
      <c r="AD245" s="331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31"/>
      <c r="AW245" s="331"/>
      <c r="AX245" s="331"/>
      <c r="AY245" s="331"/>
      <c r="AZ245" s="331"/>
      <c r="BA245" s="331"/>
      <c r="BB245" s="331"/>
    </row>
    <row r="246" spans="2:54">
      <c r="B246" s="235">
        <v>45909</v>
      </c>
      <c r="C246" s="255" t="s">
        <v>2931</v>
      </c>
      <c r="D246" s="402">
        <f t="shared" si="49"/>
        <v>528020.22</v>
      </c>
      <c r="E246" s="376">
        <v>967.07</v>
      </c>
      <c r="F246" s="401">
        <v>546</v>
      </c>
      <c r="G246" s="376">
        <f t="shared" si="52"/>
        <v>865.1</v>
      </c>
      <c r="H246" s="402">
        <f t="shared" si="50"/>
        <v>-55675.619999999937</v>
      </c>
      <c r="I246" s="402">
        <f t="shared" si="51"/>
        <v>472344.60000000003</v>
      </c>
      <c r="J246" s="753"/>
      <c r="K246" s="515">
        <f t="shared" si="53"/>
        <v>907.13</v>
      </c>
      <c r="L246" s="648">
        <f t="shared" si="47"/>
        <v>495292.98</v>
      </c>
      <c r="M246" s="754">
        <f t="shared" si="48"/>
        <v>-22948.379999999946</v>
      </c>
      <c r="O246" s="647"/>
      <c r="P246" s="513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31"/>
      <c r="AD246" s="331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31"/>
      <c r="AW246" s="331"/>
      <c r="AX246" s="331"/>
      <c r="AY246" s="331"/>
      <c r="AZ246" s="331"/>
      <c r="BA246" s="331"/>
      <c r="BB246" s="331"/>
    </row>
    <row r="247" spans="2:54">
      <c r="B247" s="235">
        <v>45909</v>
      </c>
      <c r="C247" s="255" t="s">
        <v>2932</v>
      </c>
      <c r="D247" s="402">
        <f t="shared" si="49"/>
        <v>787194.9800000001</v>
      </c>
      <c r="E247" s="376">
        <v>967.07</v>
      </c>
      <c r="F247" s="401">
        <v>814</v>
      </c>
      <c r="G247" s="376">
        <f t="shared" si="52"/>
        <v>865.1</v>
      </c>
      <c r="H247" s="402">
        <f t="shared" si="50"/>
        <v>-83003.580000000075</v>
      </c>
      <c r="I247" s="402">
        <f t="shared" si="51"/>
        <v>704191.4</v>
      </c>
      <c r="J247" s="753"/>
      <c r="K247" s="515">
        <f t="shared" si="53"/>
        <v>907.13</v>
      </c>
      <c r="L247" s="648">
        <f t="shared" si="47"/>
        <v>738403.82</v>
      </c>
      <c r="M247" s="754">
        <f t="shared" si="48"/>
        <v>-34212.419999999925</v>
      </c>
      <c r="O247" s="647"/>
      <c r="P247" s="513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31"/>
      <c r="AW247" s="331"/>
      <c r="AX247" s="331"/>
      <c r="AY247" s="331"/>
      <c r="AZ247" s="331"/>
      <c r="BA247" s="331"/>
      <c r="BB247" s="331"/>
    </row>
    <row r="248" spans="2:54">
      <c r="B248" s="235">
        <v>45909</v>
      </c>
      <c r="C248" s="255" t="s">
        <v>2933</v>
      </c>
      <c r="D248" s="402">
        <f t="shared" si="49"/>
        <v>528020.22</v>
      </c>
      <c r="E248" s="376">
        <v>967.07</v>
      </c>
      <c r="F248" s="401">
        <v>546</v>
      </c>
      <c r="G248" s="376">
        <f t="shared" si="52"/>
        <v>865.1</v>
      </c>
      <c r="H248" s="402">
        <f t="shared" si="50"/>
        <v>-55675.619999999937</v>
      </c>
      <c r="I248" s="402">
        <f t="shared" si="51"/>
        <v>472344.60000000003</v>
      </c>
      <c r="J248" s="753"/>
      <c r="K248" s="515">
        <f t="shared" si="53"/>
        <v>907.13</v>
      </c>
      <c r="L248" s="648">
        <f t="shared" si="47"/>
        <v>495292.98</v>
      </c>
      <c r="M248" s="754">
        <f t="shared" si="48"/>
        <v>-22948.379999999946</v>
      </c>
      <c r="O248" s="647"/>
      <c r="P248" s="513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31"/>
      <c r="AD248" s="331"/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31"/>
      <c r="AR248" s="331"/>
      <c r="AS248" s="331"/>
      <c r="AT248" s="331"/>
      <c r="AU248" s="331"/>
      <c r="AV248" s="331"/>
      <c r="AW248" s="331"/>
      <c r="AX248" s="331"/>
      <c r="AY248" s="331"/>
      <c r="AZ248" s="331"/>
      <c r="BA248" s="331"/>
      <c r="BB248" s="331"/>
    </row>
    <row r="249" spans="2:54">
      <c r="B249" s="235">
        <v>45909</v>
      </c>
      <c r="C249" s="255" t="s">
        <v>2934</v>
      </c>
      <c r="D249" s="402">
        <f t="shared" si="49"/>
        <v>792997.4</v>
      </c>
      <c r="E249" s="376">
        <v>967.07</v>
      </c>
      <c r="F249" s="401">
        <v>820</v>
      </c>
      <c r="G249" s="376">
        <f t="shared" si="52"/>
        <v>865.1</v>
      </c>
      <c r="H249" s="402">
        <f t="shared" si="50"/>
        <v>-83615.400000000023</v>
      </c>
      <c r="I249" s="402">
        <f t="shared" si="51"/>
        <v>709382</v>
      </c>
      <c r="J249" s="753"/>
      <c r="K249" s="515">
        <f t="shared" si="53"/>
        <v>907.13</v>
      </c>
      <c r="L249" s="648">
        <f t="shared" si="47"/>
        <v>743846.6</v>
      </c>
      <c r="M249" s="754">
        <f t="shared" si="48"/>
        <v>-34464.599999999977</v>
      </c>
      <c r="O249" s="647"/>
      <c r="P249" s="513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31"/>
      <c r="AD249" s="331"/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31"/>
      <c r="AW249" s="331"/>
      <c r="AX249" s="331"/>
      <c r="AY249" s="331"/>
      <c r="AZ249" s="331"/>
      <c r="BA249" s="331"/>
      <c r="BB249" s="331"/>
    </row>
    <row r="250" spans="2:54">
      <c r="B250" s="235">
        <v>45909</v>
      </c>
      <c r="C250" s="255" t="s">
        <v>2935</v>
      </c>
      <c r="D250" s="402">
        <f t="shared" si="49"/>
        <v>528020.22</v>
      </c>
      <c r="E250" s="376">
        <v>967.07</v>
      </c>
      <c r="F250" s="401">
        <v>546</v>
      </c>
      <c r="G250" s="376">
        <f t="shared" si="52"/>
        <v>865.1</v>
      </c>
      <c r="H250" s="402">
        <f t="shared" si="50"/>
        <v>-55675.619999999937</v>
      </c>
      <c r="I250" s="402">
        <f t="shared" si="51"/>
        <v>472344.60000000003</v>
      </c>
      <c r="J250" s="753"/>
      <c r="K250" s="515">
        <f t="shared" si="53"/>
        <v>907.13</v>
      </c>
      <c r="L250" s="648">
        <f t="shared" si="47"/>
        <v>495292.98</v>
      </c>
      <c r="M250" s="754">
        <f t="shared" si="48"/>
        <v>-22948.379999999946</v>
      </c>
      <c r="O250" s="647"/>
      <c r="P250" s="513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31"/>
      <c r="AD250" s="331"/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31"/>
      <c r="AW250" s="331"/>
      <c r="AX250" s="331"/>
      <c r="AY250" s="331"/>
      <c r="AZ250" s="331"/>
      <c r="BA250" s="331"/>
      <c r="BB250" s="331"/>
    </row>
    <row r="251" spans="2:54">
      <c r="B251" s="235">
        <v>45909</v>
      </c>
      <c r="C251" s="255" t="s">
        <v>2936</v>
      </c>
      <c r="D251" s="402">
        <f t="shared" si="49"/>
        <v>528020.22</v>
      </c>
      <c r="E251" s="376">
        <v>967.07</v>
      </c>
      <c r="F251" s="401">
        <v>546</v>
      </c>
      <c r="G251" s="376">
        <f t="shared" si="52"/>
        <v>865.1</v>
      </c>
      <c r="H251" s="402">
        <f t="shared" si="50"/>
        <v>-55675.619999999937</v>
      </c>
      <c r="I251" s="402">
        <f t="shared" si="51"/>
        <v>472344.60000000003</v>
      </c>
      <c r="J251" s="753"/>
      <c r="K251" s="515">
        <f t="shared" si="53"/>
        <v>907.13</v>
      </c>
      <c r="L251" s="648">
        <f t="shared" si="47"/>
        <v>495292.98</v>
      </c>
      <c r="M251" s="754">
        <f t="shared" si="48"/>
        <v>-22948.379999999946</v>
      </c>
      <c r="O251" s="647"/>
      <c r="P251" s="513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31"/>
      <c r="AD251" s="331"/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31"/>
      <c r="AW251" s="331"/>
      <c r="AX251" s="331"/>
      <c r="AY251" s="331"/>
      <c r="AZ251" s="331"/>
      <c r="BA251" s="331"/>
      <c r="BB251" s="331"/>
    </row>
    <row r="252" spans="2:54">
      <c r="B252" s="235">
        <v>45909</v>
      </c>
      <c r="C252" s="255" t="s">
        <v>2937</v>
      </c>
      <c r="D252" s="402">
        <f t="shared" si="49"/>
        <v>6922770.5950000007</v>
      </c>
      <c r="E252" s="376">
        <v>967.07</v>
      </c>
      <c r="F252" s="401">
        <v>7158.5</v>
      </c>
      <c r="G252" s="376">
        <f t="shared" si="52"/>
        <v>865.1</v>
      </c>
      <c r="H252" s="402">
        <f t="shared" si="50"/>
        <v>-729952.24500000011</v>
      </c>
      <c r="I252" s="402">
        <f t="shared" si="51"/>
        <v>6192818.3500000006</v>
      </c>
      <c r="J252" s="753"/>
      <c r="K252" s="515">
        <f t="shared" si="53"/>
        <v>907.13</v>
      </c>
      <c r="L252" s="648">
        <f t="shared" si="47"/>
        <v>6493690.1049999995</v>
      </c>
      <c r="M252" s="754">
        <f t="shared" si="48"/>
        <v>-300871.75499999896</v>
      </c>
      <c r="O252" s="647"/>
      <c r="P252" s="513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31"/>
      <c r="AD252" s="331"/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31"/>
      <c r="AW252" s="331"/>
      <c r="AX252" s="331"/>
      <c r="AY252" s="331"/>
      <c r="AZ252" s="331"/>
      <c r="BA252" s="331"/>
      <c r="BB252" s="331"/>
    </row>
    <row r="253" spans="2:54">
      <c r="B253" s="235">
        <v>45909</v>
      </c>
      <c r="C253" s="255" t="s">
        <v>2938</v>
      </c>
      <c r="D253" s="402">
        <f t="shared" si="49"/>
        <v>21160458.670000002</v>
      </c>
      <c r="E253" s="376">
        <v>967.07</v>
      </c>
      <c r="F253" s="401">
        <v>21881</v>
      </c>
      <c r="G253" s="376">
        <f t="shared" si="52"/>
        <v>865.1</v>
      </c>
      <c r="H253" s="402">
        <f t="shared" si="50"/>
        <v>-2231205.5700000003</v>
      </c>
      <c r="I253" s="402">
        <f t="shared" si="51"/>
        <v>18929253.100000001</v>
      </c>
      <c r="J253" s="753"/>
      <c r="K253" s="515">
        <f t="shared" si="53"/>
        <v>907.13</v>
      </c>
      <c r="L253" s="648">
        <f t="shared" si="47"/>
        <v>19848911.530000001</v>
      </c>
      <c r="M253" s="754">
        <f t="shared" si="48"/>
        <v>-919658.4299999997</v>
      </c>
      <c r="O253" s="647"/>
      <c r="P253" s="513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31"/>
      <c r="AD253" s="331"/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31"/>
      <c r="AW253" s="331"/>
      <c r="AX253" s="331"/>
      <c r="AY253" s="331"/>
      <c r="AZ253" s="331"/>
      <c r="BA253" s="331"/>
      <c r="BB253" s="331"/>
    </row>
    <row r="254" spans="2:54">
      <c r="B254" s="235">
        <v>45909</v>
      </c>
      <c r="C254" s="255" t="s">
        <v>2939</v>
      </c>
      <c r="D254" s="402">
        <f t="shared" si="49"/>
        <v>1620809.32</v>
      </c>
      <c r="E254" s="376">
        <v>967.07</v>
      </c>
      <c r="F254" s="401">
        <v>1676</v>
      </c>
      <c r="G254" s="376">
        <f t="shared" si="52"/>
        <v>865.1</v>
      </c>
      <c r="H254" s="402">
        <f t="shared" si="50"/>
        <v>-170901.71999999997</v>
      </c>
      <c r="I254" s="402">
        <f t="shared" si="51"/>
        <v>1449907.6</v>
      </c>
      <c r="J254" s="753"/>
      <c r="K254" s="515">
        <f t="shared" si="53"/>
        <v>907.13</v>
      </c>
      <c r="L254" s="648">
        <f t="shared" ref="L254:L275" si="54">K254*F254</f>
        <v>1520349.88</v>
      </c>
      <c r="M254" s="754">
        <f t="shared" ref="M254:M275" si="55">I254-L254</f>
        <v>-70442.279999999795</v>
      </c>
      <c r="O254" s="647"/>
      <c r="P254" s="513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31"/>
      <c r="AD254" s="331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31"/>
      <c r="AW254" s="331"/>
      <c r="AX254" s="331"/>
      <c r="AY254" s="331"/>
      <c r="AZ254" s="331"/>
      <c r="BA254" s="331"/>
      <c r="BB254" s="331"/>
    </row>
    <row r="255" spans="2:54">
      <c r="B255" s="235">
        <v>45909</v>
      </c>
      <c r="C255" s="255" t="s">
        <v>2940</v>
      </c>
      <c r="D255" s="402">
        <f t="shared" si="49"/>
        <v>1831630.58</v>
      </c>
      <c r="E255" s="376">
        <v>967.07</v>
      </c>
      <c r="F255" s="401">
        <v>1894</v>
      </c>
      <c r="G255" s="376">
        <f t="shared" si="52"/>
        <v>865.1</v>
      </c>
      <c r="H255" s="402">
        <f t="shared" si="50"/>
        <v>-193131.17999999993</v>
      </c>
      <c r="I255" s="402">
        <f t="shared" si="51"/>
        <v>1638499.4000000001</v>
      </c>
      <c r="J255" s="753"/>
      <c r="K255" s="515">
        <f t="shared" si="53"/>
        <v>907.13</v>
      </c>
      <c r="L255" s="648">
        <f t="shared" si="54"/>
        <v>1718104.22</v>
      </c>
      <c r="M255" s="754">
        <f t="shared" si="55"/>
        <v>-79604.819999999832</v>
      </c>
      <c r="O255" s="647"/>
      <c r="P255" s="513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31"/>
      <c r="AD255" s="331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31"/>
      <c r="AW255" s="331"/>
      <c r="AX255" s="331"/>
      <c r="AY255" s="331"/>
      <c r="AZ255" s="331"/>
      <c r="BA255" s="331"/>
      <c r="BB255" s="331"/>
    </row>
    <row r="256" spans="2:54">
      <c r="B256" s="235">
        <v>45909</v>
      </c>
      <c r="C256" s="255" t="s">
        <v>2941</v>
      </c>
      <c r="D256" s="402">
        <f t="shared" si="49"/>
        <v>609254.1</v>
      </c>
      <c r="E256" s="376">
        <v>967.07</v>
      </c>
      <c r="F256" s="401">
        <v>630</v>
      </c>
      <c r="G256" s="376">
        <f t="shared" si="52"/>
        <v>865.1</v>
      </c>
      <c r="H256" s="402">
        <f t="shared" si="50"/>
        <v>-64241.099999999977</v>
      </c>
      <c r="I256" s="402">
        <f t="shared" si="51"/>
        <v>545013</v>
      </c>
      <c r="J256" s="753"/>
      <c r="K256" s="515">
        <f t="shared" si="53"/>
        <v>907.13</v>
      </c>
      <c r="L256" s="648">
        <f t="shared" si="54"/>
        <v>571491.9</v>
      </c>
      <c r="M256" s="754">
        <f t="shared" si="55"/>
        <v>-26478.900000000023</v>
      </c>
      <c r="O256" s="647"/>
      <c r="P256" s="513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31"/>
      <c r="AD256" s="331"/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31"/>
      <c r="AW256" s="331"/>
      <c r="AX256" s="331"/>
      <c r="AY256" s="331"/>
      <c r="AZ256" s="331"/>
      <c r="BA256" s="331"/>
      <c r="BB256" s="331"/>
    </row>
    <row r="257" spans="2:54">
      <c r="B257" s="235">
        <v>45909</v>
      </c>
      <c r="C257" s="255" t="s">
        <v>2942</v>
      </c>
      <c r="D257" s="402">
        <f t="shared" si="49"/>
        <v>732555.52500000002</v>
      </c>
      <c r="E257" s="376">
        <v>967.07</v>
      </c>
      <c r="F257" s="401">
        <v>757.5</v>
      </c>
      <c r="G257" s="376">
        <f t="shared" si="52"/>
        <v>865.1</v>
      </c>
      <c r="H257" s="402">
        <f t="shared" si="50"/>
        <v>-77242.275000000023</v>
      </c>
      <c r="I257" s="402">
        <f t="shared" si="51"/>
        <v>655313.25</v>
      </c>
      <c r="J257" s="753"/>
      <c r="K257" s="515">
        <f t="shared" si="53"/>
        <v>907.13</v>
      </c>
      <c r="L257" s="648">
        <f t="shared" si="54"/>
        <v>687150.97499999998</v>
      </c>
      <c r="M257" s="754">
        <f t="shared" si="55"/>
        <v>-31837.724999999977</v>
      </c>
      <c r="O257" s="647"/>
      <c r="P257" s="513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31"/>
      <c r="AD257" s="331"/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31"/>
      <c r="AW257" s="331"/>
      <c r="AX257" s="331"/>
      <c r="AY257" s="331"/>
      <c r="AZ257" s="331"/>
      <c r="BA257" s="331"/>
      <c r="BB257" s="331"/>
    </row>
    <row r="258" spans="2:54">
      <c r="B258" s="235">
        <v>45909</v>
      </c>
      <c r="C258" s="255" t="s">
        <v>2943</v>
      </c>
      <c r="D258" s="402">
        <f t="shared" si="49"/>
        <v>58121390.535000004</v>
      </c>
      <c r="E258" s="376">
        <v>967.07</v>
      </c>
      <c r="F258" s="401">
        <v>60100.5</v>
      </c>
      <c r="G258" s="376">
        <f t="shared" si="52"/>
        <v>865.1</v>
      </c>
      <c r="H258" s="402">
        <f t="shared" si="50"/>
        <v>-6128447.9849999994</v>
      </c>
      <c r="I258" s="402">
        <f t="shared" si="51"/>
        <v>51992942.550000004</v>
      </c>
      <c r="J258" s="753"/>
      <c r="K258" s="515">
        <f t="shared" si="53"/>
        <v>907.13</v>
      </c>
      <c r="L258" s="648">
        <f t="shared" si="54"/>
        <v>54518966.564999998</v>
      </c>
      <c r="M258" s="754">
        <f t="shared" si="55"/>
        <v>-2526024.0149999931</v>
      </c>
      <c r="O258" s="647"/>
      <c r="P258" s="513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31"/>
      <c r="AD258" s="331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31"/>
      <c r="AW258" s="331"/>
      <c r="AX258" s="331"/>
      <c r="AY258" s="331"/>
      <c r="AZ258" s="331"/>
      <c r="BA258" s="331"/>
      <c r="BB258" s="331"/>
    </row>
    <row r="259" spans="2:54">
      <c r="B259" s="235">
        <v>45909</v>
      </c>
      <c r="C259" s="255" t="s">
        <v>2944</v>
      </c>
      <c r="D259" s="402">
        <f t="shared" si="49"/>
        <v>2529855.12</v>
      </c>
      <c r="E259" s="376">
        <v>967.07</v>
      </c>
      <c r="F259" s="401">
        <v>2616</v>
      </c>
      <c r="G259" s="376">
        <f t="shared" si="52"/>
        <v>865.1</v>
      </c>
      <c r="H259" s="402">
        <f t="shared" si="50"/>
        <v>-266753.52</v>
      </c>
      <c r="I259" s="402">
        <f t="shared" si="51"/>
        <v>2263101.6</v>
      </c>
      <c r="J259" s="753"/>
      <c r="K259" s="515">
        <f t="shared" si="53"/>
        <v>907.13</v>
      </c>
      <c r="L259" s="648">
        <f t="shared" si="54"/>
        <v>2373052.08</v>
      </c>
      <c r="M259" s="754">
        <f t="shared" si="55"/>
        <v>-109950.47999999998</v>
      </c>
      <c r="O259" s="647"/>
      <c r="P259" s="513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31"/>
      <c r="AD259" s="331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31"/>
      <c r="AW259" s="331"/>
      <c r="AX259" s="331"/>
      <c r="AY259" s="331"/>
      <c r="AZ259" s="331"/>
      <c r="BA259" s="331"/>
      <c r="BB259" s="331"/>
    </row>
    <row r="260" spans="2:54">
      <c r="B260" s="235">
        <v>45909</v>
      </c>
      <c r="C260" s="255" t="s">
        <v>2945</v>
      </c>
      <c r="D260" s="402">
        <f t="shared" si="49"/>
        <v>1426428.25</v>
      </c>
      <c r="E260" s="376">
        <v>967.07</v>
      </c>
      <c r="F260" s="401">
        <v>1475</v>
      </c>
      <c r="G260" s="376">
        <f t="shared" si="52"/>
        <v>865.1</v>
      </c>
      <c r="H260" s="402">
        <f t="shared" si="50"/>
        <v>-150405.75</v>
      </c>
      <c r="I260" s="402">
        <f t="shared" si="51"/>
        <v>1276022.5</v>
      </c>
      <c r="J260" s="753"/>
      <c r="K260" s="515">
        <f t="shared" si="53"/>
        <v>907.13</v>
      </c>
      <c r="L260" s="648">
        <f t="shared" si="54"/>
        <v>1338016.75</v>
      </c>
      <c r="M260" s="754">
        <f t="shared" si="55"/>
        <v>-61994.25</v>
      </c>
      <c r="O260" s="647"/>
      <c r="P260" s="513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31"/>
      <c r="AD260" s="331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31"/>
      <c r="AW260" s="331"/>
      <c r="AX260" s="331"/>
      <c r="AY260" s="331"/>
      <c r="AZ260" s="331"/>
      <c r="BA260" s="331"/>
      <c r="BB260" s="331"/>
    </row>
    <row r="261" spans="2:54">
      <c r="B261" s="235">
        <v>45909</v>
      </c>
      <c r="C261" s="255" t="s">
        <v>2946</v>
      </c>
      <c r="D261" s="402">
        <f t="shared" si="49"/>
        <v>1831630.58</v>
      </c>
      <c r="E261" s="376">
        <v>967.07</v>
      </c>
      <c r="F261" s="401">
        <v>1894</v>
      </c>
      <c r="G261" s="376">
        <f t="shared" si="52"/>
        <v>865.1</v>
      </c>
      <c r="H261" s="402">
        <f t="shared" si="50"/>
        <v>-193131.17999999993</v>
      </c>
      <c r="I261" s="402">
        <f t="shared" si="51"/>
        <v>1638499.4000000001</v>
      </c>
      <c r="J261" s="753"/>
      <c r="K261" s="515">
        <f t="shared" si="53"/>
        <v>907.13</v>
      </c>
      <c r="L261" s="648">
        <f t="shared" si="54"/>
        <v>1718104.22</v>
      </c>
      <c r="M261" s="754">
        <f t="shared" si="55"/>
        <v>-79604.819999999832</v>
      </c>
      <c r="O261" s="647"/>
      <c r="P261" s="513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31"/>
      <c r="AD261" s="331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31"/>
      <c r="AW261" s="331"/>
      <c r="AX261" s="331"/>
      <c r="AY261" s="331"/>
      <c r="AZ261" s="331"/>
      <c r="BA261" s="331"/>
      <c r="BB261" s="331"/>
    </row>
    <row r="262" spans="2:54">
      <c r="B262" s="235">
        <v>45909</v>
      </c>
      <c r="C262" s="255" t="s">
        <v>2947</v>
      </c>
      <c r="D262" s="402">
        <f t="shared" si="49"/>
        <v>2852856.5</v>
      </c>
      <c r="E262" s="376">
        <v>967.07</v>
      </c>
      <c r="F262" s="401">
        <v>2950</v>
      </c>
      <c r="G262" s="376">
        <f t="shared" si="52"/>
        <v>865.1</v>
      </c>
      <c r="H262" s="402">
        <f t="shared" si="50"/>
        <v>-300811.5</v>
      </c>
      <c r="I262" s="402">
        <f t="shared" si="51"/>
        <v>2552045</v>
      </c>
      <c r="J262" s="753"/>
      <c r="K262" s="515">
        <f t="shared" si="53"/>
        <v>907.13</v>
      </c>
      <c r="L262" s="648">
        <f t="shared" si="54"/>
        <v>2676033.5</v>
      </c>
      <c r="M262" s="754">
        <f t="shared" si="55"/>
        <v>-123988.5</v>
      </c>
      <c r="O262" s="647"/>
      <c r="P262" s="513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31"/>
      <c r="AD262" s="331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31"/>
      <c r="AR262" s="331"/>
      <c r="AS262" s="331"/>
      <c r="AT262" s="331"/>
      <c r="AU262" s="331"/>
      <c r="AV262" s="331"/>
      <c r="AW262" s="331"/>
      <c r="AX262" s="331"/>
      <c r="AY262" s="331"/>
      <c r="AZ262" s="331"/>
      <c r="BA262" s="331"/>
      <c r="BB262" s="331"/>
    </row>
    <row r="263" spans="2:54">
      <c r="B263" s="235">
        <v>45909</v>
      </c>
      <c r="C263" s="255" t="s">
        <v>2948</v>
      </c>
      <c r="D263" s="402">
        <f t="shared" si="49"/>
        <v>1620809.32</v>
      </c>
      <c r="E263" s="376">
        <v>967.07</v>
      </c>
      <c r="F263" s="401">
        <v>1676</v>
      </c>
      <c r="G263" s="376">
        <f t="shared" si="52"/>
        <v>865.1</v>
      </c>
      <c r="H263" s="402">
        <f t="shared" si="50"/>
        <v>-170901.71999999997</v>
      </c>
      <c r="I263" s="402">
        <f t="shared" si="51"/>
        <v>1449907.6</v>
      </c>
      <c r="J263" s="753"/>
      <c r="K263" s="515">
        <f t="shared" si="53"/>
        <v>907.13</v>
      </c>
      <c r="L263" s="648">
        <f t="shared" si="54"/>
        <v>1520349.88</v>
      </c>
      <c r="M263" s="754">
        <f t="shared" si="55"/>
        <v>-70442.279999999795</v>
      </c>
      <c r="O263" s="647"/>
      <c r="P263" s="513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  <c r="AD263" s="331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31"/>
      <c r="AR263" s="331"/>
      <c r="AS263" s="331"/>
      <c r="AT263" s="331"/>
      <c r="AU263" s="331"/>
      <c r="AV263" s="331"/>
      <c r="AW263" s="331"/>
      <c r="AX263" s="331"/>
      <c r="AY263" s="331"/>
      <c r="AZ263" s="331"/>
      <c r="BA263" s="331"/>
      <c r="BB263" s="331"/>
    </row>
    <row r="264" spans="2:54">
      <c r="B264" s="235">
        <v>45909</v>
      </c>
      <c r="C264" s="255" t="s">
        <v>2949</v>
      </c>
      <c r="D264" s="402">
        <f t="shared" si="49"/>
        <v>1426428.25</v>
      </c>
      <c r="E264" s="376">
        <v>967.07</v>
      </c>
      <c r="F264" s="401">
        <v>1475</v>
      </c>
      <c r="G264" s="376">
        <f t="shared" si="52"/>
        <v>865.1</v>
      </c>
      <c r="H264" s="402">
        <f t="shared" si="50"/>
        <v>-150405.75</v>
      </c>
      <c r="I264" s="402">
        <f t="shared" si="51"/>
        <v>1276022.5</v>
      </c>
      <c r="J264" s="753"/>
      <c r="K264" s="515">
        <f t="shared" si="53"/>
        <v>907.13</v>
      </c>
      <c r="L264" s="648">
        <f t="shared" si="54"/>
        <v>1338016.75</v>
      </c>
      <c r="M264" s="754">
        <f t="shared" si="55"/>
        <v>-61994.25</v>
      </c>
      <c r="O264" s="647"/>
      <c r="P264" s="513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  <c r="AD264" s="331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31"/>
      <c r="AR264" s="331"/>
      <c r="AS264" s="331"/>
      <c r="AT264" s="331"/>
      <c r="AU264" s="331"/>
      <c r="AV264" s="331"/>
      <c r="AW264" s="331"/>
      <c r="AX264" s="331"/>
      <c r="AY264" s="331"/>
      <c r="AZ264" s="331"/>
      <c r="BA264" s="331"/>
      <c r="BB264" s="331"/>
    </row>
    <row r="265" spans="2:54">
      <c r="B265" s="235">
        <v>45909</v>
      </c>
      <c r="C265" s="255" t="s">
        <v>2950</v>
      </c>
      <c r="D265" s="402">
        <f t="shared" si="49"/>
        <v>1620809.32</v>
      </c>
      <c r="E265" s="376">
        <v>967.07</v>
      </c>
      <c r="F265" s="401">
        <v>1676</v>
      </c>
      <c r="G265" s="376">
        <f t="shared" si="52"/>
        <v>865.1</v>
      </c>
      <c r="H265" s="402">
        <f t="shared" si="50"/>
        <v>-170901.71999999997</v>
      </c>
      <c r="I265" s="402">
        <f t="shared" si="51"/>
        <v>1449907.6</v>
      </c>
      <c r="J265" s="753"/>
      <c r="K265" s="515">
        <f t="shared" si="53"/>
        <v>907.13</v>
      </c>
      <c r="L265" s="648">
        <f t="shared" si="54"/>
        <v>1520349.88</v>
      </c>
      <c r="M265" s="754">
        <f t="shared" si="55"/>
        <v>-70442.279999999795</v>
      </c>
      <c r="O265" s="647"/>
      <c r="P265" s="513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31"/>
      <c r="AR265" s="331"/>
      <c r="AS265" s="331"/>
      <c r="AT265" s="331"/>
      <c r="AU265" s="331"/>
      <c r="AV265" s="331"/>
      <c r="AW265" s="331"/>
      <c r="AX265" s="331"/>
      <c r="AY265" s="331"/>
      <c r="AZ265" s="331"/>
      <c r="BA265" s="331"/>
      <c r="BB265" s="331"/>
    </row>
    <row r="266" spans="2:54">
      <c r="B266" s="235">
        <v>45909</v>
      </c>
      <c r="C266" s="255" t="s">
        <v>2951</v>
      </c>
      <c r="D266" s="402">
        <f t="shared" si="49"/>
        <v>290121</v>
      </c>
      <c r="E266" s="376">
        <v>967.07</v>
      </c>
      <c r="F266" s="401">
        <v>300</v>
      </c>
      <c r="G266" s="376">
        <f t="shared" si="52"/>
        <v>865.1</v>
      </c>
      <c r="H266" s="402">
        <f t="shared" si="50"/>
        <v>-30591</v>
      </c>
      <c r="I266" s="402">
        <f t="shared" si="51"/>
        <v>259530</v>
      </c>
      <c r="J266" s="753"/>
      <c r="K266" s="515">
        <f t="shared" si="53"/>
        <v>907.13</v>
      </c>
      <c r="L266" s="648">
        <f t="shared" si="54"/>
        <v>272139</v>
      </c>
      <c r="M266" s="754">
        <f t="shared" si="55"/>
        <v>-12609</v>
      </c>
      <c r="O266" s="647"/>
      <c r="P266" s="513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  <c r="AD266" s="331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31"/>
      <c r="AR266" s="331"/>
      <c r="AS266" s="331"/>
      <c r="AT266" s="331"/>
      <c r="AU266" s="331"/>
      <c r="AV266" s="331"/>
      <c r="AW266" s="331"/>
      <c r="AX266" s="331"/>
      <c r="AY266" s="331"/>
      <c r="AZ266" s="331"/>
      <c r="BA266" s="331"/>
      <c r="BB266" s="331"/>
    </row>
    <row r="267" spans="2:54">
      <c r="B267" s="235">
        <v>45909</v>
      </c>
      <c r="C267" s="255" t="s">
        <v>2952</v>
      </c>
      <c r="D267" s="402">
        <f t="shared" si="49"/>
        <v>145060.5</v>
      </c>
      <c r="E267" s="376">
        <v>967.07</v>
      </c>
      <c r="F267" s="401">
        <v>150</v>
      </c>
      <c r="G267" s="376">
        <f t="shared" si="52"/>
        <v>865.1</v>
      </c>
      <c r="H267" s="402">
        <f t="shared" si="50"/>
        <v>-15295.5</v>
      </c>
      <c r="I267" s="402">
        <f t="shared" si="51"/>
        <v>129765</v>
      </c>
      <c r="J267" s="753"/>
      <c r="K267" s="515">
        <f t="shared" si="53"/>
        <v>907.13</v>
      </c>
      <c r="L267" s="648">
        <f t="shared" si="54"/>
        <v>136069.5</v>
      </c>
      <c r="M267" s="754">
        <f t="shared" si="55"/>
        <v>-6304.5</v>
      </c>
      <c r="O267" s="647"/>
      <c r="P267" s="513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  <c r="AD267" s="331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31"/>
      <c r="AR267" s="331"/>
      <c r="AS267" s="331"/>
      <c r="AT267" s="331"/>
      <c r="AU267" s="331"/>
      <c r="AV267" s="331"/>
      <c r="AW267" s="331"/>
      <c r="AX267" s="331"/>
      <c r="AY267" s="331"/>
      <c r="AZ267" s="331"/>
      <c r="BA267" s="331"/>
      <c r="BB267" s="331"/>
    </row>
    <row r="268" spans="2:54">
      <c r="B268" s="235">
        <v>45917</v>
      </c>
      <c r="C268" s="255" t="s">
        <v>2953</v>
      </c>
      <c r="D268" s="402">
        <f t="shared" si="49"/>
        <v>842937.24479999999</v>
      </c>
      <c r="E268" s="376">
        <v>948.57</v>
      </c>
      <c r="F268" s="401">
        <v>888.64</v>
      </c>
      <c r="G268" s="376">
        <f t="shared" si="52"/>
        <v>865.1</v>
      </c>
      <c r="H268" s="402">
        <f t="shared" si="50"/>
        <v>-74174.78079999995</v>
      </c>
      <c r="I268" s="402">
        <f t="shared" si="51"/>
        <v>768762.46400000004</v>
      </c>
      <c r="J268" s="753"/>
      <c r="K268" s="515">
        <f t="shared" si="53"/>
        <v>907.13</v>
      </c>
      <c r="L268" s="648">
        <f t="shared" si="54"/>
        <v>806112.00320000004</v>
      </c>
      <c r="M268" s="754">
        <f t="shared" si="55"/>
        <v>-37349.539199999999</v>
      </c>
      <c r="O268" s="647"/>
      <c r="P268" s="513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  <c r="AD268" s="331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31"/>
      <c r="AR268" s="331"/>
      <c r="AS268" s="331"/>
      <c r="AT268" s="331"/>
      <c r="AU268" s="331"/>
      <c r="AV268" s="331"/>
      <c r="AW268" s="331"/>
      <c r="AX268" s="331"/>
      <c r="AY268" s="331"/>
      <c r="AZ268" s="331"/>
      <c r="BA268" s="331"/>
      <c r="BB268" s="331"/>
    </row>
    <row r="269" spans="2:54">
      <c r="B269" s="235">
        <v>45918</v>
      </c>
      <c r="C269" s="255" t="s">
        <v>2954</v>
      </c>
      <c r="D269" s="402">
        <f t="shared" si="49"/>
        <v>4429053.5582999997</v>
      </c>
      <c r="E269" s="376">
        <v>948.57</v>
      </c>
      <c r="F269" s="401">
        <v>4669.1899999999996</v>
      </c>
      <c r="G269" s="376">
        <f t="shared" si="52"/>
        <v>865.1</v>
      </c>
      <c r="H269" s="402">
        <f t="shared" si="50"/>
        <v>-389737.28929999983</v>
      </c>
      <c r="I269" s="402">
        <f t="shared" si="51"/>
        <v>4039316.2689999999</v>
      </c>
      <c r="J269" s="753"/>
      <c r="K269" s="515">
        <f t="shared" si="53"/>
        <v>907.13</v>
      </c>
      <c r="L269" s="648">
        <f t="shared" si="54"/>
        <v>4235562.3246999998</v>
      </c>
      <c r="M269" s="754">
        <f t="shared" si="55"/>
        <v>-196246.05569999991</v>
      </c>
      <c r="O269" s="647"/>
      <c r="P269" s="513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  <c r="AD269" s="331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31"/>
      <c r="AR269" s="331"/>
      <c r="AS269" s="331"/>
      <c r="AT269" s="331"/>
      <c r="AU269" s="331"/>
      <c r="AV269" s="331"/>
      <c r="AW269" s="331"/>
      <c r="AX269" s="331"/>
      <c r="AY269" s="331"/>
      <c r="AZ269" s="331"/>
      <c r="BA269" s="331"/>
      <c r="BB269" s="331"/>
    </row>
    <row r="270" spans="2:54">
      <c r="B270" s="235">
        <v>45927</v>
      </c>
      <c r="C270" s="255" t="s">
        <v>2955</v>
      </c>
      <c r="D270" s="402">
        <f t="shared" si="49"/>
        <v>263971.92</v>
      </c>
      <c r="E270" s="376">
        <v>956.42</v>
      </c>
      <c r="F270" s="401">
        <v>276</v>
      </c>
      <c r="G270" s="376">
        <f t="shared" si="52"/>
        <v>865.1</v>
      </c>
      <c r="H270" s="402">
        <f t="shared" si="50"/>
        <v>-25204.319999999978</v>
      </c>
      <c r="I270" s="402">
        <f t="shared" si="51"/>
        <v>238767.6</v>
      </c>
      <c r="J270" s="753"/>
      <c r="K270" s="515">
        <f t="shared" si="53"/>
        <v>907.13</v>
      </c>
      <c r="L270" s="648">
        <f t="shared" si="54"/>
        <v>250367.88</v>
      </c>
      <c r="M270" s="754">
        <f t="shared" si="55"/>
        <v>-11600.279999999999</v>
      </c>
      <c r="O270" s="647"/>
      <c r="P270" s="513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  <c r="AD270" s="331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31"/>
      <c r="AR270" s="331"/>
      <c r="AS270" s="331"/>
      <c r="AT270" s="331"/>
      <c r="AU270" s="331"/>
      <c r="AV270" s="331"/>
      <c r="AW270" s="331"/>
      <c r="AX270" s="331"/>
      <c r="AY270" s="331"/>
      <c r="AZ270" s="331"/>
      <c r="BA270" s="331"/>
      <c r="BB270" s="331"/>
    </row>
    <row r="271" spans="2:54">
      <c r="B271" s="235">
        <v>45927</v>
      </c>
      <c r="C271" s="255" t="s">
        <v>2956</v>
      </c>
      <c r="D271" s="402">
        <f t="shared" si="49"/>
        <v>254407.72</v>
      </c>
      <c r="E271" s="376">
        <v>956.42</v>
      </c>
      <c r="F271" s="401">
        <v>266</v>
      </c>
      <c r="G271" s="376">
        <f t="shared" si="52"/>
        <v>865.1</v>
      </c>
      <c r="H271" s="402">
        <f t="shared" si="50"/>
        <v>-24291.119999999995</v>
      </c>
      <c r="I271" s="402">
        <f t="shared" si="51"/>
        <v>230116.6</v>
      </c>
      <c r="J271" s="753"/>
      <c r="K271" s="515">
        <f t="shared" si="53"/>
        <v>907.13</v>
      </c>
      <c r="L271" s="648">
        <f t="shared" si="54"/>
        <v>241296.58</v>
      </c>
      <c r="M271" s="754">
        <f t="shared" si="55"/>
        <v>-11179.979999999981</v>
      </c>
      <c r="O271" s="647"/>
      <c r="P271" s="513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31"/>
      <c r="AR271" s="331"/>
      <c r="AS271" s="331"/>
      <c r="AT271" s="331"/>
      <c r="AU271" s="331"/>
      <c r="AV271" s="331"/>
      <c r="AW271" s="331"/>
      <c r="AX271" s="331"/>
      <c r="AY271" s="331"/>
      <c r="AZ271" s="331"/>
      <c r="BA271" s="331"/>
      <c r="BB271" s="331"/>
    </row>
    <row r="272" spans="2:54">
      <c r="B272" s="235">
        <v>45927</v>
      </c>
      <c r="C272" s="255" t="s">
        <v>2957</v>
      </c>
      <c r="D272" s="402">
        <f t="shared" si="49"/>
        <v>254407.72</v>
      </c>
      <c r="E272" s="376">
        <v>956.42</v>
      </c>
      <c r="F272" s="401">
        <v>266</v>
      </c>
      <c r="G272" s="376">
        <f t="shared" si="52"/>
        <v>865.1</v>
      </c>
      <c r="H272" s="402">
        <f t="shared" si="50"/>
        <v>-24291.119999999995</v>
      </c>
      <c r="I272" s="402">
        <f t="shared" si="51"/>
        <v>230116.6</v>
      </c>
      <c r="J272" s="753"/>
      <c r="K272" s="515">
        <f t="shared" si="53"/>
        <v>907.13</v>
      </c>
      <c r="L272" s="648">
        <f t="shared" si="54"/>
        <v>241296.58</v>
      </c>
      <c r="M272" s="754">
        <f t="shared" si="55"/>
        <v>-11179.979999999981</v>
      </c>
      <c r="O272" s="647"/>
      <c r="P272" s="513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  <c r="AD272" s="331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31"/>
      <c r="AR272" s="331"/>
      <c r="AS272" s="331"/>
      <c r="AT272" s="331"/>
      <c r="AU272" s="331"/>
      <c r="AV272" s="331"/>
      <c r="AW272" s="331"/>
      <c r="AX272" s="331"/>
      <c r="AY272" s="331"/>
      <c r="AZ272" s="331"/>
      <c r="BA272" s="331"/>
      <c r="BB272" s="331"/>
    </row>
    <row r="273" spans="2:54">
      <c r="B273" s="235">
        <v>45927</v>
      </c>
      <c r="C273" s="255" t="s">
        <v>2958</v>
      </c>
      <c r="D273" s="402">
        <f t="shared" si="49"/>
        <v>254407.72</v>
      </c>
      <c r="E273" s="376">
        <v>956.42</v>
      </c>
      <c r="F273" s="401">
        <v>266</v>
      </c>
      <c r="G273" s="376">
        <f t="shared" si="52"/>
        <v>865.1</v>
      </c>
      <c r="H273" s="402">
        <f t="shared" si="50"/>
        <v>-24291.119999999995</v>
      </c>
      <c r="I273" s="402">
        <f t="shared" si="51"/>
        <v>230116.6</v>
      </c>
      <c r="J273" s="753">
        <f>SUM(I230:I273)</f>
        <v>115012562.16299997</v>
      </c>
      <c r="K273" s="515">
        <f t="shared" si="53"/>
        <v>907.13</v>
      </c>
      <c r="L273" s="648">
        <f t="shared" si="54"/>
        <v>241296.58</v>
      </c>
      <c r="M273" s="754">
        <f t="shared" si="55"/>
        <v>-11179.979999999981</v>
      </c>
      <c r="O273" s="647"/>
      <c r="P273" s="513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  <c r="AD273" s="331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31"/>
      <c r="AR273" s="331"/>
      <c r="AS273" s="331"/>
      <c r="AT273" s="331"/>
      <c r="AU273" s="331"/>
      <c r="AV273" s="331"/>
      <c r="AW273" s="331"/>
      <c r="AX273" s="331"/>
      <c r="AY273" s="331"/>
      <c r="AZ273" s="331"/>
      <c r="BA273" s="331"/>
      <c r="BB273" s="331"/>
    </row>
    <row r="274" spans="2:54">
      <c r="B274" s="235">
        <v>45936</v>
      </c>
      <c r="C274" s="255" t="s">
        <v>2985</v>
      </c>
      <c r="D274" s="402">
        <f t="shared" si="49"/>
        <v>1213594.2</v>
      </c>
      <c r="E274" s="376">
        <v>963.17</v>
      </c>
      <c r="F274" s="401">
        <v>1260</v>
      </c>
      <c r="G274" s="376">
        <f t="shared" si="52"/>
        <v>865.1</v>
      </c>
      <c r="H274" s="402">
        <f t="shared" ref="H274:H275" si="56">+I274-D274</f>
        <v>-123568.19999999995</v>
      </c>
      <c r="I274" s="402">
        <f t="shared" ref="I274:I275" si="57">+F274*G274</f>
        <v>1090026</v>
      </c>
      <c r="J274" s="753"/>
      <c r="K274" s="515">
        <f t="shared" si="53"/>
        <v>907.13</v>
      </c>
      <c r="L274" s="648">
        <f t="shared" si="54"/>
        <v>1142983.8</v>
      </c>
      <c r="M274" s="754">
        <f t="shared" si="55"/>
        <v>-52957.800000000047</v>
      </c>
      <c r="O274" s="647"/>
      <c r="P274" s="513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31"/>
      <c r="AR274" s="331"/>
      <c r="AS274" s="331"/>
      <c r="AT274" s="331"/>
      <c r="AU274" s="331"/>
      <c r="AV274" s="331"/>
      <c r="AW274" s="331"/>
      <c r="AX274" s="331"/>
      <c r="AY274" s="331"/>
      <c r="AZ274" s="331"/>
      <c r="BA274" s="331"/>
      <c r="BB274" s="331"/>
    </row>
    <row r="275" spans="2:54">
      <c r="B275" s="235">
        <v>45951</v>
      </c>
      <c r="C275" s="255" t="s">
        <v>2984</v>
      </c>
      <c r="D275" s="402">
        <f t="shared" si="49"/>
        <v>-4450718.5998999998</v>
      </c>
      <c r="E275" s="376">
        <v>953.21</v>
      </c>
      <c r="F275" s="401">
        <v>-4669.1899999999996</v>
      </c>
      <c r="G275" s="376">
        <f t="shared" si="52"/>
        <v>865.1</v>
      </c>
      <c r="H275" s="402">
        <f t="shared" si="56"/>
        <v>411402.33089999994</v>
      </c>
      <c r="I275" s="402">
        <f t="shared" si="57"/>
        <v>-4039316.2689999999</v>
      </c>
      <c r="J275" s="753">
        <f>SUM(I274:I275)</f>
        <v>-2949290.2689999999</v>
      </c>
      <c r="K275" s="515">
        <f t="shared" si="53"/>
        <v>907.13</v>
      </c>
      <c r="L275" s="648">
        <f t="shared" si="54"/>
        <v>-4235562.3246999998</v>
      </c>
      <c r="M275" s="754">
        <f t="shared" si="55"/>
        <v>196246.05569999991</v>
      </c>
      <c r="O275" s="647"/>
      <c r="P275" s="513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  <c r="AD275" s="331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31"/>
      <c r="AR275" s="331"/>
      <c r="AS275" s="331"/>
      <c r="AT275" s="331"/>
      <c r="AU275" s="331"/>
      <c r="AV275" s="331"/>
      <c r="AW275" s="331"/>
      <c r="AX275" s="331"/>
      <c r="AY275" s="331"/>
      <c r="AZ275" s="331"/>
      <c r="BA275" s="331"/>
      <c r="BB275" s="331"/>
    </row>
    <row r="276" spans="2:54">
      <c r="B276" s="235">
        <v>45993</v>
      </c>
      <c r="C276" s="255" t="s">
        <v>3066</v>
      </c>
      <c r="D276" s="402">
        <f t="shared" si="49"/>
        <v>384171.30000000005</v>
      </c>
      <c r="E276" s="376">
        <v>927.95</v>
      </c>
      <c r="F276" s="401">
        <v>414</v>
      </c>
      <c r="G276" s="376">
        <f t="shared" si="52"/>
        <v>865.1</v>
      </c>
      <c r="H276" s="402">
        <f t="shared" ref="H276:H319" si="58">+I276-D276</f>
        <v>-26019.900000000023</v>
      </c>
      <c r="I276" s="402">
        <f t="shared" ref="I276:I319" si="59">+F276*G276</f>
        <v>358151.4</v>
      </c>
      <c r="J276" s="753"/>
      <c r="K276" s="515">
        <f t="shared" si="53"/>
        <v>907.13</v>
      </c>
      <c r="L276" s="648">
        <f t="shared" ref="L276:L319" si="60">K276*F276</f>
        <v>375551.82</v>
      </c>
      <c r="M276" s="754">
        <f t="shared" ref="M276:M319" si="61">I276-L276</f>
        <v>-17400.419999999984</v>
      </c>
      <c r="O276" s="647"/>
      <c r="P276" s="513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  <c r="AD276" s="331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31"/>
      <c r="AR276" s="331"/>
      <c r="AS276" s="331"/>
      <c r="AT276" s="331"/>
      <c r="AU276" s="331"/>
      <c r="AV276" s="331"/>
      <c r="AW276" s="331"/>
      <c r="AX276" s="331"/>
      <c r="AY276" s="331"/>
      <c r="AZ276" s="331"/>
      <c r="BA276" s="331"/>
      <c r="BB276" s="331"/>
    </row>
    <row r="277" spans="2:54">
      <c r="B277" s="235">
        <v>45993</v>
      </c>
      <c r="C277" s="255" t="s">
        <v>3067</v>
      </c>
      <c r="D277" s="402">
        <f t="shared" ref="D277:D327" si="62">F277*E277</f>
        <v>9995413.4250000007</v>
      </c>
      <c r="E277" s="376">
        <v>927.95</v>
      </c>
      <c r="F277" s="401">
        <v>10771.5</v>
      </c>
      <c r="G277" s="376">
        <f t="shared" si="52"/>
        <v>865.1</v>
      </c>
      <c r="H277" s="402">
        <f t="shared" si="58"/>
        <v>-676988.77500000037</v>
      </c>
      <c r="I277" s="402">
        <f t="shared" si="59"/>
        <v>9318424.6500000004</v>
      </c>
      <c r="J277" s="753"/>
      <c r="K277" s="515">
        <f t="shared" si="53"/>
        <v>907.13</v>
      </c>
      <c r="L277" s="648">
        <f t="shared" si="60"/>
        <v>9771150.7949999999</v>
      </c>
      <c r="M277" s="754">
        <f t="shared" si="61"/>
        <v>-452726.14499999955</v>
      </c>
      <c r="O277" s="647"/>
      <c r="P277" s="513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  <c r="AD277" s="331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31"/>
      <c r="AR277" s="331"/>
      <c r="AS277" s="331"/>
      <c r="AT277" s="331"/>
      <c r="AU277" s="331"/>
      <c r="AV277" s="331"/>
      <c r="AW277" s="331"/>
      <c r="AX277" s="331"/>
      <c r="AY277" s="331"/>
      <c r="AZ277" s="331"/>
      <c r="BA277" s="331"/>
      <c r="BB277" s="331"/>
    </row>
    <row r="278" spans="2:54">
      <c r="B278" s="235">
        <v>45993</v>
      </c>
      <c r="C278" s="255" t="s">
        <v>3068</v>
      </c>
      <c r="D278" s="402">
        <f t="shared" si="62"/>
        <v>608271.22499999998</v>
      </c>
      <c r="E278" s="376">
        <v>927.95</v>
      </c>
      <c r="F278" s="401">
        <v>655.5</v>
      </c>
      <c r="G278" s="376">
        <f t="shared" si="52"/>
        <v>865.1</v>
      </c>
      <c r="H278" s="402">
        <f t="shared" si="58"/>
        <v>-41198.17499999993</v>
      </c>
      <c r="I278" s="402">
        <f t="shared" si="59"/>
        <v>567073.05000000005</v>
      </c>
      <c r="J278" s="753"/>
      <c r="K278" s="515">
        <f t="shared" si="53"/>
        <v>907.13</v>
      </c>
      <c r="L278" s="648">
        <f t="shared" si="60"/>
        <v>594623.71499999997</v>
      </c>
      <c r="M278" s="754">
        <f t="shared" si="61"/>
        <v>-27550.664999999921</v>
      </c>
      <c r="O278" s="647"/>
      <c r="P278" s="513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  <c r="AD278" s="331"/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31"/>
      <c r="AR278" s="331"/>
      <c r="AS278" s="331"/>
      <c r="AT278" s="331"/>
      <c r="AU278" s="331"/>
      <c r="AV278" s="331"/>
      <c r="AW278" s="331"/>
      <c r="AX278" s="331"/>
      <c r="AY278" s="331"/>
      <c r="AZ278" s="331"/>
      <c r="BA278" s="331"/>
      <c r="BB278" s="331"/>
    </row>
    <row r="279" spans="2:54">
      <c r="B279" s="235">
        <v>45995</v>
      </c>
      <c r="C279" s="255" t="s">
        <v>3069</v>
      </c>
      <c r="D279" s="402">
        <f t="shared" si="62"/>
        <v>19378538.960000001</v>
      </c>
      <c r="E279" s="376">
        <v>919.46</v>
      </c>
      <c r="F279" s="401">
        <v>21076</v>
      </c>
      <c r="G279" s="376">
        <f t="shared" si="52"/>
        <v>865.1</v>
      </c>
      <c r="H279" s="402">
        <f t="shared" si="58"/>
        <v>-1145691.3599999994</v>
      </c>
      <c r="I279" s="402">
        <f t="shared" si="59"/>
        <v>18232847.600000001</v>
      </c>
      <c r="J279" s="753"/>
      <c r="K279" s="515">
        <f t="shared" si="53"/>
        <v>907.13</v>
      </c>
      <c r="L279" s="648">
        <f t="shared" si="60"/>
        <v>19118671.879999999</v>
      </c>
      <c r="M279" s="754">
        <f t="shared" si="61"/>
        <v>-885824.27999999747</v>
      </c>
      <c r="O279" s="647"/>
      <c r="P279" s="513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  <c r="AD279" s="331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31"/>
      <c r="AR279" s="331"/>
      <c r="AS279" s="331"/>
      <c r="AT279" s="331"/>
      <c r="AU279" s="331"/>
      <c r="AV279" s="331"/>
      <c r="AW279" s="331"/>
      <c r="AX279" s="331"/>
      <c r="AY279" s="331"/>
      <c r="AZ279" s="331"/>
      <c r="BA279" s="331"/>
      <c r="BB279" s="331"/>
    </row>
    <row r="280" spans="2:54">
      <c r="B280" s="235">
        <v>45995</v>
      </c>
      <c r="C280" s="255" t="s">
        <v>3070</v>
      </c>
      <c r="D280" s="402">
        <f t="shared" si="62"/>
        <v>9135754.5600000005</v>
      </c>
      <c r="E280" s="376">
        <v>919.46</v>
      </c>
      <c r="F280" s="401">
        <v>9936</v>
      </c>
      <c r="G280" s="376">
        <f t="shared" si="52"/>
        <v>865.1</v>
      </c>
      <c r="H280" s="402">
        <f t="shared" si="58"/>
        <v>-540120.96000000089</v>
      </c>
      <c r="I280" s="402">
        <f t="shared" si="59"/>
        <v>8595633.5999999996</v>
      </c>
      <c r="J280" s="753"/>
      <c r="K280" s="515">
        <f t="shared" si="53"/>
        <v>907.13</v>
      </c>
      <c r="L280" s="648">
        <f t="shared" si="60"/>
        <v>9013243.6799999997</v>
      </c>
      <c r="M280" s="754">
        <f t="shared" si="61"/>
        <v>-417610.08000000007</v>
      </c>
      <c r="O280" s="647"/>
      <c r="P280" s="513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  <c r="AD280" s="331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31"/>
      <c r="AR280" s="331"/>
      <c r="AS280" s="331"/>
      <c r="AT280" s="331"/>
      <c r="AU280" s="331"/>
      <c r="AV280" s="331"/>
      <c r="AW280" s="331"/>
      <c r="AX280" s="331"/>
      <c r="AY280" s="331"/>
      <c r="AZ280" s="331"/>
      <c r="BA280" s="331"/>
      <c r="BB280" s="331"/>
    </row>
    <row r="281" spans="2:54">
      <c r="B281" s="235">
        <v>45995</v>
      </c>
      <c r="C281" s="255" t="s">
        <v>3071</v>
      </c>
      <c r="D281" s="402">
        <f t="shared" si="62"/>
        <v>28620950.880000003</v>
      </c>
      <c r="E281" s="376">
        <v>919.46</v>
      </c>
      <c r="F281" s="401">
        <v>31128</v>
      </c>
      <c r="G281" s="376">
        <f t="shared" si="52"/>
        <v>865.1</v>
      </c>
      <c r="H281" s="402">
        <f t="shared" si="58"/>
        <v>-1692118.0800000019</v>
      </c>
      <c r="I281" s="402">
        <f t="shared" si="59"/>
        <v>26928832.800000001</v>
      </c>
      <c r="J281" s="753"/>
      <c r="K281" s="515">
        <f t="shared" si="53"/>
        <v>907.13</v>
      </c>
      <c r="L281" s="648">
        <f t="shared" si="60"/>
        <v>28237142.640000001</v>
      </c>
      <c r="M281" s="754">
        <f t="shared" si="61"/>
        <v>-1308309.8399999999</v>
      </c>
      <c r="O281" s="647"/>
      <c r="P281" s="513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  <c r="AD281" s="331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31"/>
      <c r="AR281" s="331"/>
      <c r="AS281" s="331"/>
      <c r="AT281" s="331"/>
      <c r="AU281" s="331"/>
      <c r="AV281" s="331"/>
      <c r="AW281" s="331"/>
      <c r="AX281" s="331"/>
      <c r="AY281" s="331"/>
      <c r="AZ281" s="331"/>
      <c r="BA281" s="331"/>
      <c r="BB281" s="331"/>
    </row>
    <row r="282" spans="2:54">
      <c r="B282" s="235">
        <v>45995</v>
      </c>
      <c r="C282" s="255" t="s">
        <v>3072</v>
      </c>
      <c r="D282" s="402">
        <f t="shared" si="62"/>
        <v>21346183.359999999</v>
      </c>
      <c r="E282" s="376">
        <v>919.46</v>
      </c>
      <c r="F282" s="401">
        <v>23216</v>
      </c>
      <c r="G282" s="376">
        <f t="shared" si="52"/>
        <v>865.1</v>
      </c>
      <c r="H282" s="402">
        <f t="shared" si="58"/>
        <v>-1262021.7599999979</v>
      </c>
      <c r="I282" s="402">
        <f t="shared" si="59"/>
        <v>20084161.600000001</v>
      </c>
      <c r="J282" s="753"/>
      <c r="K282" s="515">
        <f t="shared" si="53"/>
        <v>907.13</v>
      </c>
      <c r="L282" s="648">
        <f t="shared" si="60"/>
        <v>21059930.079999998</v>
      </c>
      <c r="M282" s="754">
        <f t="shared" si="61"/>
        <v>-975768.47999999672</v>
      </c>
      <c r="O282" s="647"/>
      <c r="P282" s="513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  <c r="AD282" s="331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31"/>
      <c r="AR282" s="331"/>
      <c r="AS282" s="331"/>
      <c r="AT282" s="331"/>
      <c r="AU282" s="331"/>
      <c r="AV282" s="331"/>
      <c r="AW282" s="331"/>
      <c r="AX282" s="331"/>
      <c r="AY282" s="331"/>
      <c r="AZ282" s="331"/>
      <c r="BA282" s="331"/>
      <c r="BB282" s="331"/>
    </row>
    <row r="283" spans="2:54">
      <c r="B283" s="235">
        <v>45995</v>
      </c>
      <c r="C283" s="255" t="s">
        <v>3073</v>
      </c>
      <c r="D283" s="402">
        <f t="shared" si="62"/>
        <v>5031285.12</v>
      </c>
      <c r="E283" s="376">
        <v>919.46</v>
      </c>
      <c r="F283" s="401">
        <v>5472</v>
      </c>
      <c r="G283" s="376">
        <f t="shared" si="52"/>
        <v>865.1</v>
      </c>
      <c r="H283" s="402">
        <f t="shared" si="58"/>
        <v>-297457.91999999993</v>
      </c>
      <c r="I283" s="402">
        <f t="shared" si="59"/>
        <v>4733827.2</v>
      </c>
      <c r="J283" s="753"/>
      <c r="K283" s="515">
        <f t="shared" si="53"/>
        <v>907.13</v>
      </c>
      <c r="L283" s="648">
        <f t="shared" si="60"/>
        <v>4963815.3600000003</v>
      </c>
      <c r="M283" s="754">
        <f t="shared" si="61"/>
        <v>-229988.16000000015</v>
      </c>
      <c r="O283" s="647"/>
      <c r="P283" s="513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  <c r="AD283" s="331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31"/>
      <c r="AR283" s="331"/>
      <c r="AS283" s="331"/>
      <c r="AT283" s="331"/>
      <c r="AU283" s="331"/>
      <c r="AV283" s="331"/>
      <c r="AW283" s="331"/>
      <c r="AX283" s="331"/>
      <c r="AY283" s="331"/>
      <c r="AZ283" s="331"/>
      <c r="BA283" s="331"/>
      <c r="BB283" s="331"/>
    </row>
    <row r="284" spans="2:54">
      <c r="B284" s="235">
        <v>45995</v>
      </c>
      <c r="C284" s="255" t="s">
        <v>3074</v>
      </c>
      <c r="D284" s="402">
        <f t="shared" si="62"/>
        <v>7466015.2000000002</v>
      </c>
      <c r="E284" s="376">
        <v>919.46</v>
      </c>
      <c r="F284" s="401">
        <v>8120</v>
      </c>
      <c r="G284" s="376">
        <f t="shared" si="52"/>
        <v>865.1</v>
      </c>
      <c r="H284" s="402">
        <f t="shared" si="58"/>
        <v>-441403.20000000019</v>
      </c>
      <c r="I284" s="402">
        <f t="shared" si="59"/>
        <v>7024612</v>
      </c>
      <c r="J284" s="753"/>
      <c r="K284" s="515">
        <f t="shared" si="53"/>
        <v>907.13</v>
      </c>
      <c r="L284" s="648">
        <f t="shared" si="60"/>
        <v>7365895.5999999996</v>
      </c>
      <c r="M284" s="754">
        <f t="shared" si="61"/>
        <v>-341283.59999999963</v>
      </c>
      <c r="O284" s="647"/>
      <c r="P284" s="513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  <c r="AD284" s="331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31"/>
      <c r="AR284" s="331"/>
      <c r="AS284" s="331"/>
      <c r="AT284" s="331"/>
      <c r="AU284" s="331"/>
      <c r="AV284" s="331"/>
      <c r="AW284" s="331"/>
      <c r="AX284" s="331"/>
      <c r="AY284" s="331"/>
      <c r="AZ284" s="331"/>
      <c r="BA284" s="331"/>
      <c r="BB284" s="331"/>
    </row>
    <row r="285" spans="2:54">
      <c r="B285" s="235">
        <v>45995</v>
      </c>
      <c r="C285" s="255" t="s">
        <v>3075</v>
      </c>
      <c r="D285" s="402">
        <f t="shared" si="62"/>
        <v>6914339.2000000002</v>
      </c>
      <c r="E285" s="376">
        <v>919.46</v>
      </c>
      <c r="F285" s="401">
        <v>7520</v>
      </c>
      <c r="G285" s="376">
        <f t="shared" si="52"/>
        <v>865.1</v>
      </c>
      <c r="H285" s="402">
        <f t="shared" si="58"/>
        <v>-408787.20000000019</v>
      </c>
      <c r="I285" s="402">
        <f t="shared" si="59"/>
        <v>6505552</v>
      </c>
      <c r="J285" s="753"/>
      <c r="K285" s="515">
        <f t="shared" si="53"/>
        <v>907.13</v>
      </c>
      <c r="L285" s="648">
        <f t="shared" si="60"/>
        <v>6821617.5999999996</v>
      </c>
      <c r="M285" s="754">
        <f t="shared" si="61"/>
        <v>-316065.59999999963</v>
      </c>
      <c r="O285" s="647"/>
      <c r="P285" s="513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  <c r="AD285" s="331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31"/>
      <c r="AR285" s="331"/>
      <c r="AS285" s="331"/>
      <c r="AT285" s="331"/>
      <c r="AU285" s="331"/>
      <c r="AV285" s="331"/>
      <c r="AW285" s="331"/>
      <c r="AX285" s="331"/>
      <c r="AY285" s="331"/>
      <c r="AZ285" s="331"/>
      <c r="BA285" s="331"/>
      <c r="BB285" s="331"/>
    </row>
    <row r="286" spans="2:54">
      <c r="B286" s="235">
        <v>45995</v>
      </c>
      <c r="C286" s="255" t="s">
        <v>3076</v>
      </c>
      <c r="D286" s="402">
        <f t="shared" si="62"/>
        <v>15060754.800000001</v>
      </c>
      <c r="E286" s="376">
        <v>919.46</v>
      </c>
      <c r="F286" s="401">
        <v>16380</v>
      </c>
      <c r="G286" s="376">
        <f t="shared" si="52"/>
        <v>865.1</v>
      </c>
      <c r="H286" s="402">
        <f t="shared" si="58"/>
        <v>-890416.80000000075</v>
      </c>
      <c r="I286" s="402">
        <f t="shared" si="59"/>
        <v>14170338</v>
      </c>
      <c r="J286" s="753"/>
      <c r="K286" s="515">
        <f t="shared" si="53"/>
        <v>907.13</v>
      </c>
      <c r="L286" s="648">
        <f t="shared" si="60"/>
        <v>14858789.4</v>
      </c>
      <c r="M286" s="754">
        <f t="shared" si="61"/>
        <v>-688451.40000000037</v>
      </c>
      <c r="O286" s="647"/>
      <c r="P286" s="513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  <c r="AD286" s="331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31"/>
      <c r="AR286" s="331"/>
      <c r="AS286" s="331"/>
      <c r="AT286" s="331"/>
      <c r="AU286" s="331"/>
      <c r="AV286" s="331"/>
      <c r="AW286" s="331"/>
      <c r="AX286" s="331"/>
      <c r="AY286" s="331"/>
      <c r="AZ286" s="331"/>
      <c r="BA286" s="331"/>
      <c r="BB286" s="331"/>
    </row>
    <row r="287" spans="2:54">
      <c r="B287" s="235">
        <v>45995</v>
      </c>
      <c r="C287" s="255" t="s">
        <v>3077</v>
      </c>
      <c r="D287" s="402">
        <f t="shared" si="62"/>
        <v>24593716.080000002</v>
      </c>
      <c r="E287" s="376">
        <v>919.46</v>
      </c>
      <c r="F287" s="401">
        <v>26748</v>
      </c>
      <c r="G287" s="376">
        <f t="shared" si="52"/>
        <v>865.1</v>
      </c>
      <c r="H287" s="402">
        <f t="shared" si="58"/>
        <v>-1454021.2800000012</v>
      </c>
      <c r="I287" s="402">
        <f t="shared" si="59"/>
        <v>23139694.800000001</v>
      </c>
      <c r="J287" s="753"/>
      <c r="K287" s="515">
        <f t="shared" si="53"/>
        <v>907.13</v>
      </c>
      <c r="L287" s="648">
        <f t="shared" si="60"/>
        <v>24263913.239999998</v>
      </c>
      <c r="M287" s="754">
        <f t="shared" si="61"/>
        <v>-1124218.4399999976</v>
      </c>
      <c r="O287" s="647"/>
      <c r="P287" s="513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31"/>
      <c r="AR287" s="331"/>
      <c r="AS287" s="331"/>
      <c r="AT287" s="331"/>
      <c r="AU287" s="331"/>
      <c r="AV287" s="331"/>
      <c r="AW287" s="331"/>
      <c r="AX287" s="331"/>
      <c r="AY287" s="331"/>
      <c r="AZ287" s="331"/>
      <c r="BA287" s="331"/>
      <c r="BB287" s="331"/>
    </row>
    <row r="288" spans="2:54">
      <c r="B288" s="235">
        <v>45996</v>
      </c>
      <c r="C288" s="255" t="s">
        <v>3078</v>
      </c>
      <c r="D288" s="402">
        <f t="shared" si="62"/>
        <v>4190436.6</v>
      </c>
      <c r="E288" s="376">
        <v>918.15</v>
      </c>
      <c r="F288" s="401">
        <v>4564</v>
      </c>
      <c r="G288" s="376">
        <f t="shared" si="52"/>
        <v>865.1</v>
      </c>
      <c r="H288" s="402">
        <f t="shared" si="58"/>
        <v>-242120.20000000019</v>
      </c>
      <c r="I288" s="402">
        <f t="shared" si="59"/>
        <v>3948316.4</v>
      </c>
      <c r="J288" s="753"/>
      <c r="K288" s="515">
        <f t="shared" si="53"/>
        <v>907.13</v>
      </c>
      <c r="L288" s="648">
        <f t="shared" si="60"/>
        <v>4140141.32</v>
      </c>
      <c r="M288" s="754">
        <f t="shared" si="61"/>
        <v>-191824.91999999993</v>
      </c>
      <c r="O288" s="647"/>
      <c r="P288" s="513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31"/>
      <c r="AR288" s="331"/>
      <c r="AS288" s="331"/>
      <c r="AT288" s="331"/>
      <c r="AU288" s="331"/>
      <c r="AV288" s="331"/>
      <c r="AW288" s="331"/>
      <c r="AX288" s="331"/>
      <c r="AY288" s="331"/>
      <c r="AZ288" s="331"/>
      <c r="BA288" s="331"/>
      <c r="BB288" s="331"/>
    </row>
    <row r="289" spans="2:54">
      <c r="B289" s="235">
        <v>45996</v>
      </c>
      <c r="C289" s="255" t="s">
        <v>3079</v>
      </c>
      <c r="D289" s="402">
        <f t="shared" si="62"/>
        <v>3944372.4</v>
      </c>
      <c r="E289" s="376">
        <v>918.15</v>
      </c>
      <c r="F289" s="401">
        <v>4296</v>
      </c>
      <c r="G289" s="376">
        <f t="shared" si="52"/>
        <v>865.1</v>
      </c>
      <c r="H289" s="402">
        <f t="shared" si="58"/>
        <v>-227902.79999999981</v>
      </c>
      <c r="I289" s="402">
        <f t="shared" si="59"/>
        <v>3716469.6</v>
      </c>
      <c r="J289" s="753"/>
      <c r="K289" s="515">
        <f t="shared" si="53"/>
        <v>907.13</v>
      </c>
      <c r="L289" s="648">
        <f t="shared" si="60"/>
        <v>3897030.48</v>
      </c>
      <c r="M289" s="754">
        <f t="shared" si="61"/>
        <v>-180560.87999999989</v>
      </c>
      <c r="O289" s="647"/>
      <c r="P289" s="513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  <c r="AD289" s="331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31"/>
      <c r="AR289" s="331"/>
      <c r="AS289" s="331"/>
      <c r="AT289" s="331"/>
      <c r="AU289" s="331"/>
      <c r="AV289" s="331"/>
      <c r="AW289" s="331"/>
      <c r="AX289" s="331"/>
      <c r="AY289" s="331"/>
      <c r="AZ289" s="331"/>
      <c r="BA289" s="331"/>
      <c r="BB289" s="331"/>
    </row>
    <row r="290" spans="2:54">
      <c r="B290" s="235">
        <v>45996</v>
      </c>
      <c r="C290" s="255" t="s">
        <v>3080</v>
      </c>
      <c r="D290" s="402">
        <f t="shared" si="62"/>
        <v>1685723.4</v>
      </c>
      <c r="E290" s="376">
        <v>918.15</v>
      </c>
      <c r="F290" s="401">
        <v>1836</v>
      </c>
      <c r="G290" s="376">
        <f t="shared" si="52"/>
        <v>865.1</v>
      </c>
      <c r="H290" s="402">
        <f t="shared" si="58"/>
        <v>-97399.799999999814</v>
      </c>
      <c r="I290" s="402">
        <f t="shared" si="59"/>
        <v>1588323.6</v>
      </c>
      <c r="J290" s="753"/>
      <c r="K290" s="515">
        <f t="shared" si="53"/>
        <v>907.13</v>
      </c>
      <c r="L290" s="648">
        <f t="shared" si="60"/>
        <v>1665490.68</v>
      </c>
      <c r="M290" s="754">
        <f t="shared" si="61"/>
        <v>-77167.079999999842</v>
      </c>
      <c r="O290" s="647"/>
      <c r="P290" s="513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  <c r="AD290" s="331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31"/>
      <c r="AR290" s="331"/>
      <c r="AS290" s="331"/>
      <c r="AT290" s="331"/>
      <c r="AU290" s="331"/>
      <c r="AV290" s="331"/>
      <c r="AW290" s="331"/>
      <c r="AX290" s="331"/>
      <c r="AY290" s="331"/>
      <c r="AZ290" s="331"/>
      <c r="BA290" s="331"/>
      <c r="BB290" s="331"/>
    </row>
    <row r="291" spans="2:54">
      <c r="B291" s="235">
        <v>45996</v>
      </c>
      <c r="C291" s="255" t="s">
        <v>3081</v>
      </c>
      <c r="D291" s="402">
        <f t="shared" si="62"/>
        <v>1685723.4</v>
      </c>
      <c r="E291" s="376">
        <v>918.15</v>
      </c>
      <c r="F291" s="401">
        <v>1836</v>
      </c>
      <c r="G291" s="376">
        <f t="shared" si="52"/>
        <v>865.1</v>
      </c>
      <c r="H291" s="402">
        <f t="shared" si="58"/>
        <v>-97399.799999999814</v>
      </c>
      <c r="I291" s="402">
        <f t="shared" si="59"/>
        <v>1588323.6</v>
      </c>
      <c r="J291" s="753"/>
      <c r="K291" s="515">
        <f t="shared" si="53"/>
        <v>907.13</v>
      </c>
      <c r="L291" s="648">
        <f t="shared" si="60"/>
        <v>1665490.68</v>
      </c>
      <c r="M291" s="754">
        <f t="shared" si="61"/>
        <v>-77167.079999999842</v>
      </c>
      <c r="O291" s="647"/>
      <c r="P291" s="513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  <c r="AD291" s="331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31"/>
      <c r="AR291" s="331"/>
      <c r="AS291" s="331"/>
      <c r="AT291" s="331"/>
      <c r="AU291" s="331"/>
      <c r="AV291" s="331"/>
      <c r="AW291" s="331"/>
      <c r="AX291" s="331"/>
      <c r="AY291" s="331"/>
      <c r="AZ291" s="331"/>
      <c r="BA291" s="331"/>
      <c r="BB291" s="331"/>
    </row>
    <row r="292" spans="2:54">
      <c r="B292" s="235">
        <v>45996</v>
      </c>
      <c r="C292" s="255" t="s">
        <v>3082</v>
      </c>
      <c r="D292" s="402">
        <f t="shared" si="62"/>
        <v>3177258.0749999997</v>
      </c>
      <c r="E292" s="376">
        <v>918.15</v>
      </c>
      <c r="F292" s="401">
        <v>3460.5</v>
      </c>
      <c r="G292" s="376">
        <f t="shared" si="52"/>
        <v>865.1</v>
      </c>
      <c r="H292" s="402">
        <f t="shared" si="58"/>
        <v>-183579.52499999944</v>
      </c>
      <c r="I292" s="402">
        <f t="shared" si="59"/>
        <v>2993678.5500000003</v>
      </c>
      <c r="J292" s="753"/>
      <c r="K292" s="515">
        <f t="shared" si="53"/>
        <v>907.13</v>
      </c>
      <c r="L292" s="648">
        <f t="shared" si="60"/>
        <v>3139123.3649999998</v>
      </c>
      <c r="M292" s="754">
        <f t="shared" si="61"/>
        <v>-145444.81499999948</v>
      </c>
      <c r="O292" s="647"/>
      <c r="P292" s="513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  <c r="AD292" s="331"/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31"/>
      <c r="AR292" s="331"/>
      <c r="AS292" s="331"/>
      <c r="AT292" s="331"/>
      <c r="AU292" s="331"/>
      <c r="AV292" s="331"/>
      <c r="AW292" s="331"/>
      <c r="AX292" s="331"/>
      <c r="AY292" s="331"/>
      <c r="AZ292" s="331"/>
      <c r="BA292" s="331"/>
      <c r="BB292" s="331"/>
    </row>
    <row r="293" spans="2:54">
      <c r="B293" s="235">
        <v>45996</v>
      </c>
      <c r="C293" s="255" t="s">
        <v>3083</v>
      </c>
      <c r="D293" s="402">
        <f t="shared" si="62"/>
        <v>1059086.0249999999</v>
      </c>
      <c r="E293" s="376">
        <v>918.15</v>
      </c>
      <c r="F293" s="401">
        <v>1153.5</v>
      </c>
      <c r="G293" s="376">
        <f t="shared" si="52"/>
        <v>865.1</v>
      </c>
      <c r="H293" s="402">
        <f t="shared" si="58"/>
        <v>-61193.17499999993</v>
      </c>
      <c r="I293" s="402">
        <f t="shared" si="59"/>
        <v>997892.85</v>
      </c>
      <c r="J293" s="753"/>
      <c r="K293" s="515">
        <f t="shared" si="53"/>
        <v>907.13</v>
      </c>
      <c r="L293" s="648">
        <f t="shared" si="60"/>
        <v>1046374.455</v>
      </c>
      <c r="M293" s="754">
        <f t="shared" si="61"/>
        <v>-48481.604999999981</v>
      </c>
      <c r="O293" s="647"/>
      <c r="P293" s="513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  <c r="AD293" s="331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31"/>
      <c r="AR293" s="331"/>
      <c r="AS293" s="331"/>
      <c r="AT293" s="331"/>
      <c r="AU293" s="331"/>
      <c r="AV293" s="331"/>
      <c r="AW293" s="331"/>
      <c r="AX293" s="331"/>
      <c r="AY293" s="331"/>
      <c r="AZ293" s="331"/>
      <c r="BA293" s="331"/>
      <c r="BB293" s="331"/>
    </row>
    <row r="294" spans="2:54">
      <c r="B294" s="235">
        <v>45996</v>
      </c>
      <c r="C294" s="255" t="s">
        <v>3084</v>
      </c>
      <c r="D294" s="402">
        <f t="shared" si="62"/>
        <v>4646646.9720000001</v>
      </c>
      <c r="E294" s="376">
        <v>918.15</v>
      </c>
      <c r="F294" s="401">
        <v>5060.88</v>
      </c>
      <c r="G294" s="376">
        <f t="shared" si="52"/>
        <v>865.1</v>
      </c>
      <c r="H294" s="402">
        <f t="shared" si="58"/>
        <v>-268479.68399999943</v>
      </c>
      <c r="I294" s="402">
        <f t="shared" si="59"/>
        <v>4378167.2880000006</v>
      </c>
      <c r="J294" s="753"/>
      <c r="K294" s="515">
        <f t="shared" si="53"/>
        <v>907.13</v>
      </c>
      <c r="L294" s="648">
        <f t="shared" si="60"/>
        <v>4590876.0744000003</v>
      </c>
      <c r="M294" s="754">
        <f t="shared" si="61"/>
        <v>-212708.78639999963</v>
      </c>
      <c r="O294" s="647"/>
      <c r="P294" s="513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  <c r="AD294" s="331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31"/>
      <c r="AR294" s="331"/>
      <c r="AS294" s="331"/>
      <c r="AT294" s="331"/>
      <c r="AU294" s="331"/>
      <c r="AV294" s="331"/>
      <c r="AW294" s="331"/>
      <c r="AX294" s="331"/>
      <c r="AY294" s="331"/>
      <c r="AZ294" s="331"/>
      <c r="BA294" s="331"/>
      <c r="BB294" s="331"/>
    </row>
    <row r="295" spans="2:54">
      <c r="B295" s="235">
        <v>45996</v>
      </c>
      <c r="C295" s="255" t="s">
        <v>3085</v>
      </c>
      <c r="D295" s="402">
        <f t="shared" si="62"/>
        <v>2393066.16</v>
      </c>
      <c r="E295" s="376">
        <v>918.15</v>
      </c>
      <c r="F295" s="401">
        <v>2606.4</v>
      </c>
      <c r="G295" s="376">
        <f t="shared" si="52"/>
        <v>865.1</v>
      </c>
      <c r="H295" s="402">
        <f t="shared" si="58"/>
        <v>-138269.52000000002</v>
      </c>
      <c r="I295" s="402">
        <f t="shared" si="59"/>
        <v>2254796.64</v>
      </c>
      <c r="J295" s="753"/>
      <c r="K295" s="515">
        <f t="shared" si="53"/>
        <v>907.13</v>
      </c>
      <c r="L295" s="648">
        <f t="shared" si="60"/>
        <v>2364343.6320000002</v>
      </c>
      <c r="M295" s="754">
        <f t="shared" si="61"/>
        <v>-109546.99200000009</v>
      </c>
      <c r="O295" s="647"/>
      <c r="P295" s="513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  <c r="AD295" s="331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31"/>
      <c r="AR295" s="331"/>
      <c r="AS295" s="331"/>
      <c r="AT295" s="331"/>
      <c r="AU295" s="331"/>
      <c r="AV295" s="331"/>
      <c r="AW295" s="331"/>
      <c r="AX295" s="331"/>
      <c r="AY295" s="331"/>
      <c r="AZ295" s="331"/>
      <c r="BA295" s="331"/>
      <c r="BB295" s="331"/>
    </row>
    <row r="296" spans="2:54">
      <c r="B296" s="235">
        <v>45996</v>
      </c>
      <c r="C296" s="255" t="s">
        <v>3086</v>
      </c>
      <c r="D296" s="402">
        <f t="shared" si="62"/>
        <v>672085.79999999993</v>
      </c>
      <c r="E296" s="376">
        <v>918.15</v>
      </c>
      <c r="F296" s="401">
        <v>732</v>
      </c>
      <c r="G296" s="376">
        <f t="shared" si="52"/>
        <v>865.1</v>
      </c>
      <c r="H296" s="402">
        <f t="shared" si="58"/>
        <v>-38832.59999999986</v>
      </c>
      <c r="I296" s="402">
        <f t="shared" si="59"/>
        <v>633253.20000000007</v>
      </c>
      <c r="J296" s="753"/>
      <c r="K296" s="515">
        <f t="shared" si="53"/>
        <v>907.13</v>
      </c>
      <c r="L296" s="648">
        <f t="shared" si="60"/>
        <v>664019.16</v>
      </c>
      <c r="M296" s="754">
        <f t="shared" si="61"/>
        <v>-30765.959999999963</v>
      </c>
      <c r="O296" s="647"/>
      <c r="P296" s="513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  <c r="AD296" s="331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31"/>
      <c r="AR296" s="331"/>
      <c r="AS296" s="331"/>
      <c r="AT296" s="331"/>
      <c r="AU296" s="331"/>
      <c r="AV296" s="331"/>
      <c r="AW296" s="331"/>
      <c r="AX296" s="331"/>
      <c r="AY296" s="331"/>
      <c r="AZ296" s="331"/>
      <c r="BA296" s="331"/>
      <c r="BB296" s="331"/>
    </row>
    <row r="297" spans="2:54">
      <c r="B297" s="235">
        <v>45996</v>
      </c>
      <c r="C297" s="255" t="s">
        <v>3087</v>
      </c>
      <c r="D297" s="402">
        <f t="shared" si="62"/>
        <v>1096271.0999999999</v>
      </c>
      <c r="E297" s="376">
        <v>918.15</v>
      </c>
      <c r="F297" s="401">
        <v>1194</v>
      </c>
      <c r="G297" s="376">
        <f t="shared" si="52"/>
        <v>865.1</v>
      </c>
      <c r="H297" s="402">
        <f t="shared" si="58"/>
        <v>-63341.699999999837</v>
      </c>
      <c r="I297" s="402">
        <f t="shared" si="59"/>
        <v>1032929.4</v>
      </c>
      <c r="J297" s="753"/>
      <c r="K297" s="515">
        <f t="shared" si="53"/>
        <v>907.13</v>
      </c>
      <c r="L297" s="648">
        <f t="shared" si="60"/>
        <v>1083113.22</v>
      </c>
      <c r="M297" s="754">
        <f t="shared" si="61"/>
        <v>-50183.819999999949</v>
      </c>
      <c r="O297" s="647"/>
      <c r="P297" s="513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  <c r="AD297" s="331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31"/>
      <c r="AR297" s="331"/>
      <c r="AS297" s="331"/>
      <c r="AT297" s="331"/>
      <c r="AU297" s="331"/>
      <c r="AV297" s="331"/>
      <c r="AW297" s="331"/>
      <c r="AX297" s="331"/>
      <c r="AY297" s="331"/>
      <c r="AZ297" s="331"/>
      <c r="BA297" s="331"/>
      <c r="BB297" s="331"/>
    </row>
    <row r="298" spans="2:54">
      <c r="B298" s="235">
        <v>45996</v>
      </c>
      <c r="C298" s="255" t="s">
        <v>3088</v>
      </c>
      <c r="D298" s="402">
        <f t="shared" si="62"/>
        <v>1685723.4</v>
      </c>
      <c r="E298" s="376">
        <v>918.15</v>
      </c>
      <c r="F298" s="401">
        <v>1836</v>
      </c>
      <c r="G298" s="376">
        <f t="shared" si="52"/>
        <v>865.1</v>
      </c>
      <c r="H298" s="402">
        <f t="shared" si="58"/>
        <v>-97399.799999999814</v>
      </c>
      <c r="I298" s="402">
        <f t="shared" si="59"/>
        <v>1588323.6</v>
      </c>
      <c r="J298" s="753"/>
      <c r="K298" s="515">
        <f t="shared" si="53"/>
        <v>907.13</v>
      </c>
      <c r="L298" s="648">
        <f t="shared" si="60"/>
        <v>1665490.68</v>
      </c>
      <c r="M298" s="754">
        <f t="shared" si="61"/>
        <v>-77167.079999999842</v>
      </c>
      <c r="O298" s="647"/>
      <c r="P298" s="513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  <c r="AD298" s="331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31"/>
      <c r="AR298" s="331"/>
      <c r="AS298" s="331"/>
      <c r="AT298" s="331"/>
      <c r="AU298" s="331"/>
      <c r="AV298" s="331"/>
      <c r="AW298" s="331"/>
      <c r="AX298" s="331"/>
      <c r="AY298" s="331"/>
      <c r="AZ298" s="331"/>
      <c r="BA298" s="331"/>
      <c r="BB298" s="331"/>
    </row>
    <row r="299" spans="2:54">
      <c r="B299" s="235">
        <v>45996</v>
      </c>
      <c r="C299" s="255" t="s">
        <v>3089</v>
      </c>
      <c r="D299" s="402">
        <f t="shared" si="62"/>
        <v>1096271.0999999999</v>
      </c>
      <c r="E299" s="376">
        <v>918.15</v>
      </c>
      <c r="F299" s="401">
        <v>1194</v>
      </c>
      <c r="G299" s="376">
        <f t="shared" si="52"/>
        <v>865.1</v>
      </c>
      <c r="H299" s="402">
        <f t="shared" si="58"/>
        <v>-63341.699999999837</v>
      </c>
      <c r="I299" s="402">
        <f t="shared" si="59"/>
        <v>1032929.4</v>
      </c>
      <c r="J299" s="753"/>
      <c r="K299" s="515">
        <f t="shared" si="53"/>
        <v>907.13</v>
      </c>
      <c r="L299" s="648">
        <f t="shared" si="60"/>
        <v>1083113.22</v>
      </c>
      <c r="M299" s="754">
        <f t="shared" si="61"/>
        <v>-50183.819999999949</v>
      </c>
      <c r="O299" s="647"/>
      <c r="P299" s="513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  <c r="AD299" s="331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31"/>
      <c r="AR299" s="331"/>
      <c r="AS299" s="331"/>
      <c r="AT299" s="331"/>
      <c r="AU299" s="331"/>
      <c r="AV299" s="331"/>
      <c r="AW299" s="331"/>
      <c r="AX299" s="331"/>
      <c r="AY299" s="331"/>
      <c r="AZ299" s="331"/>
      <c r="BA299" s="331"/>
      <c r="BB299" s="331"/>
    </row>
    <row r="300" spans="2:54">
      <c r="B300" s="235">
        <v>45996</v>
      </c>
      <c r="C300" s="255" t="s">
        <v>3090</v>
      </c>
      <c r="D300" s="402">
        <f t="shared" si="62"/>
        <v>1685723.4</v>
      </c>
      <c r="E300" s="376">
        <v>918.15</v>
      </c>
      <c r="F300" s="401">
        <v>1836</v>
      </c>
      <c r="G300" s="376">
        <f t="shared" si="52"/>
        <v>865.1</v>
      </c>
      <c r="H300" s="402">
        <f t="shared" si="58"/>
        <v>-97399.799999999814</v>
      </c>
      <c r="I300" s="402">
        <f t="shared" si="59"/>
        <v>1588323.6</v>
      </c>
      <c r="J300" s="753"/>
      <c r="K300" s="515">
        <f t="shared" si="53"/>
        <v>907.13</v>
      </c>
      <c r="L300" s="648">
        <f t="shared" si="60"/>
        <v>1665490.68</v>
      </c>
      <c r="M300" s="754">
        <f t="shared" si="61"/>
        <v>-77167.079999999842</v>
      </c>
      <c r="O300" s="647"/>
      <c r="P300" s="513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  <c r="AD300" s="331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31"/>
      <c r="AR300" s="331"/>
      <c r="AS300" s="331"/>
      <c r="AT300" s="331"/>
      <c r="AU300" s="331"/>
      <c r="AV300" s="331"/>
      <c r="AW300" s="331"/>
      <c r="AX300" s="331"/>
      <c r="AY300" s="331"/>
      <c r="AZ300" s="331"/>
      <c r="BA300" s="331"/>
      <c r="BB300" s="331"/>
    </row>
    <row r="301" spans="2:54">
      <c r="B301" s="235">
        <v>45996</v>
      </c>
      <c r="C301" s="255" t="s">
        <v>3091</v>
      </c>
      <c r="D301" s="402">
        <f t="shared" si="62"/>
        <v>1096271.0999999999</v>
      </c>
      <c r="E301" s="376">
        <v>918.15</v>
      </c>
      <c r="F301" s="401">
        <v>1194</v>
      </c>
      <c r="G301" s="376">
        <f t="shared" si="52"/>
        <v>865.1</v>
      </c>
      <c r="H301" s="402">
        <f t="shared" si="58"/>
        <v>-63341.699999999837</v>
      </c>
      <c r="I301" s="402">
        <f t="shared" si="59"/>
        <v>1032929.4</v>
      </c>
      <c r="J301" s="753"/>
      <c r="K301" s="515">
        <f t="shared" si="53"/>
        <v>907.13</v>
      </c>
      <c r="L301" s="648">
        <f t="shared" si="60"/>
        <v>1083113.22</v>
      </c>
      <c r="M301" s="754">
        <f t="shared" si="61"/>
        <v>-50183.819999999949</v>
      </c>
      <c r="O301" s="647"/>
      <c r="P301" s="513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  <c r="AD301" s="331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31"/>
      <c r="AR301" s="331"/>
      <c r="AS301" s="331"/>
      <c r="AT301" s="331"/>
      <c r="AU301" s="331"/>
      <c r="AV301" s="331"/>
      <c r="AW301" s="331"/>
      <c r="AX301" s="331"/>
      <c r="AY301" s="331"/>
      <c r="AZ301" s="331"/>
      <c r="BA301" s="331"/>
      <c r="BB301" s="331"/>
    </row>
    <row r="302" spans="2:54">
      <c r="B302" s="235">
        <v>45996</v>
      </c>
      <c r="C302" s="255" t="s">
        <v>3092</v>
      </c>
      <c r="D302" s="402">
        <f t="shared" si="62"/>
        <v>1685723.4</v>
      </c>
      <c r="E302" s="376">
        <v>918.15</v>
      </c>
      <c r="F302" s="401">
        <v>1836</v>
      </c>
      <c r="G302" s="376">
        <f t="shared" si="52"/>
        <v>865.1</v>
      </c>
      <c r="H302" s="402">
        <f t="shared" si="58"/>
        <v>-97399.799999999814</v>
      </c>
      <c r="I302" s="402">
        <f t="shared" si="59"/>
        <v>1588323.6</v>
      </c>
      <c r="J302" s="753"/>
      <c r="K302" s="515">
        <f t="shared" si="53"/>
        <v>907.13</v>
      </c>
      <c r="L302" s="648">
        <f t="shared" si="60"/>
        <v>1665490.68</v>
      </c>
      <c r="M302" s="754">
        <f t="shared" si="61"/>
        <v>-77167.079999999842</v>
      </c>
      <c r="O302" s="647"/>
      <c r="P302" s="513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  <c r="AD302" s="331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31"/>
      <c r="AR302" s="331"/>
      <c r="AS302" s="331"/>
      <c r="AT302" s="331"/>
      <c r="AU302" s="331"/>
      <c r="AV302" s="331"/>
      <c r="AW302" s="331"/>
      <c r="AX302" s="331"/>
      <c r="AY302" s="331"/>
      <c r="AZ302" s="331"/>
      <c r="BA302" s="331"/>
      <c r="BB302" s="331"/>
    </row>
    <row r="303" spans="2:54">
      <c r="B303" s="235">
        <v>45996</v>
      </c>
      <c r="C303" s="255" t="s">
        <v>3093</v>
      </c>
      <c r="D303" s="402">
        <f t="shared" si="62"/>
        <v>631687.19999999995</v>
      </c>
      <c r="E303" s="376">
        <v>918.15</v>
      </c>
      <c r="F303" s="401">
        <v>688</v>
      </c>
      <c r="G303" s="376">
        <f t="shared" si="52"/>
        <v>865.1</v>
      </c>
      <c r="H303" s="402">
        <f t="shared" si="58"/>
        <v>-36498.399999999907</v>
      </c>
      <c r="I303" s="402">
        <f t="shared" si="59"/>
        <v>595188.80000000005</v>
      </c>
      <c r="J303" s="753"/>
      <c r="K303" s="515">
        <f t="shared" si="53"/>
        <v>907.13</v>
      </c>
      <c r="L303" s="648">
        <f t="shared" si="60"/>
        <v>624105.43999999994</v>
      </c>
      <c r="M303" s="754">
        <f t="shared" si="61"/>
        <v>-28916.639999999898</v>
      </c>
      <c r="O303" s="647"/>
      <c r="P303" s="513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  <c r="AD303" s="331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31"/>
      <c r="AR303" s="331"/>
      <c r="AS303" s="331"/>
      <c r="AT303" s="331"/>
      <c r="AU303" s="331"/>
      <c r="AV303" s="331"/>
      <c r="AW303" s="331"/>
      <c r="AX303" s="331"/>
      <c r="AY303" s="331"/>
      <c r="AZ303" s="331"/>
      <c r="BA303" s="331"/>
      <c r="BB303" s="331"/>
    </row>
    <row r="304" spans="2:54">
      <c r="B304" s="235">
        <v>45996</v>
      </c>
      <c r="C304" s="255" t="s">
        <v>3094</v>
      </c>
      <c r="D304" s="402">
        <f t="shared" si="62"/>
        <v>7874513.4749999996</v>
      </c>
      <c r="E304" s="376">
        <v>918.15</v>
      </c>
      <c r="F304" s="401">
        <v>8576.5</v>
      </c>
      <c r="G304" s="376">
        <f t="shared" ref="G304:G319" si="63">+G303</f>
        <v>865.1</v>
      </c>
      <c r="H304" s="402">
        <f t="shared" si="58"/>
        <v>-454983.32499999925</v>
      </c>
      <c r="I304" s="402">
        <f t="shared" si="59"/>
        <v>7419530.1500000004</v>
      </c>
      <c r="J304" s="753"/>
      <c r="K304" s="515">
        <f t="shared" ref="K304:K319" si="64">+K303</f>
        <v>907.13</v>
      </c>
      <c r="L304" s="648">
        <f t="shared" si="60"/>
        <v>7780000.4450000003</v>
      </c>
      <c r="M304" s="754">
        <f t="shared" si="61"/>
        <v>-360470.29499999993</v>
      </c>
      <c r="O304" s="647"/>
      <c r="P304" s="513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  <c r="AD304" s="331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31"/>
      <c r="AR304" s="331"/>
      <c r="AS304" s="331"/>
      <c r="AT304" s="331"/>
      <c r="AU304" s="331"/>
      <c r="AV304" s="331"/>
      <c r="AW304" s="331"/>
      <c r="AX304" s="331"/>
      <c r="AY304" s="331"/>
      <c r="AZ304" s="331"/>
      <c r="BA304" s="331"/>
      <c r="BB304" s="331"/>
    </row>
    <row r="305" spans="2:54">
      <c r="B305" s="235">
        <v>45996</v>
      </c>
      <c r="C305" s="255" t="s">
        <v>3095</v>
      </c>
      <c r="D305" s="402">
        <f t="shared" si="62"/>
        <v>7880940.5249999994</v>
      </c>
      <c r="E305" s="376">
        <v>918.15</v>
      </c>
      <c r="F305" s="401">
        <v>8583.5</v>
      </c>
      <c r="G305" s="376">
        <f t="shared" si="63"/>
        <v>865.1</v>
      </c>
      <c r="H305" s="402">
        <f t="shared" si="58"/>
        <v>-455354.67499999888</v>
      </c>
      <c r="I305" s="402">
        <f t="shared" si="59"/>
        <v>7425585.8500000006</v>
      </c>
      <c r="J305" s="753"/>
      <c r="K305" s="515">
        <f t="shared" si="64"/>
        <v>907.13</v>
      </c>
      <c r="L305" s="648">
        <f t="shared" si="60"/>
        <v>7786350.3549999995</v>
      </c>
      <c r="M305" s="754">
        <f t="shared" si="61"/>
        <v>-360764.50499999896</v>
      </c>
      <c r="O305" s="647"/>
      <c r="P305" s="513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  <c r="AD305" s="331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31"/>
      <c r="AR305" s="331"/>
      <c r="AS305" s="331"/>
      <c r="AT305" s="331"/>
      <c r="AU305" s="331"/>
      <c r="AV305" s="331"/>
      <c r="AW305" s="331"/>
      <c r="AX305" s="331"/>
      <c r="AY305" s="331"/>
      <c r="AZ305" s="331"/>
      <c r="BA305" s="331"/>
      <c r="BB305" s="331"/>
    </row>
    <row r="306" spans="2:54">
      <c r="B306" s="235">
        <v>45996</v>
      </c>
      <c r="C306" s="255" t="s">
        <v>3096</v>
      </c>
      <c r="D306" s="402">
        <f t="shared" si="62"/>
        <v>2276552.9249999998</v>
      </c>
      <c r="E306" s="376">
        <v>918.15</v>
      </c>
      <c r="F306" s="401">
        <v>2479.5</v>
      </c>
      <c r="G306" s="376">
        <f t="shared" si="63"/>
        <v>865.1</v>
      </c>
      <c r="H306" s="402">
        <f t="shared" si="58"/>
        <v>-131537.47499999963</v>
      </c>
      <c r="I306" s="402">
        <f t="shared" si="59"/>
        <v>2145015.4500000002</v>
      </c>
      <c r="J306" s="753"/>
      <c r="K306" s="515">
        <f t="shared" si="64"/>
        <v>907.13</v>
      </c>
      <c r="L306" s="648">
        <f t="shared" si="60"/>
        <v>2249228.835</v>
      </c>
      <c r="M306" s="754">
        <f t="shared" si="61"/>
        <v>-104213.38499999978</v>
      </c>
      <c r="O306" s="647"/>
      <c r="P306" s="513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  <c r="AD306" s="331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31"/>
      <c r="AR306" s="331"/>
      <c r="AS306" s="331"/>
      <c r="AT306" s="331"/>
      <c r="AU306" s="331"/>
      <c r="AV306" s="331"/>
      <c r="AW306" s="331"/>
      <c r="AX306" s="331"/>
      <c r="AY306" s="331"/>
      <c r="AZ306" s="331"/>
      <c r="BA306" s="331"/>
      <c r="BB306" s="331"/>
    </row>
    <row r="307" spans="2:54">
      <c r="B307" s="235">
        <v>45996</v>
      </c>
      <c r="C307" s="255" t="s">
        <v>3097</v>
      </c>
      <c r="D307" s="402">
        <f t="shared" si="62"/>
        <v>3011991.0749999997</v>
      </c>
      <c r="E307" s="376">
        <v>918.15</v>
      </c>
      <c r="F307" s="401">
        <v>3280.5</v>
      </c>
      <c r="G307" s="376">
        <f t="shared" si="63"/>
        <v>865.1</v>
      </c>
      <c r="H307" s="402">
        <f t="shared" si="58"/>
        <v>-174030.52499999944</v>
      </c>
      <c r="I307" s="402">
        <f t="shared" si="59"/>
        <v>2837960.5500000003</v>
      </c>
      <c r="J307" s="753"/>
      <c r="K307" s="515">
        <f t="shared" si="64"/>
        <v>907.13</v>
      </c>
      <c r="L307" s="648">
        <f t="shared" si="60"/>
        <v>2975839.9649999999</v>
      </c>
      <c r="M307" s="754">
        <f t="shared" si="61"/>
        <v>-137879.41499999957</v>
      </c>
      <c r="O307" s="647"/>
      <c r="P307" s="513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  <c r="AD307" s="331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31"/>
      <c r="AR307" s="331"/>
      <c r="AS307" s="331"/>
      <c r="AT307" s="331"/>
      <c r="AU307" s="331"/>
      <c r="AV307" s="331"/>
      <c r="AW307" s="331"/>
      <c r="AX307" s="331"/>
      <c r="AY307" s="331"/>
      <c r="AZ307" s="331"/>
      <c r="BA307" s="331"/>
      <c r="BB307" s="331"/>
    </row>
    <row r="308" spans="2:54">
      <c r="B308" s="235">
        <v>45996</v>
      </c>
      <c r="C308" s="255" t="s">
        <v>3098</v>
      </c>
      <c r="D308" s="402">
        <f t="shared" si="62"/>
        <v>1321034.22</v>
      </c>
      <c r="E308" s="376">
        <v>918.15</v>
      </c>
      <c r="F308" s="401">
        <v>1438.8</v>
      </c>
      <c r="G308" s="376">
        <f t="shared" si="63"/>
        <v>865.1</v>
      </c>
      <c r="H308" s="402">
        <f t="shared" si="58"/>
        <v>-76328.340000000084</v>
      </c>
      <c r="I308" s="402">
        <f t="shared" si="59"/>
        <v>1244705.8799999999</v>
      </c>
      <c r="J308" s="753"/>
      <c r="K308" s="515">
        <f t="shared" si="64"/>
        <v>907.13</v>
      </c>
      <c r="L308" s="648">
        <f t="shared" si="60"/>
        <v>1305178.6439999999</v>
      </c>
      <c r="M308" s="754">
        <f t="shared" si="61"/>
        <v>-60472.763999999966</v>
      </c>
      <c r="O308" s="647"/>
      <c r="P308" s="513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  <c r="AD308" s="331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31"/>
      <c r="AR308" s="331"/>
      <c r="AS308" s="331"/>
      <c r="AT308" s="331"/>
      <c r="AU308" s="331"/>
      <c r="AV308" s="331"/>
      <c r="AW308" s="331"/>
      <c r="AX308" s="331"/>
      <c r="AY308" s="331"/>
      <c r="AZ308" s="331"/>
      <c r="BA308" s="331"/>
      <c r="BB308" s="331"/>
    </row>
    <row r="309" spans="2:54">
      <c r="B309" s="235">
        <v>45996</v>
      </c>
      <c r="C309" s="255" t="s">
        <v>3099</v>
      </c>
      <c r="D309" s="402">
        <f t="shared" si="62"/>
        <v>599092.875</v>
      </c>
      <c r="E309" s="376">
        <v>918.15</v>
      </c>
      <c r="F309" s="401">
        <v>652.5</v>
      </c>
      <c r="G309" s="376">
        <f t="shared" si="63"/>
        <v>865.1</v>
      </c>
      <c r="H309" s="402">
        <f t="shared" si="58"/>
        <v>-34615.125</v>
      </c>
      <c r="I309" s="402">
        <f t="shared" si="59"/>
        <v>564477.75</v>
      </c>
      <c r="J309" s="753"/>
      <c r="K309" s="515">
        <f t="shared" si="64"/>
        <v>907.13</v>
      </c>
      <c r="L309" s="648">
        <f t="shared" si="60"/>
        <v>591902.32499999995</v>
      </c>
      <c r="M309" s="754">
        <f t="shared" si="61"/>
        <v>-27424.574999999953</v>
      </c>
      <c r="O309" s="647"/>
      <c r="P309" s="513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  <c r="AD309" s="331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31"/>
      <c r="AR309" s="331"/>
      <c r="AS309" s="331"/>
      <c r="AT309" s="331"/>
      <c r="AU309" s="331"/>
      <c r="AV309" s="331"/>
      <c r="AW309" s="331"/>
      <c r="AX309" s="331"/>
      <c r="AY309" s="331"/>
      <c r="AZ309" s="331"/>
      <c r="BA309" s="331"/>
      <c r="BB309" s="331"/>
    </row>
    <row r="310" spans="2:54">
      <c r="B310" s="235">
        <v>45996</v>
      </c>
      <c r="C310" s="255" t="s">
        <v>3100</v>
      </c>
      <c r="D310" s="402">
        <f t="shared" si="62"/>
        <v>20247961.949999999</v>
      </c>
      <c r="E310" s="376">
        <v>918.15</v>
      </c>
      <c r="F310" s="401">
        <v>22053</v>
      </c>
      <c r="G310" s="376">
        <f t="shared" si="63"/>
        <v>865.1</v>
      </c>
      <c r="H310" s="402">
        <f t="shared" si="58"/>
        <v>-1169911.6499999985</v>
      </c>
      <c r="I310" s="402">
        <f t="shared" si="59"/>
        <v>19078050.300000001</v>
      </c>
      <c r="J310" s="753"/>
      <c r="K310" s="515">
        <f t="shared" si="64"/>
        <v>907.13</v>
      </c>
      <c r="L310" s="648">
        <f t="shared" si="60"/>
        <v>20004937.890000001</v>
      </c>
      <c r="M310" s="754">
        <f t="shared" si="61"/>
        <v>-926887.58999999985</v>
      </c>
      <c r="O310" s="647"/>
      <c r="P310" s="513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  <c r="AD310" s="331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31"/>
      <c r="AR310" s="331"/>
      <c r="AS310" s="331"/>
      <c r="AT310" s="331"/>
      <c r="AU310" s="331"/>
      <c r="AV310" s="331"/>
      <c r="AW310" s="331"/>
      <c r="AX310" s="331"/>
      <c r="AY310" s="331"/>
      <c r="AZ310" s="331"/>
      <c r="BA310" s="331"/>
      <c r="BB310" s="331"/>
    </row>
    <row r="311" spans="2:54">
      <c r="B311" s="235">
        <v>45996</v>
      </c>
      <c r="C311" s="255" t="s">
        <v>3101</v>
      </c>
      <c r="D311" s="402">
        <f t="shared" si="62"/>
        <v>1530096.9749999999</v>
      </c>
      <c r="E311" s="376">
        <v>918.15</v>
      </c>
      <c r="F311" s="401">
        <v>1666.5</v>
      </c>
      <c r="G311" s="376">
        <f t="shared" si="63"/>
        <v>865.1</v>
      </c>
      <c r="H311" s="402">
        <f t="shared" si="58"/>
        <v>-88407.824999999721</v>
      </c>
      <c r="I311" s="402">
        <f t="shared" si="59"/>
        <v>1441689.1500000001</v>
      </c>
      <c r="J311" s="753"/>
      <c r="K311" s="515">
        <f t="shared" si="64"/>
        <v>907.13</v>
      </c>
      <c r="L311" s="648">
        <f t="shared" si="60"/>
        <v>1511732.145</v>
      </c>
      <c r="M311" s="754">
        <f t="shared" si="61"/>
        <v>-70042.994999999879</v>
      </c>
      <c r="O311" s="647"/>
      <c r="P311" s="513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  <c r="AD311" s="331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31"/>
      <c r="AR311" s="331"/>
      <c r="AS311" s="331"/>
      <c r="AT311" s="331"/>
      <c r="AU311" s="331"/>
      <c r="AV311" s="331"/>
      <c r="AW311" s="331"/>
      <c r="AX311" s="331"/>
      <c r="AY311" s="331"/>
      <c r="AZ311" s="331"/>
      <c r="BA311" s="331"/>
      <c r="BB311" s="331"/>
    </row>
    <row r="312" spans="2:54">
      <c r="B312" s="235">
        <v>45996</v>
      </c>
      <c r="C312" s="255" t="s">
        <v>3102</v>
      </c>
      <c r="D312" s="402">
        <f t="shared" si="62"/>
        <v>6392160.2999999998</v>
      </c>
      <c r="E312" s="376">
        <v>918.15</v>
      </c>
      <c r="F312" s="401">
        <v>6962</v>
      </c>
      <c r="G312" s="376">
        <f t="shared" si="63"/>
        <v>865.1</v>
      </c>
      <c r="H312" s="402">
        <f t="shared" si="58"/>
        <v>-369334.09999999963</v>
      </c>
      <c r="I312" s="402">
        <f t="shared" si="59"/>
        <v>6022826.2000000002</v>
      </c>
      <c r="J312" s="753"/>
      <c r="K312" s="515">
        <f t="shared" si="64"/>
        <v>907.13</v>
      </c>
      <c r="L312" s="648">
        <f t="shared" si="60"/>
        <v>6315439.0599999996</v>
      </c>
      <c r="M312" s="754">
        <f t="shared" si="61"/>
        <v>-292612.8599999994</v>
      </c>
      <c r="O312" s="647"/>
      <c r="P312" s="513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  <c r="AD312" s="331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31"/>
      <c r="AR312" s="331"/>
      <c r="AS312" s="331"/>
      <c r="AT312" s="331"/>
      <c r="AU312" s="331"/>
      <c r="AV312" s="331"/>
      <c r="AW312" s="331"/>
      <c r="AX312" s="331"/>
      <c r="AY312" s="331"/>
      <c r="AZ312" s="331"/>
      <c r="BA312" s="331"/>
      <c r="BB312" s="331"/>
    </row>
    <row r="313" spans="2:54">
      <c r="B313" s="235">
        <v>45996</v>
      </c>
      <c r="C313" s="255" t="s">
        <v>3103</v>
      </c>
      <c r="D313" s="402">
        <f t="shared" si="62"/>
        <v>7635335.3999999994</v>
      </c>
      <c r="E313" s="376">
        <v>918.15</v>
      </c>
      <c r="F313" s="401">
        <v>8316</v>
      </c>
      <c r="G313" s="376">
        <f t="shared" si="63"/>
        <v>865.1</v>
      </c>
      <c r="H313" s="402">
        <f t="shared" si="58"/>
        <v>-441163.79999999888</v>
      </c>
      <c r="I313" s="402">
        <f t="shared" si="59"/>
        <v>7194171.6000000006</v>
      </c>
      <c r="J313" s="753"/>
      <c r="K313" s="515">
        <f t="shared" si="64"/>
        <v>907.13</v>
      </c>
      <c r="L313" s="648">
        <f t="shared" si="60"/>
        <v>7543693.0800000001</v>
      </c>
      <c r="M313" s="754">
        <f t="shared" si="61"/>
        <v>-349521.47999999952</v>
      </c>
      <c r="O313" s="647"/>
      <c r="P313" s="513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  <c r="AD313" s="331"/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31"/>
      <c r="AR313" s="331"/>
      <c r="AS313" s="331"/>
      <c r="AT313" s="331"/>
      <c r="AU313" s="331"/>
      <c r="AV313" s="331"/>
      <c r="AW313" s="331"/>
      <c r="AX313" s="331"/>
      <c r="AY313" s="331"/>
      <c r="AZ313" s="331"/>
      <c r="BA313" s="331"/>
      <c r="BB313" s="331"/>
    </row>
    <row r="314" spans="2:54">
      <c r="B314" s="235">
        <v>45996</v>
      </c>
      <c r="C314" s="255" t="s">
        <v>3104</v>
      </c>
      <c r="D314" s="402">
        <f t="shared" si="62"/>
        <v>6410982.375</v>
      </c>
      <c r="E314" s="376">
        <v>918.15</v>
      </c>
      <c r="F314" s="401">
        <v>6982.5</v>
      </c>
      <c r="G314" s="376">
        <f t="shared" si="63"/>
        <v>865.1</v>
      </c>
      <c r="H314" s="402">
        <f t="shared" si="58"/>
        <v>-370421.625</v>
      </c>
      <c r="I314" s="402">
        <f t="shared" si="59"/>
        <v>6040560.75</v>
      </c>
      <c r="J314" s="753"/>
      <c r="K314" s="515">
        <f t="shared" si="64"/>
        <v>907.13</v>
      </c>
      <c r="L314" s="648">
        <f t="shared" si="60"/>
        <v>6334035.2249999996</v>
      </c>
      <c r="M314" s="754">
        <f t="shared" si="61"/>
        <v>-293474.47499999963</v>
      </c>
      <c r="O314" s="647"/>
      <c r="P314" s="513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  <c r="AD314" s="331"/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31"/>
      <c r="AR314" s="331"/>
      <c r="AS314" s="331"/>
      <c r="AT314" s="331"/>
      <c r="AU314" s="331"/>
      <c r="AV314" s="331"/>
      <c r="AW314" s="331"/>
      <c r="AX314" s="331"/>
      <c r="AY314" s="331"/>
      <c r="AZ314" s="331"/>
      <c r="BA314" s="331"/>
      <c r="BB314" s="331"/>
    </row>
    <row r="315" spans="2:54">
      <c r="B315" s="235">
        <v>45996</v>
      </c>
      <c r="C315" s="255" t="s">
        <v>3105</v>
      </c>
      <c r="D315" s="402">
        <f t="shared" si="62"/>
        <v>7277256.8999999994</v>
      </c>
      <c r="E315" s="376">
        <v>918.15</v>
      </c>
      <c r="F315" s="401">
        <v>7926</v>
      </c>
      <c r="G315" s="376">
        <f t="shared" si="63"/>
        <v>865.1</v>
      </c>
      <c r="H315" s="402">
        <f t="shared" si="58"/>
        <v>-420474.29999999888</v>
      </c>
      <c r="I315" s="402">
        <f t="shared" si="59"/>
        <v>6856782.6000000006</v>
      </c>
      <c r="J315" s="753"/>
      <c r="K315" s="515">
        <f t="shared" si="64"/>
        <v>907.13</v>
      </c>
      <c r="L315" s="648">
        <f t="shared" si="60"/>
        <v>7189912.3799999999</v>
      </c>
      <c r="M315" s="754">
        <f t="shared" si="61"/>
        <v>-333129.77999999933</v>
      </c>
      <c r="O315" s="647"/>
      <c r="P315" s="513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  <c r="AD315" s="331"/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31"/>
      <c r="AR315" s="331"/>
      <c r="AS315" s="331"/>
      <c r="AT315" s="331"/>
      <c r="AU315" s="331"/>
      <c r="AV315" s="331"/>
      <c r="AW315" s="331"/>
      <c r="AX315" s="331"/>
      <c r="AY315" s="331"/>
      <c r="AZ315" s="331"/>
      <c r="BA315" s="331"/>
      <c r="BB315" s="331"/>
    </row>
    <row r="316" spans="2:54">
      <c r="B316" s="235">
        <v>45996</v>
      </c>
      <c r="C316" s="255" t="s">
        <v>3106</v>
      </c>
      <c r="D316" s="402">
        <f t="shared" si="62"/>
        <v>6392160.2999999998</v>
      </c>
      <c r="E316" s="376">
        <v>918.15</v>
      </c>
      <c r="F316" s="401">
        <v>6962</v>
      </c>
      <c r="G316" s="376">
        <f t="shared" si="63"/>
        <v>865.1</v>
      </c>
      <c r="H316" s="402">
        <f t="shared" si="58"/>
        <v>-369334.09999999963</v>
      </c>
      <c r="I316" s="402">
        <f t="shared" si="59"/>
        <v>6022826.2000000002</v>
      </c>
      <c r="J316" s="753"/>
      <c r="K316" s="515">
        <f t="shared" si="64"/>
        <v>907.13</v>
      </c>
      <c r="L316" s="648">
        <f t="shared" si="60"/>
        <v>6315439.0599999996</v>
      </c>
      <c r="M316" s="754">
        <f t="shared" si="61"/>
        <v>-292612.8599999994</v>
      </c>
      <c r="O316" s="647"/>
      <c r="P316" s="513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  <c r="AD316" s="331"/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31"/>
      <c r="AR316" s="331"/>
      <c r="AS316" s="331"/>
      <c r="AT316" s="331"/>
      <c r="AU316" s="331"/>
      <c r="AV316" s="331"/>
      <c r="AW316" s="331"/>
      <c r="AX316" s="331"/>
      <c r="AY316" s="331"/>
      <c r="AZ316" s="331"/>
      <c r="BA316" s="331"/>
      <c r="BB316" s="331"/>
    </row>
    <row r="317" spans="2:54">
      <c r="B317" s="235">
        <v>45996</v>
      </c>
      <c r="C317" s="255" t="s">
        <v>3107</v>
      </c>
      <c r="D317" s="402">
        <f t="shared" si="62"/>
        <v>7257975.75</v>
      </c>
      <c r="E317" s="376">
        <v>918.15</v>
      </c>
      <c r="F317" s="401">
        <v>7905</v>
      </c>
      <c r="G317" s="376">
        <f t="shared" si="63"/>
        <v>865.1</v>
      </c>
      <c r="H317" s="402">
        <f t="shared" si="58"/>
        <v>-419360.25</v>
      </c>
      <c r="I317" s="402">
        <f t="shared" si="59"/>
        <v>6838615.5</v>
      </c>
      <c r="J317" s="753"/>
      <c r="K317" s="515">
        <f t="shared" si="64"/>
        <v>907.13</v>
      </c>
      <c r="L317" s="648">
        <f t="shared" si="60"/>
        <v>7170862.6500000004</v>
      </c>
      <c r="M317" s="754">
        <f t="shared" si="61"/>
        <v>-332247.15000000037</v>
      </c>
      <c r="O317" s="647"/>
      <c r="P317" s="513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  <c r="AD317" s="331"/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31"/>
      <c r="AR317" s="331"/>
      <c r="AS317" s="331"/>
      <c r="AT317" s="331"/>
      <c r="AU317" s="331"/>
      <c r="AV317" s="331"/>
      <c r="AW317" s="331"/>
      <c r="AX317" s="331"/>
      <c r="AY317" s="331"/>
      <c r="AZ317" s="331"/>
      <c r="BA317" s="331"/>
      <c r="BB317" s="331"/>
    </row>
    <row r="318" spans="2:54">
      <c r="B318" s="235">
        <v>46013</v>
      </c>
      <c r="C318" s="255" t="s">
        <v>3108</v>
      </c>
      <c r="D318" s="402">
        <f t="shared" si="62"/>
        <v>12927859.199999999</v>
      </c>
      <c r="E318" s="376">
        <v>909.9</v>
      </c>
      <c r="F318" s="401">
        <v>14208</v>
      </c>
      <c r="G318" s="376">
        <f t="shared" si="63"/>
        <v>865.1</v>
      </c>
      <c r="H318" s="402">
        <f t="shared" si="58"/>
        <v>-636518.39999999851</v>
      </c>
      <c r="I318" s="402">
        <f t="shared" si="59"/>
        <v>12291340.800000001</v>
      </c>
      <c r="J318" s="753"/>
      <c r="K318" s="515">
        <f t="shared" si="64"/>
        <v>907.13</v>
      </c>
      <c r="L318" s="648">
        <f t="shared" si="60"/>
        <v>12888503.039999999</v>
      </c>
      <c r="M318" s="754">
        <f t="shared" si="61"/>
        <v>-597162.23999999836</v>
      </c>
      <c r="O318" s="647"/>
      <c r="P318" s="513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  <c r="AD318" s="331"/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31"/>
      <c r="AR318" s="331"/>
      <c r="AS318" s="331"/>
      <c r="AT318" s="331"/>
      <c r="AU318" s="331"/>
      <c r="AV318" s="331"/>
      <c r="AW318" s="331"/>
      <c r="AX318" s="331"/>
      <c r="AY318" s="331"/>
      <c r="AZ318" s="331"/>
      <c r="BA318" s="331"/>
      <c r="BB318" s="331"/>
    </row>
    <row r="319" spans="2:54">
      <c r="B319" s="235">
        <v>46014</v>
      </c>
      <c r="C319" s="255" t="s">
        <v>3109</v>
      </c>
      <c r="D319" s="402">
        <f t="shared" si="62"/>
        <v>10660982.4</v>
      </c>
      <c r="E319" s="376">
        <v>908.4</v>
      </c>
      <c r="F319" s="401">
        <v>11736</v>
      </c>
      <c r="G319" s="376">
        <f t="shared" si="63"/>
        <v>865.1</v>
      </c>
      <c r="H319" s="402">
        <f t="shared" si="58"/>
        <v>-508168.80000000075</v>
      </c>
      <c r="I319" s="402">
        <f t="shared" si="59"/>
        <v>10152813.6</v>
      </c>
      <c r="J319" s="753">
        <f>SUM(I276:I319)</f>
        <v>273794270.55799997</v>
      </c>
      <c r="K319" s="515">
        <f t="shared" si="64"/>
        <v>907.13</v>
      </c>
      <c r="L319" s="648">
        <f t="shared" si="60"/>
        <v>10646077.68</v>
      </c>
      <c r="M319" s="754">
        <f t="shared" si="61"/>
        <v>-493264.08000000007</v>
      </c>
      <c r="O319" s="647"/>
      <c r="P319" s="513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  <c r="AD319" s="331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31"/>
      <c r="AR319" s="331"/>
      <c r="AS319" s="331"/>
      <c r="AT319" s="331"/>
      <c r="AU319" s="331"/>
      <c r="AV319" s="331"/>
      <c r="AW319" s="331"/>
      <c r="AX319" s="331"/>
      <c r="AY319" s="331"/>
      <c r="AZ319" s="331"/>
      <c r="BA319" s="331"/>
      <c r="BB319" s="331"/>
    </row>
    <row r="320" spans="2:54">
      <c r="B320" s="235">
        <v>46034</v>
      </c>
      <c r="C320" s="255" t="s">
        <v>3066</v>
      </c>
      <c r="D320" s="402">
        <f t="shared" si="62"/>
        <v>1128380.3999999999</v>
      </c>
      <c r="E320" s="376">
        <v>895.54</v>
      </c>
      <c r="F320" s="401">
        <v>1260</v>
      </c>
      <c r="G320" s="376">
        <f>+G319</f>
        <v>865.1</v>
      </c>
      <c r="H320" s="402">
        <f t="shared" ref="H320:H323" si="65">+I320-D320</f>
        <v>-38354.399999999907</v>
      </c>
      <c r="I320" s="402">
        <f t="shared" ref="I320:I323" si="66">+F320*G320</f>
        <v>1090026</v>
      </c>
      <c r="J320" s="753"/>
      <c r="K320" s="515">
        <v>895.54</v>
      </c>
      <c r="L320" s="648">
        <f t="shared" ref="L320:L323" si="67">K320*F320</f>
        <v>1128380.3999999999</v>
      </c>
      <c r="M320" s="754">
        <f t="shared" ref="M320:M323" si="68">I320-L320</f>
        <v>-38354.399999999907</v>
      </c>
      <c r="O320" s="647"/>
      <c r="P320" s="513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  <c r="AD320" s="331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31"/>
      <c r="AR320" s="331"/>
      <c r="AS320" s="331"/>
      <c r="AT320" s="331"/>
      <c r="AU320" s="331"/>
      <c r="AV320" s="331"/>
      <c r="AW320" s="331"/>
      <c r="AX320" s="331"/>
      <c r="AY320" s="331"/>
      <c r="AZ320" s="331"/>
      <c r="BA320" s="331"/>
      <c r="BB320" s="331"/>
    </row>
    <row r="321" spans="2:54">
      <c r="B321" s="235">
        <v>46048</v>
      </c>
      <c r="C321" s="255" t="s">
        <v>3067</v>
      </c>
      <c r="D321" s="402">
        <f t="shared" si="62"/>
        <v>5266054.08</v>
      </c>
      <c r="E321" s="376">
        <v>870.71</v>
      </c>
      <c r="F321" s="401">
        <v>6048</v>
      </c>
      <c r="G321" s="376">
        <f>+G320</f>
        <v>865.1</v>
      </c>
      <c r="H321" s="402">
        <f t="shared" si="65"/>
        <v>-33929.280000000261</v>
      </c>
      <c r="I321" s="402">
        <f t="shared" si="66"/>
        <v>5232124.8</v>
      </c>
      <c r="J321" s="753"/>
      <c r="K321" s="515">
        <v>870.71</v>
      </c>
      <c r="L321" s="648">
        <f t="shared" si="67"/>
        <v>5266054.08</v>
      </c>
      <c r="M321" s="754">
        <f t="shared" si="68"/>
        <v>-33929.280000000261</v>
      </c>
      <c r="O321" s="647"/>
      <c r="P321" s="513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  <c r="AD321" s="331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31"/>
      <c r="AR321" s="331"/>
      <c r="AS321" s="331"/>
      <c r="AT321" s="331"/>
      <c r="AU321" s="331"/>
      <c r="AV321" s="331"/>
      <c r="AW321" s="331"/>
      <c r="AX321" s="331"/>
      <c r="AY321" s="331"/>
      <c r="AZ321" s="331"/>
      <c r="BA321" s="331"/>
      <c r="BB321" s="331"/>
    </row>
    <row r="322" spans="2:54">
      <c r="B322" s="235">
        <v>46048</v>
      </c>
      <c r="C322" s="255" t="s">
        <v>3068</v>
      </c>
      <c r="D322" s="402">
        <f t="shared" si="62"/>
        <v>4356614.8992000008</v>
      </c>
      <c r="E322" s="376">
        <v>870.71</v>
      </c>
      <c r="F322" s="401">
        <v>5003.5200000000004</v>
      </c>
      <c r="G322" s="376">
        <f>+G321</f>
        <v>865.1</v>
      </c>
      <c r="H322" s="402">
        <f t="shared" si="65"/>
        <v>-28069.7472000001</v>
      </c>
      <c r="I322" s="402">
        <f t="shared" si="66"/>
        <v>4328545.1520000007</v>
      </c>
      <c r="J322" s="753"/>
      <c r="K322" s="515">
        <v>870.71</v>
      </c>
      <c r="L322" s="648">
        <f t="shared" si="67"/>
        <v>4356614.8992000008</v>
      </c>
      <c r="M322" s="754">
        <f t="shared" si="68"/>
        <v>-28069.7472000001</v>
      </c>
      <c r="O322" s="647"/>
      <c r="P322" s="513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  <c r="AD322" s="331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31"/>
      <c r="AR322" s="331"/>
      <c r="AS322" s="331"/>
      <c r="AT322" s="331"/>
      <c r="AU322" s="331"/>
      <c r="AV322" s="331"/>
      <c r="AW322" s="331"/>
      <c r="AX322" s="331"/>
      <c r="AY322" s="331"/>
      <c r="AZ322" s="331"/>
      <c r="BA322" s="331"/>
      <c r="BB322" s="331"/>
    </row>
    <row r="323" spans="2:54">
      <c r="B323" s="235">
        <v>46049</v>
      </c>
      <c r="C323" s="255" t="s">
        <v>3069</v>
      </c>
      <c r="D323" s="402">
        <f t="shared" si="62"/>
        <v>20224799.280000001</v>
      </c>
      <c r="E323" s="376">
        <v>862.98</v>
      </c>
      <c r="F323" s="401">
        <v>23436</v>
      </c>
      <c r="G323" s="376">
        <f>+G322</f>
        <v>865.1</v>
      </c>
      <c r="H323" s="402">
        <f t="shared" si="65"/>
        <v>49684.320000000298</v>
      </c>
      <c r="I323" s="402">
        <f t="shared" si="66"/>
        <v>20274483.600000001</v>
      </c>
      <c r="J323" s="753">
        <f>SUM(I320:I323)</f>
        <v>30925179.552000001</v>
      </c>
      <c r="K323" s="515">
        <v>862.98</v>
      </c>
      <c r="L323" s="648">
        <f t="shared" si="67"/>
        <v>20224799.280000001</v>
      </c>
      <c r="M323" s="754">
        <f t="shared" si="68"/>
        <v>49684.320000000298</v>
      </c>
      <c r="O323" s="647"/>
      <c r="P323" s="513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  <c r="AD323" s="331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31"/>
      <c r="AR323" s="331"/>
      <c r="AS323" s="331"/>
      <c r="AT323" s="331"/>
      <c r="AU323" s="331"/>
      <c r="AV323" s="331"/>
      <c r="AW323" s="331"/>
      <c r="AX323" s="331"/>
      <c r="AY323" s="331"/>
      <c r="AZ323" s="331"/>
      <c r="BA323" s="331"/>
      <c r="BB323" s="331"/>
    </row>
    <row r="324" spans="2:54">
      <c r="B324" s="235"/>
      <c r="C324" s="255"/>
      <c r="D324" s="402"/>
      <c r="E324" s="376"/>
      <c r="F324" s="401"/>
      <c r="G324" s="376"/>
      <c r="H324" s="402"/>
      <c r="I324" s="402"/>
      <c r="J324" s="753"/>
      <c r="L324" s="648"/>
      <c r="M324" s="754"/>
      <c r="O324" s="647"/>
      <c r="P324" s="513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  <c r="AD324" s="331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31"/>
      <c r="AR324" s="331"/>
      <c r="AS324" s="331"/>
      <c r="AT324" s="331"/>
      <c r="AU324" s="331"/>
      <c r="AV324" s="331"/>
      <c r="AW324" s="331"/>
      <c r="AX324" s="331"/>
      <c r="AY324" s="331"/>
      <c r="AZ324" s="331"/>
      <c r="BA324" s="331"/>
      <c r="BB324" s="331"/>
    </row>
    <row r="325" spans="2:54">
      <c r="B325" s="133"/>
      <c r="C325" s="480" t="s">
        <v>3170</v>
      </c>
      <c r="D325" s="413">
        <f>SUM(D18:D324)</f>
        <v>1332631556.6215005</v>
      </c>
      <c r="E325" s="414"/>
      <c r="F325" s="413">
        <f>SUM(F18:F324)</f>
        <v>1421365.9100000001</v>
      </c>
      <c r="G325" s="414"/>
      <c r="H325" s="436">
        <f>SUM(H18:H324)</f>
        <v>-103007907.88050005</v>
      </c>
      <c r="I325" s="436">
        <f>SUM(I18:I324)</f>
        <v>1229623648.7409997</v>
      </c>
      <c r="J325" s="753">
        <f>SUM(J18:J324)</f>
        <v>1229623648.7409999</v>
      </c>
      <c r="L325" s="648">
        <f>SUM(L18:L323)</f>
        <v>1287911858.7799001</v>
      </c>
      <c r="M325" s="754">
        <f t="shared" si="14"/>
        <v>-58288210.038900375</v>
      </c>
      <c r="O325" s="647"/>
      <c r="P325" s="513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  <c r="AD325" s="331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31"/>
      <c r="AR325" s="331"/>
      <c r="AS325" s="331"/>
      <c r="AT325" s="331"/>
      <c r="AU325" s="331"/>
      <c r="AV325" s="331"/>
      <c r="AW325" s="331"/>
      <c r="AX325" s="331"/>
      <c r="AY325" s="331"/>
      <c r="AZ325" s="331"/>
      <c r="BA325" s="331"/>
      <c r="BB325" s="331"/>
    </row>
    <row r="326" spans="2:54">
      <c r="B326" s="133"/>
      <c r="C326" s="480"/>
      <c r="D326" s="413"/>
      <c r="E326" s="414"/>
      <c r="F326" s="413"/>
      <c r="G326" s="414"/>
      <c r="H326" s="436"/>
      <c r="I326" s="436"/>
      <c r="J326" s="753"/>
      <c r="L326" s="648"/>
      <c r="M326" s="754"/>
      <c r="O326" s="647"/>
      <c r="P326" s="513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  <c r="AD326" s="331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31"/>
      <c r="AR326" s="331"/>
      <c r="AS326" s="331"/>
      <c r="AT326" s="331"/>
      <c r="AU326" s="331"/>
      <c r="AV326" s="331"/>
      <c r="AW326" s="331"/>
      <c r="AX326" s="331"/>
      <c r="AY326" s="331"/>
      <c r="AZ326" s="331"/>
      <c r="BA326" s="331"/>
      <c r="BB326" s="331"/>
    </row>
    <row r="327" spans="2:54">
      <c r="B327" s="235">
        <v>46002</v>
      </c>
      <c r="C327" s="255" t="s">
        <v>3110</v>
      </c>
      <c r="D327" s="402">
        <f t="shared" si="62"/>
        <v>5109128.7857999997</v>
      </c>
      <c r="E327" s="376">
        <v>923.99</v>
      </c>
      <c r="F327" s="401">
        <v>5529.42</v>
      </c>
      <c r="G327" s="376">
        <f>+G323</f>
        <v>865.1</v>
      </c>
      <c r="H327" s="402">
        <f t="shared" ref="H327" si="69">+I327-D327</f>
        <v>-325627.54379999917</v>
      </c>
      <c r="I327" s="402">
        <f t="shared" ref="I327" si="70">+F327*G327</f>
        <v>4783501.2420000006</v>
      </c>
      <c r="J327" s="753"/>
      <c r="K327" s="515">
        <v>907.13</v>
      </c>
      <c r="L327" s="648">
        <f t="shared" ref="L327" si="71">K327*F327</f>
        <v>5015902.7646000003</v>
      </c>
      <c r="M327" s="754">
        <f t="shared" ref="M327" si="72">I327-L327</f>
        <v>-232401.52259999979</v>
      </c>
      <c r="O327" s="647"/>
      <c r="P327" s="513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  <c r="AD327" s="331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31"/>
      <c r="AR327" s="331"/>
      <c r="AS327" s="331"/>
      <c r="AT327" s="331"/>
      <c r="AU327" s="331"/>
      <c r="AV327" s="331"/>
      <c r="AW327" s="331"/>
      <c r="AX327" s="331"/>
      <c r="AY327" s="331"/>
      <c r="AZ327" s="331"/>
      <c r="BA327" s="331"/>
      <c r="BB327" s="331"/>
    </row>
    <row r="328" spans="2:54">
      <c r="B328" s="133"/>
      <c r="C328" s="480" t="s">
        <v>2587</v>
      </c>
      <c r="D328" s="436">
        <f>SUM(D327)</f>
        <v>5109128.7857999997</v>
      </c>
      <c r="E328" s="414"/>
      <c r="F328" s="436">
        <f>SUM(F327)</f>
        <v>5529.42</v>
      </c>
      <c r="G328" s="414"/>
      <c r="H328" s="436">
        <f t="shared" ref="H328:I328" si="73">SUM(H327)</f>
        <v>-325627.54379999917</v>
      </c>
      <c r="I328" s="436">
        <f t="shared" si="73"/>
        <v>4783501.2420000006</v>
      </c>
      <c r="J328" s="753">
        <f>+I328</f>
        <v>4783501.2420000006</v>
      </c>
      <c r="L328" s="648">
        <f>+L327</f>
        <v>5015902.7646000003</v>
      </c>
      <c r="M328" s="754"/>
      <c r="O328" s="647"/>
      <c r="P328" s="513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  <c r="AD328" s="331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31"/>
      <c r="AR328" s="331"/>
      <c r="AS328" s="331"/>
      <c r="AT328" s="331"/>
      <c r="AU328" s="331"/>
      <c r="AV328" s="331"/>
      <c r="AW328" s="331"/>
      <c r="AX328" s="331"/>
      <c r="AY328" s="331"/>
      <c r="AZ328" s="331"/>
      <c r="BA328" s="331"/>
      <c r="BB328" s="331"/>
    </row>
    <row r="329" spans="2:54">
      <c r="B329" s="133"/>
      <c r="C329" s="480"/>
      <c r="D329" s="436"/>
      <c r="E329" s="414"/>
      <c r="F329" s="413"/>
      <c r="G329" s="414"/>
      <c r="H329" s="436"/>
      <c r="I329" s="436"/>
      <c r="J329" s="753"/>
      <c r="L329" s="648"/>
      <c r="M329" s="754"/>
      <c r="O329" s="647"/>
      <c r="P329" s="513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31"/>
      <c r="AR329" s="331"/>
      <c r="AS329" s="331"/>
      <c r="AT329" s="331"/>
      <c r="AU329" s="331"/>
      <c r="AV329" s="331"/>
      <c r="AW329" s="331"/>
      <c r="AX329" s="331"/>
      <c r="AY329" s="331"/>
      <c r="AZ329" s="331"/>
      <c r="BA329" s="331"/>
      <c r="BB329" s="331"/>
    </row>
    <row r="330" spans="2:54">
      <c r="B330" s="235">
        <v>45936</v>
      </c>
      <c r="C330" s="185" t="s">
        <v>2987</v>
      </c>
      <c r="D330" s="402">
        <f>F330*E330</f>
        <v>480621.82999999996</v>
      </c>
      <c r="E330" s="376">
        <v>963.17</v>
      </c>
      <c r="F330" s="401">
        <v>499</v>
      </c>
      <c r="G330" s="376">
        <f t="shared" ref="G330" si="74">+G234</f>
        <v>865.1</v>
      </c>
      <c r="H330" s="402">
        <f>+I330-D330</f>
        <v>-48936.929999999935</v>
      </c>
      <c r="I330" s="402">
        <f>+F330*G330</f>
        <v>431684.9</v>
      </c>
      <c r="J330" s="753">
        <f>+I330</f>
        <v>431684.9</v>
      </c>
      <c r="K330" s="515">
        <v>907.13</v>
      </c>
      <c r="L330" s="648">
        <f>K330*F330</f>
        <v>452657.87</v>
      </c>
      <c r="M330" s="754">
        <f>I330-L330</f>
        <v>-20972.969999999972</v>
      </c>
      <c r="O330" s="647"/>
      <c r="P330" s="513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  <c r="AD330" s="331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31"/>
      <c r="AR330" s="331"/>
      <c r="AS330" s="331"/>
      <c r="AT330" s="331"/>
      <c r="AU330" s="331"/>
      <c r="AV330" s="331"/>
      <c r="AW330" s="331"/>
      <c r="AX330" s="331"/>
      <c r="AY330" s="331"/>
      <c r="AZ330" s="331"/>
      <c r="BA330" s="331"/>
      <c r="BB330" s="331"/>
    </row>
    <row r="331" spans="2:54">
      <c r="B331" s="133"/>
      <c r="C331" s="480" t="s">
        <v>2986</v>
      </c>
      <c r="D331" s="436">
        <f>SUM(D330)</f>
        <v>480621.82999999996</v>
      </c>
      <c r="E331" s="414"/>
      <c r="F331" s="436">
        <f>SUM(F330)</f>
        <v>499</v>
      </c>
      <c r="G331" s="414"/>
      <c r="H331" s="436">
        <f>SUM(H330)</f>
        <v>-48936.929999999935</v>
      </c>
      <c r="I331" s="436">
        <f>SUM(I330)</f>
        <v>431684.9</v>
      </c>
      <c r="J331" s="753"/>
      <c r="L331" s="648"/>
      <c r="M331" s="754"/>
      <c r="O331" s="647"/>
      <c r="P331" s="513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  <c r="AD331" s="331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31"/>
      <c r="AR331" s="331"/>
      <c r="AS331" s="331"/>
      <c r="AT331" s="331"/>
      <c r="AU331" s="331"/>
      <c r="AV331" s="331"/>
      <c r="AW331" s="331"/>
      <c r="AX331" s="331"/>
      <c r="AY331" s="331"/>
      <c r="AZ331" s="331"/>
      <c r="BA331" s="331"/>
      <c r="BB331" s="331"/>
    </row>
    <row r="332" spans="2:54">
      <c r="B332" s="133"/>
      <c r="C332" s="480"/>
      <c r="D332" s="436"/>
      <c r="E332" s="414"/>
      <c r="F332" s="413"/>
      <c r="G332" s="414"/>
      <c r="H332" s="436"/>
      <c r="I332" s="436"/>
      <c r="J332" s="753"/>
      <c r="L332" s="648"/>
      <c r="M332" s="754"/>
      <c r="O332" s="647"/>
      <c r="P332" s="513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  <c r="AD332" s="331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31"/>
      <c r="AR332" s="331"/>
      <c r="AS332" s="331"/>
      <c r="AT332" s="331"/>
      <c r="AU332" s="331"/>
      <c r="AV332" s="331"/>
      <c r="AW332" s="331"/>
      <c r="AX332" s="331"/>
      <c r="AY332" s="331"/>
      <c r="AZ332" s="331"/>
      <c r="BA332" s="331"/>
      <c r="BB332" s="331"/>
    </row>
    <row r="333" spans="2:54">
      <c r="B333" s="156"/>
      <c r="C333" s="255"/>
      <c r="D333" s="402"/>
      <c r="E333" s="376"/>
      <c r="F333" s="401"/>
      <c r="G333" s="376"/>
      <c r="H333" s="402"/>
      <c r="I333" s="402"/>
      <c r="J333" s="753"/>
      <c r="L333" s="648"/>
      <c r="M333" s="754"/>
      <c r="O333" s="647"/>
      <c r="P333" s="513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  <c r="AD333" s="331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31"/>
      <c r="AR333" s="331"/>
      <c r="AS333" s="331"/>
      <c r="AT333" s="331"/>
      <c r="AU333" s="331"/>
      <c r="AV333" s="331"/>
      <c r="AW333" s="331"/>
      <c r="AX333" s="331"/>
      <c r="AY333" s="331"/>
      <c r="AZ333" s="331"/>
      <c r="BA333" s="331"/>
      <c r="BB333" s="331"/>
    </row>
    <row r="334" spans="2:54" hidden="1">
      <c r="B334" s="156"/>
      <c r="C334" s="182" t="s">
        <v>2999</v>
      </c>
      <c r="D334" s="436">
        <f>SUM(D333)</f>
        <v>0</v>
      </c>
      <c r="E334" s="414"/>
      <c r="F334" s="436">
        <f>SUM(F333)</f>
        <v>0</v>
      </c>
      <c r="G334" s="414"/>
      <c r="H334" s="436">
        <f>SUM(H333)</f>
        <v>0</v>
      </c>
      <c r="I334" s="436">
        <f>SUM(I333)</f>
        <v>0</v>
      </c>
      <c r="J334" s="753"/>
      <c r="L334" s="648"/>
      <c r="M334" s="754"/>
      <c r="O334" s="647"/>
      <c r="P334" s="513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  <c r="AD334" s="331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31"/>
      <c r="AR334" s="331"/>
      <c r="AS334" s="331"/>
      <c r="AT334" s="331"/>
      <c r="AU334" s="331"/>
      <c r="AV334" s="331"/>
      <c r="AW334" s="331"/>
      <c r="AX334" s="331"/>
      <c r="AY334" s="331"/>
      <c r="AZ334" s="331"/>
      <c r="BA334" s="331"/>
      <c r="BB334" s="331"/>
    </row>
    <row r="335" spans="2:54" hidden="1">
      <c r="B335" s="156"/>
      <c r="C335" s="255"/>
      <c r="D335" s="402"/>
      <c r="E335" s="376"/>
      <c r="F335" s="401"/>
      <c r="G335" s="414"/>
      <c r="H335" s="436"/>
      <c r="I335" s="436"/>
      <c r="J335" s="753"/>
      <c r="L335" s="648"/>
      <c r="M335" s="754"/>
      <c r="O335" s="647"/>
      <c r="P335" s="513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  <c r="AD335" s="331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31"/>
      <c r="AR335" s="331"/>
      <c r="AS335" s="331"/>
      <c r="AT335" s="331"/>
      <c r="AU335" s="331"/>
      <c r="AV335" s="331"/>
      <c r="AW335" s="331"/>
      <c r="AX335" s="331"/>
      <c r="AY335" s="331"/>
      <c r="AZ335" s="331"/>
      <c r="BA335" s="331"/>
      <c r="BB335" s="331"/>
    </row>
    <row r="336" spans="2:54" hidden="1">
      <c r="B336" s="156"/>
      <c r="C336" s="255"/>
      <c r="D336" s="402"/>
      <c r="E336" s="376"/>
      <c r="F336" s="401"/>
      <c r="G336" s="376"/>
      <c r="H336" s="402"/>
      <c r="I336" s="402"/>
      <c r="J336" s="753"/>
      <c r="L336" s="648"/>
      <c r="M336" s="754"/>
      <c r="O336" s="647"/>
      <c r="P336" s="513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  <c r="AD336" s="331"/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31"/>
      <c r="AR336" s="331"/>
      <c r="AS336" s="331"/>
      <c r="AT336" s="331"/>
      <c r="AU336" s="331"/>
      <c r="AV336" s="331"/>
      <c r="AW336" s="331"/>
      <c r="AX336" s="331"/>
      <c r="AY336" s="331"/>
      <c r="AZ336" s="331"/>
      <c r="BA336" s="331"/>
      <c r="BB336" s="331"/>
    </row>
    <row r="337" spans="2:54" hidden="1">
      <c r="B337" s="133"/>
      <c r="C337" s="480" t="s">
        <v>3000</v>
      </c>
      <c r="D337" s="436">
        <f>SUM(D336:D336)</f>
        <v>0</v>
      </c>
      <c r="E337" s="414"/>
      <c r="F337" s="436">
        <f>SUM(F336:F336)</f>
        <v>0</v>
      </c>
      <c r="G337" s="414"/>
      <c r="H337" s="436">
        <f>SUM(H336:H336)</f>
        <v>0</v>
      </c>
      <c r="I337" s="436">
        <f>SUM(I336:I336)</f>
        <v>0</v>
      </c>
      <c r="J337" s="753"/>
      <c r="L337" s="648"/>
      <c r="M337" s="754"/>
      <c r="O337" s="647"/>
      <c r="P337" s="513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  <c r="AD337" s="331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31"/>
      <c r="AR337" s="331"/>
      <c r="AS337" s="331"/>
      <c r="AT337" s="331"/>
      <c r="AU337" s="331"/>
      <c r="AV337" s="331"/>
      <c r="AW337" s="331"/>
      <c r="AX337" s="331"/>
      <c r="AY337" s="331"/>
      <c r="AZ337" s="331"/>
      <c r="BA337" s="331"/>
      <c r="BB337" s="331"/>
    </row>
    <row r="338" spans="2:54">
      <c r="B338" s="133"/>
      <c r="C338" s="185"/>
      <c r="D338" s="402"/>
      <c r="E338" s="376"/>
      <c r="F338" s="401"/>
      <c r="G338" s="376"/>
      <c r="H338" s="402"/>
      <c r="I338" s="402"/>
      <c r="J338" s="753"/>
      <c r="L338" s="648"/>
      <c r="M338" s="754"/>
      <c r="O338" s="647"/>
      <c r="P338" s="513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31"/>
      <c r="AR338" s="331"/>
      <c r="AS338" s="331"/>
      <c r="AT338" s="331"/>
      <c r="AU338" s="331"/>
      <c r="AV338" s="331"/>
      <c r="AW338" s="331"/>
      <c r="AX338" s="331"/>
      <c r="AY338" s="331"/>
      <c r="AZ338" s="331"/>
      <c r="BA338" s="331"/>
      <c r="BB338" s="331"/>
    </row>
    <row r="339" spans="2:54" ht="15.05" customHeight="1">
      <c r="B339" s="855" t="s">
        <v>243</v>
      </c>
      <c r="C339" s="870"/>
      <c r="D339" s="183">
        <f>+D325+D16+D328+D331+D334+D337</f>
        <v>1338292535.1973004</v>
      </c>
      <c r="E339" s="182"/>
      <c r="F339" s="183">
        <f>+F325+F16+F328+F331+F334+F337</f>
        <v>1427470.33</v>
      </c>
      <c r="G339" s="59"/>
      <c r="H339" s="183">
        <f>+H325+H16+H328+H331+H334+H337</f>
        <v>-103387952.71430005</v>
      </c>
      <c r="I339" s="183">
        <f>+I325+I16+I328+I331+I334+I337-2</f>
        <v>1234904580.4829998</v>
      </c>
      <c r="J339" s="755">
        <f>+J325+J16+J328+J330</f>
        <v>1234904582.483</v>
      </c>
      <c r="K339" s="648"/>
      <c r="L339" s="648">
        <f>+L325+L16+L330+L328</f>
        <v>1293449361.2945001</v>
      </c>
      <c r="M339" s="756">
        <f>J339-L339</f>
        <v>-58544778.811500072</v>
      </c>
      <c r="O339" s="647"/>
      <c r="P339" s="515"/>
      <c r="Q339" s="515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31"/>
      <c r="AR339" s="331"/>
      <c r="AS339" s="331"/>
      <c r="AT339" s="331"/>
      <c r="AU339" s="331"/>
      <c r="AV339" s="331"/>
      <c r="AW339" s="331"/>
      <c r="AX339" s="331"/>
      <c r="AY339" s="331"/>
      <c r="AZ339" s="331"/>
      <c r="BA339" s="331"/>
      <c r="BB339" s="331"/>
    </row>
    <row r="340" spans="2:54">
      <c r="C340" s="516"/>
      <c r="D340" s="516"/>
      <c r="E340" s="516"/>
      <c r="F340" s="616"/>
      <c r="G340" s="616"/>
      <c r="H340" s="628"/>
      <c r="I340" s="644">
        <v>2216792627</v>
      </c>
      <c r="J340" s="644">
        <f>+M325+M16+M330+M327</f>
        <v>-58544778.811500378</v>
      </c>
      <c r="K340" s="648"/>
      <c r="L340" s="648"/>
      <c r="O340" s="647"/>
      <c r="P340" s="515"/>
      <c r="Q340" s="515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  <c r="AD340" s="331"/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31"/>
      <c r="AR340" s="331"/>
      <c r="AS340" s="331"/>
      <c r="AT340" s="331"/>
      <c r="AU340" s="331"/>
      <c r="AV340" s="331"/>
      <c r="AW340" s="331"/>
      <c r="AX340" s="331"/>
      <c r="AY340" s="331"/>
      <c r="AZ340" s="331"/>
      <c r="BA340" s="331"/>
      <c r="BB340" s="331"/>
    </row>
    <row r="341" spans="2:54">
      <c r="C341" s="516"/>
      <c r="D341" s="516"/>
      <c r="E341" s="516"/>
      <c r="F341" s="617">
        <f>+F339+'Acreedores diversos (prestamo)'!E51</f>
        <v>1597009.9500000002</v>
      </c>
      <c r="G341" s="616"/>
      <c r="H341" s="628"/>
      <c r="I341" s="648"/>
      <c r="J341" s="644"/>
      <c r="K341" s="648"/>
      <c r="L341" s="648"/>
      <c r="M341" s="644"/>
      <c r="O341" s="647"/>
      <c r="P341" s="515"/>
      <c r="Q341" s="515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  <c r="AD341" s="331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31"/>
      <c r="AR341" s="331"/>
      <c r="AS341" s="331"/>
      <c r="AT341" s="331"/>
      <c r="AU341" s="331"/>
      <c r="AV341" s="331"/>
      <c r="AW341" s="331"/>
      <c r="AX341" s="331"/>
      <c r="AY341" s="331"/>
      <c r="AZ341" s="331"/>
      <c r="BA341" s="331"/>
      <c r="BB341" s="331"/>
    </row>
    <row r="342" spans="2:54">
      <c r="C342" s="516"/>
      <c r="D342" s="516"/>
      <c r="E342" s="516"/>
      <c r="F342" s="616">
        <v>2457519.7200000002</v>
      </c>
      <c r="G342" s="616"/>
      <c r="H342" s="628"/>
      <c r="I342" s="649"/>
      <c r="J342" s="649"/>
      <c r="K342" s="648"/>
      <c r="L342" s="648"/>
      <c r="M342" s="644"/>
      <c r="O342" s="647"/>
      <c r="P342" s="515"/>
      <c r="Q342" s="515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  <c r="AD342" s="331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31"/>
      <c r="AR342" s="331"/>
      <c r="AS342" s="331"/>
      <c r="AT342" s="331"/>
      <c r="AU342" s="331"/>
      <c r="AV342" s="331"/>
      <c r="AW342" s="331"/>
      <c r="AX342" s="331"/>
      <c r="AY342" s="331"/>
      <c r="AZ342" s="331"/>
      <c r="BA342" s="331"/>
      <c r="BB342" s="331"/>
    </row>
    <row r="343" spans="2:54">
      <c r="C343" s="612"/>
      <c r="D343" s="516"/>
      <c r="E343" s="516"/>
      <c r="F343" s="617">
        <f>F342-F341</f>
        <v>860509.77</v>
      </c>
      <c r="G343" s="616"/>
      <c r="H343" s="629"/>
      <c r="I343" s="703">
        <f>I339-I340</f>
        <v>-981888046.5170002</v>
      </c>
      <c r="J343" s="644">
        <f>I343-J340</f>
        <v>-923343267.70549977</v>
      </c>
      <c r="K343" s="648"/>
      <c r="L343" s="648"/>
      <c r="P343" s="515"/>
      <c r="Q343" s="515"/>
    </row>
    <row r="344" spans="2:54">
      <c r="C344" s="516"/>
      <c r="D344" s="516"/>
      <c r="E344" s="516"/>
      <c r="F344" s="616"/>
      <c r="G344" s="616"/>
      <c r="H344" s="616"/>
      <c r="I344" s="515"/>
      <c r="K344" s="648"/>
      <c r="L344" s="648"/>
      <c r="P344" s="515"/>
      <c r="Q344" s="515"/>
    </row>
    <row r="345" spans="2:54">
      <c r="C345" s="516"/>
      <c r="D345" s="516"/>
      <c r="E345" s="516"/>
      <c r="F345" s="516"/>
      <c r="G345" s="516"/>
      <c r="H345" s="516"/>
      <c r="I345" s="515"/>
      <c r="K345" s="648"/>
      <c r="L345" s="648"/>
      <c r="P345" s="515"/>
      <c r="Q345" s="515"/>
    </row>
    <row r="346" spans="2:54">
      <c r="C346" s="516"/>
      <c r="D346" s="516"/>
      <c r="E346" s="516"/>
      <c r="F346" s="516"/>
      <c r="G346" s="516"/>
      <c r="H346" s="516"/>
      <c r="I346" s="515"/>
      <c r="K346" s="648"/>
      <c r="L346" s="648"/>
      <c r="P346" s="515"/>
      <c r="Q346" s="515"/>
    </row>
    <row r="347" spans="2:54">
      <c r="C347" s="516"/>
      <c r="D347" s="516"/>
      <c r="E347" s="516"/>
      <c r="F347" s="516"/>
      <c r="G347" s="516"/>
      <c r="H347" s="516"/>
      <c r="I347" s="562"/>
      <c r="P347" s="515"/>
      <c r="Q347" s="515"/>
    </row>
    <row r="348" spans="2:54">
      <c r="C348" s="516"/>
      <c r="D348" s="516"/>
      <c r="E348" s="516"/>
      <c r="F348" s="516"/>
      <c r="G348" s="516"/>
      <c r="H348" s="516"/>
      <c r="I348" s="475"/>
      <c r="P348" s="515"/>
      <c r="Q348" s="515"/>
    </row>
    <row r="349" spans="2:54">
      <c r="C349" s="516"/>
      <c r="D349" s="516"/>
      <c r="E349" s="516"/>
      <c r="F349" s="516"/>
      <c r="G349" s="516"/>
      <c r="H349" s="516"/>
      <c r="I349" s="475"/>
      <c r="P349" s="515"/>
      <c r="Q349" s="515"/>
    </row>
    <row r="350" spans="2:54">
      <c r="C350" s="502"/>
      <c r="D350" s="502"/>
      <c r="E350" s="502"/>
      <c r="F350" s="502"/>
      <c r="G350" s="502"/>
      <c r="H350" s="502"/>
      <c r="I350" s="475"/>
      <c r="P350" s="515"/>
      <c r="Q350" s="515"/>
    </row>
    <row r="351" spans="2:54">
      <c r="C351" s="502"/>
      <c r="D351" s="502"/>
      <c r="E351" s="502"/>
      <c r="F351" s="502"/>
      <c r="G351" s="502"/>
      <c r="H351" s="502"/>
      <c r="I351" s="475"/>
      <c r="P351" s="515"/>
      <c r="Q351" s="515"/>
    </row>
    <row r="352" spans="2:54">
      <c r="C352" s="502"/>
      <c r="D352" s="502"/>
      <c r="E352" s="502"/>
      <c r="F352" s="502"/>
      <c r="G352" s="502"/>
      <c r="H352" s="502"/>
      <c r="I352" s="475"/>
      <c r="P352" s="515"/>
      <c r="Q352" s="515"/>
    </row>
    <row r="353" spans="3:17">
      <c r="C353" s="502"/>
      <c r="D353" s="502"/>
      <c r="E353" s="502"/>
      <c r="F353" s="502"/>
      <c r="G353" s="502"/>
      <c r="H353" s="502"/>
      <c r="I353" s="475"/>
      <c r="P353" s="515"/>
      <c r="Q353" s="515"/>
    </row>
    <row r="354" spans="3:17">
      <c r="C354" s="502"/>
      <c r="D354" s="502"/>
      <c r="E354" s="502"/>
      <c r="F354" s="502"/>
      <c r="G354" s="502"/>
      <c r="H354" s="502"/>
      <c r="I354" s="475"/>
      <c r="P354" s="515"/>
      <c r="Q354" s="515"/>
    </row>
    <row r="355" spans="3:17">
      <c r="C355" s="502"/>
      <c r="D355" s="502"/>
      <c r="E355" s="502"/>
      <c r="F355" s="502"/>
      <c r="G355" s="502"/>
      <c r="H355" s="502"/>
      <c r="I355" s="475"/>
      <c r="P355" s="515"/>
      <c r="Q355" s="515"/>
    </row>
    <row r="356" spans="3:17">
      <c r="C356" s="502"/>
      <c r="D356" s="502"/>
      <c r="E356" s="502"/>
      <c r="F356" s="502"/>
      <c r="G356" s="502"/>
      <c r="H356" s="502"/>
      <c r="I356" s="475"/>
      <c r="P356" s="515"/>
      <c r="Q356" s="515"/>
    </row>
    <row r="357" spans="3:17">
      <c r="P357" s="515"/>
      <c r="Q357" s="515"/>
    </row>
    <row r="358" spans="3:17">
      <c r="P358" s="515"/>
      <c r="Q358" s="515"/>
    </row>
    <row r="359" spans="3:17">
      <c r="P359" s="515"/>
      <c r="Q359" s="515"/>
    </row>
    <row r="360" spans="3:17">
      <c r="P360" s="515"/>
      <c r="Q360" s="515"/>
    </row>
    <row r="361" spans="3:17">
      <c r="P361" s="515"/>
      <c r="Q361" s="515"/>
    </row>
    <row r="362" spans="3:17">
      <c r="P362" s="515"/>
      <c r="Q362" s="515"/>
    </row>
    <row r="363" spans="3:17">
      <c r="P363" s="515"/>
      <c r="Q363" s="515"/>
    </row>
    <row r="364" spans="3:17">
      <c r="P364" s="515"/>
      <c r="Q364" s="515"/>
    </row>
    <row r="365" spans="3:17">
      <c r="P365" s="515"/>
      <c r="Q365" s="515"/>
    </row>
    <row r="366" spans="3:17">
      <c r="P366" s="515"/>
      <c r="Q366" s="515"/>
    </row>
    <row r="367" spans="3:17">
      <c r="P367" s="515"/>
      <c r="Q367" s="515"/>
    </row>
    <row r="368" spans="3:17">
      <c r="P368" s="515"/>
      <c r="Q368" s="515"/>
    </row>
    <row r="369" spans="16:17">
      <c r="P369" s="515"/>
      <c r="Q369" s="515"/>
    </row>
    <row r="370" spans="16:17">
      <c r="P370" s="515"/>
      <c r="Q370" s="515"/>
    </row>
    <row r="371" spans="16:17">
      <c r="P371" s="515"/>
      <c r="Q371" s="515"/>
    </row>
    <row r="372" spans="16:17">
      <c r="P372" s="515"/>
      <c r="Q372" s="515"/>
    </row>
    <row r="373" spans="16:17">
      <c r="P373" s="515"/>
      <c r="Q373" s="515"/>
    </row>
    <row r="374" spans="16:17">
      <c r="P374" s="515"/>
      <c r="Q374" s="515"/>
    </row>
    <row r="375" spans="16:17">
      <c r="P375" s="515"/>
      <c r="Q375" s="515"/>
    </row>
    <row r="376" spans="16:17">
      <c r="P376" s="515"/>
      <c r="Q376" s="515"/>
    </row>
    <row r="377" spans="16:17">
      <c r="P377" s="515"/>
      <c r="Q377" s="515"/>
    </row>
    <row r="378" spans="16:17">
      <c r="P378" s="515"/>
      <c r="Q378" s="515"/>
    </row>
    <row r="379" spans="16:17">
      <c r="P379" s="515"/>
      <c r="Q379" s="515"/>
    </row>
    <row r="380" spans="16:17">
      <c r="P380" s="515"/>
      <c r="Q380" s="515"/>
    </row>
    <row r="381" spans="16:17">
      <c r="P381" s="515"/>
      <c r="Q381" s="515"/>
    </row>
    <row r="382" spans="16:17">
      <c r="P382" s="515"/>
      <c r="Q382" s="515"/>
    </row>
    <row r="383" spans="16:17">
      <c r="P383" s="515"/>
      <c r="Q383" s="515"/>
    </row>
    <row r="384" spans="16:17">
      <c r="P384" s="515"/>
      <c r="Q384" s="515"/>
    </row>
    <row r="385" spans="16:17">
      <c r="P385" s="515"/>
      <c r="Q385" s="515"/>
    </row>
    <row r="386" spans="16:17">
      <c r="P386" s="515"/>
      <c r="Q386" s="515"/>
    </row>
    <row r="387" spans="16:17">
      <c r="P387" s="515"/>
      <c r="Q387" s="515"/>
    </row>
    <row r="388" spans="16:17">
      <c r="P388" s="515"/>
      <c r="Q388" s="515"/>
    </row>
    <row r="389" spans="16:17">
      <c r="P389" s="515"/>
      <c r="Q389" s="515"/>
    </row>
    <row r="390" spans="16:17">
      <c r="P390" s="515"/>
      <c r="Q390" s="515"/>
    </row>
    <row r="391" spans="16:17">
      <c r="P391" s="515"/>
      <c r="Q391" s="515"/>
    </row>
    <row r="392" spans="16:17">
      <c r="P392" s="515"/>
      <c r="Q392" s="515"/>
    </row>
    <row r="393" spans="16:17">
      <c r="P393" s="515"/>
      <c r="Q393" s="515"/>
    </row>
    <row r="394" spans="16:17">
      <c r="P394" s="515"/>
      <c r="Q394" s="515"/>
    </row>
    <row r="395" spans="16:17">
      <c r="P395" s="515"/>
      <c r="Q395" s="515"/>
    </row>
    <row r="396" spans="16:17">
      <c r="P396" s="515"/>
      <c r="Q396" s="515"/>
    </row>
    <row r="397" spans="16:17">
      <c r="P397" s="515"/>
      <c r="Q397" s="515"/>
    </row>
    <row r="398" spans="16:17">
      <c r="P398" s="515"/>
      <c r="Q398" s="515"/>
    </row>
    <row r="399" spans="16:17">
      <c r="P399" s="515"/>
      <c r="Q399" s="515"/>
    </row>
    <row r="400" spans="16:17">
      <c r="P400" s="515"/>
      <c r="Q400" s="515"/>
    </row>
    <row r="401" spans="16:17">
      <c r="P401" s="515"/>
      <c r="Q401" s="515"/>
    </row>
    <row r="402" spans="16:17">
      <c r="P402" s="478"/>
    </row>
    <row r="403" spans="16:17">
      <c r="P403" s="478"/>
    </row>
    <row r="404" spans="16:17">
      <c r="P404" s="478"/>
    </row>
    <row r="405" spans="16:17">
      <c r="P405" s="478"/>
    </row>
    <row r="406" spans="16:17">
      <c r="P406" s="478"/>
    </row>
    <row r="407" spans="16:17">
      <c r="P407" s="478"/>
    </row>
    <row r="408" spans="16:17">
      <c r="P408" s="478"/>
    </row>
    <row r="409" spans="16:17">
      <c r="P409" s="478"/>
    </row>
    <row r="410" spans="16:17">
      <c r="P410" s="478"/>
    </row>
    <row r="411" spans="16:17">
      <c r="P411" s="478"/>
    </row>
    <row r="412" spans="16:17">
      <c r="P412" s="478"/>
    </row>
    <row r="413" spans="16:17">
      <c r="P413" s="478"/>
    </row>
    <row r="414" spans="16:17">
      <c r="P414" s="478"/>
    </row>
    <row r="415" spans="16:17">
      <c r="P415" s="478"/>
    </row>
    <row r="416" spans="16:17">
      <c r="P416" s="478"/>
    </row>
    <row r="417" spans="16:16">
      <c r="P417" s="478"/>
    </row>
    <row r="418" spans="16:16">
      <c r="P418" s="478"/>
    </row>
    <row r="419" spans="16:16">
      <c r="P419" s="478"/>
    </row>
    <row r="420" spans="16:16">
      <c r="P420" s="478"/>
    </row>
    <row r="421" spans="16:16">
      <c r="P421" s="478"/>
    </row>
    <row r="422" spans="16:16">
      <c r="P422" s="478"/>
    </row>
    <row r="423" spans="16:16">
      <c r="P423" s="478"/>
    </row>
    <row r="424" spans="16:16">
      <c r="P424" s="478"/>
    </row>
    <row r="425" spans="16:16">
      <c r="P425" s="478"/>
    </row>
    <row r="426" spans="16:16">
      <c r="P426" s="478"/>
    </row>
    <row r="427" spans="16:16">
      <c r="P427" s="478"/>
    </row>
    <row r="428" spans="16:16">
      <c r="P428" s="478"/>
    </row>
    <row r="429" spans="16:16">
      <c r="P429" s="478"/>
    </row>
    <row r="430" spans="16:16">
      <c r="P430" s="478"/>
    </row>
    <row r="431" spans="16:16">
      <c r="P431" s="478"/>
    </row>
    <row r="432" spans="16:16">
      <c r="P432" s="478"/>
    </row>
    <row r="433" spans="16:16">
      <c r="P433" s="478"/>
    </row>
    <row r="434" spans="16:16">
      <c r="P434" s="478"/>
    </row>
    <row r="435" spans="16:16">
      <c r="P435" s="478"/>
    </row>
    <row r="436" spans="16:16">
      <c r="P436" s="478"/>
    </row>
    <row r="437" spans="16:16">
      <c r="P437" s="478"/>
    </row>
    <row r="438" spans="16:16">
      <c r="P438" s="478"/>
    </row>
    <row r="439" spans="16:16">
      <c r="P439" s="478"/>
    </row>
    <row r="440" spans="16:16">
      <c r="P440" s="478"/>
    </row>
    <row r="441" spans="16:16">
      <c r="P441" s="478"/>
    </row>
    <row r="442" spans="16:16">
      <c r="P442" s="478"/>
    </row>
    <row r="443" spans="16:16">
      <c r="P443" s="478"/>
    </row>
    <row r="444" spans="16:16">
      <c r="P444" s="478"/>
    </row>
    <row r="445" spans="16:16">
      <c r="P445" s="478"/>
    </row>
    <row r="446" spans="16:16">
      <c r="P446" s="478"/>
    </row>
    <row r="447" spans="16:16">
      <c r="P447" s="478"/>
    </row>
    <row r="448" spans="16:16">
      <c r="P448" s="478"/>
    </row>
    <row r="449" spans="16:16">
      <c r="P449" s="478"/>
    </row>
    <row r="450" spans="16:16">
      <c r="P450" s="478"/>
    </row>
    <row r="451" spans="16:16">
      <c r="P451" s="478"/>
    </row>
    <row r="452" spans="16:16">
      <c r="P452" s="478"/>
    </row>
    <row r="453" spans="16:16">
      <c r="P453" s="478"/>
    </row>
    <row r="454" spans="16:16">
      <c r="P454" s="478"/>
    </row>
    <row r="455" spans="16:16">
      <c r="P455" s="478"/>
    </row>
    <row r="456" spans="16:16">
      <c r="P456" s="478"/>
    </row>
    <row r="457" spans="16:16">
      <c r="P457" s="478"/>
    </row>
    <row r="458" spans="16:16">
      <c r="P458" s="478"/>
    </row>
    <row r="459" spans="16:16">
      <c r="P459" s="478"/>
    </row>
    <row r="460" spans="16:16">
      <c r="P460" s="478"/>
    </row>
    <row r="461" spans="16:16">
      <c r="P461" s="478"/>
    </row>
    <row r="462" spans="16:16">
      <c r="P462" s="478"/>
    </row>
    <row r="463" spans="16:16">
      <c r="P463" s="478"/>
    </row>
    <row r="464" spans="16:16">
      <c r="P464" s="478"/>
    </row>
    <row r="465" spans="16:16">
      <c r="P465" s="478"/>
    </row>
    <row r="466" spans="16:16">
      <c r="P466" s="478"/>
    </row>
    <row r="467" spans="16:16">
      <c r="P467" s="478"/>
    </row>
    <row r="468" spans="16:16">
      <c r="P468" s="478"/>
    </row>
    <row r="469" spans="16:16">
      <c r="P469" s="478"/>
    </row>
    <row r="470" spans="16:16">
      <c r="P470" s="478"/>
    </row>
    <row r="471" spans="16:16">
      <c r="P471" s="478"/>
    </row>
    <row r="472" spans="16:16">
      <c r="P472" s="478"/>
    </row>
    <row r="473" spans="16:16">
      <c r="P473" s="478"/>
    </row>
    <row r="474" spans="16:16">
      <c r="P474" s="478"/>
    </row>
    <row r="475" spans="16:16">
      <c r="P475" s="478"/>
    </row>
    <row r="476" spans="16:16">
      <c r="P476" s="478"/>
    </row>
    <row r="477" spans="16:16">
      <c r="P477" s="478"/>
    </row>
    <row r="478" spans="16:16">
      <c r="P478" s="478"/>
    </row>
    <row r="479" spans="16:16">
      <c r="P479" s="478"/>
    </row>
    <row r="480" spans="16:16">
      <c r="P480" s="478"/>
    </row>
    <row r="481" spans="16:16">
      <c r="P481" s="478"/>
    </row>
    <row r="482" spans="16:16">
      <c r="P482" s="478"/>
    </row>
    <row r="483" spans="16:16">
      <c r="P483" s="478"/>
    </row>
    <row r="484" spans="16:16">
      <c r="P484" s="478"/>
    </row>
    <row r="485" spans="16:16">
      <c r="P485" s="478"/>
    </row>
    <row r="486" spans="16:16">
      <c r="P486" s="478"/>
    </row>
    <row r="487" spans="16:16">
      <c r="P487" s="478"/>
    </row>
  </sheetData>
  <autoFilter ref="B14:I342" xr:uid="{8B290191-C21A-499A-AC5C-8239CCB4C841}"/>
  <mergeCells count="6">
    <mergeCell ref="B1:I1"/>
    <mergeCell ref="B2:I2"/>
    <mergeCell ref="B3:I3"/>
    <mergeCell ref="B339:C339"/>
    <mergeCell ref="B7:C7"/>
    <mergeCell ref="B8:C8"/>
  </mergeCells>
  <hyperlinks>
    <hyperlink ref="A1" location="'Balance 8 Columnas'!A1" display="'Balance 8 Columnas'!A1" xr:uid="{2258872F-8726-4E9F-BAA4-924C81F09EB3}"/>
  </hyperlinks>
  <pageMargins left="0.7" right="0.7" top="0.75" bottom="0.75" header="0.3" footer="0.3"/>
  <pageSetup paperSize="9" scale="46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258-0EEB-4A05-A9DD-E57438013584}">
  <sheetPr codeName="Hoja21">
    <tabColor rgb="FF002060"/>
  </sheetPr>
  <dimension ref="A1:N60"/>
  <sheetViews>
    <sheetView showGridLines="0" zoomScale="90" zoomScaleNormal="90" zoomScaleSheetLayoutView="90" workbookViewId="0">
      <selection activeCell="H44" sqref="H44"/>
    </sheetView>
  </sheetViews>
  <sheetFormatPr baseColWidth="10" defaultColWidth="11.3984375" defaultRowHeight="14"/>
  <cols>
    <col min="1" max="1" width="6" style="158" customWidth="1"/>
    <col min="2" max="2" width="37.5" style="180" customWidth="1"/>
    <col min="3" max="3" width="12.296875" style="180" bestFit="1" customWidth="1"/>
    <col min="4" max="4" width="14.3984375" style="180" customWidth="1"/>
    <col min="5" max="5" width="16.3984375" style="180" customWidth="1"/>
    <col min="6" max="6" width="15" style="180" bestFit="1" customWidth="1"/>
    <col min="7" max="7" width="3.8984375" style="288" customWidth="1"/>
    <col min="8" max="8" width="16.59765625" style="158" customWidth="1"/>
    <col min="9" max="9" width="13.09765625" style="158" bestFit="1" customWidth="1"/>
    <col min="10" max="10" width="56.3984375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1" t="s">
        <v>590</v>
      </c>
      <c r="B1" s="810" t="s">
        <v>195</v>
      </c>
      <c r="C1" s="810"/>
      <c r="D1" s="810"/>
      <c r="E1" s="810"/>
      <c r="F1" s="810"/>
      <c r="G1" s="225"/>
      <c r="H1" s="225"/>
      <c r="J1" s="147">
        <f ca="1">+C12-'Balance Clasificado'!D29</f>
        <v>-8</v>
      </c>
    </row>
    <row r="2" spans="1:10" s="80" customFormat="1">
      <c r="B2" s="867" t="s">
        <v>521</v>
      </c>
      <c r="C2" s="867"/>
      <c r="D2" s="867"/>
      <c r="E2" s="867"/>
      <c r="F2" s="867"/>
      <c r="G2" s="514"/>
      <c r="H2" s="514"/>
    </row>
    <row r="3" spans="1:10" s="80" customFormat="1">
      <c r="B3" s="867" t="str">
        <f>+'Activo fijo'!B3:G3</f>
        <v>Al 31 de enero de 2026</v>
      </c>
      <c r="C3" s="867"/>
      <c r="D3" s="867"/>
      <c r="E3" s="867"/>
      <c r="F3" s="867"/>
      <c r="G3" s="514"/>
      <c r="H3" s="514"/>
    </row>
    <row r="6" spans="1:10">
      <c r="B6" s="179" t="s">
        <v>522</v>
      </c>
    </row>
    <row r="7" spans="1:10">
      <c r="B7" s="72" t="s">
        <v>62</v>
      </c>
      <c r="C7" s="72" t="s">
        <v>153</v>
      </c>
    </row>
    <row r="8" spans="1:10">
      <c r="B8" s="126" t="s">
        <v>199</v>
      </c>
      <c r="C8" s="143">
        <f>+F35</f>
        <v>16326038</v>
      </c>
      <c r="D8" s="404"/>
    </row>
    <row r="9" spans="1:10">
      <c r="B9" s="126" t="s">
        <v>2477</v>
      </c>
      <c r="C9" s="143">
        <f>+F40</f>
        <v>0</v>
      </c>
      <c r="D9" s="404"/>
    </row>
    <row r="10" spans="1:10">
      <c r="B10" s="126" t="s">
        <v>29</v>
      </c>
      <c r="C10" s="143">
        <f>+F54</f>
        <v>1548293</v>
      </c>
    </row>
    <row r="11" spans="1:10">
      <c r="B11" s="126" t="s">
        <v>453</v>
      </c>
      <c r="C11" s="143">
        <f>+F59</f>
        <v>263120</v>
      </c>
    </row>
    <row r="12" spans="1:10">
      <c r="B12" s="128" t="s">
        <v>523</v>
      </c>
      <c r="C12" s="129">
        <f>SUM(C8:C11)</f>
        <v>18137451</v>
      </c>
      <c r="D12" s="249"/>
      <c r="E12" s="537"/>
    </row>
    <row r="14" spans="1:10">
      <c r="B14" s="179" t="s">
        <v>525</v>
      </c>
    </row>
    <row r="15" spans="1:10">
      <c r="B15" s="179"/>
    </row>
    <row r="16" spans="1:10">
      <c r="B16" s="329" t="s">
        <v>199</v>
      </c>
      <c r="C16" s="286"/>
      <c r="D16" s="286"/>
      <c r="E16" s="286"/>
      <c r="F16" s="330"/>
    </row>
    <row r="17" spans="1:14" s="331" customFormat="1">
      <c r="B17" s="491" t="s">
        <v>182</v>
      </c>
      <c r="C17" s="491" t="s">
        <v>183</v>
      </c>
      <c r="D17" s="491" t="s">
        <v>184</v>
      </c>
      <c r="E17" s="491" t="s">
        <v>198</v>
      </c>
      <c r="F17" s="491" t="s">
        <v>197</v>
      </c>
      <c r="G17" s="502"/>
    </row>
    <row r="18" spans="1:14" s="374" customFormat="1">
      <c r="A18" s="331"/>
      <c r="B18" s="492" t="s">
        <v>3216</v>
      </c>
      <c r="C18" s="493">
        <v>780738200</v>
      </c>
      <c r="D18" s="501">
        <v>3631</v>
      </c>
      <c r="E18" s="495">
        <v>46029</v>
      </c>
      <c r="F18" s="618">
        <v>1813674</v>
      </c>
      <c r="G18" s="502"/>
      <c r="H18" s="331"/>
      <c r="M18" s="331"/>
      <c r="N18" s="331"/>
    </row>
    <row r="19" spans="1:14" s="374" customFormat="1">
      <c r="A19" s="331"/>
      <c r="B19" s="492" t="s">
        <v>3231</v>
      </c>
      <c r="C19" s="493">
        <v>108532246</v>
      </c>
      <c r="D19" s="501" t="s">
        <v>3232</v>
      </c>
      <c r="E19" s="495">
        <v>46022</v>
      </c>
      <c r="F19" s="618">
        <v>6</v>
      </c>
      <c r="G19" s="502"/>
      <c r="H19" s="331"/>
      <c r="M19" s="331"/>
      <c r="N19" s="331"/>
    </row>
    <row r="20" spans="1:14" s="374" customFormat="1">
      <c r="A20" s="331"/>
      <c r="B20" s="492" t="s">
        <v>3217</v>
      </c>
      <c r="C20" s="493">
        <v>764244400</v>
      </c>
      <c r="D20" s="494">
        <v>13408</v>
      </c>
      <c r="E20" s="495">
        <v>46041</v>
      </c>
      <c r="F20" s="618">
        <v>6172737</v>
      </c>
      <c r="G20" s="502"/>
      <c r="H20" s="331"/>
      <c r="M20" s="331"/>
      <c r="N20" s="331"/>
    </row>
    <row r="21" spans="1:14" s="374" customFormat="1">
      <c r="A21" s="331"/>
      <c r="B21" s="492" t="s">
        <v>3025</v>
      </c>
      <c r="C21" s="493">
        <v>778200945</v>
      </c>
      <c r="D21" s="494">
        <v>50</v>
      </c>
      <c r="E21" s="495">
        <v>45947</v>
      </c>
      <c r="F21" s="618">
        <v>251985</v>
      </c>
      <c r="G21" s="502"/>
      <c r="H21" s="331"/>
      <c r="M21" s="331"/>
      <c r="N21" s="331"/>
    </row>
    <row r="22" spans="1:14" s="374" customFormat="1">
      <c r="A22" s="331"/>
      <c r="B22" s="492" t="s">
        <v>3218</v>
      </c>
      <c r="C22" s="493">
        <v>785564707</v>
      </c>
      <c r="D22" s="494">
        <v>129639</v>
      </c>
      <c r="E22" s="495">
        <v>46049</v>
      </c>
      <c r="F22" s="618">
        <v>948346</v>
      </c>
      <c r="G22" s="502"/>
      <c r="H22" s="331"/>
      <c r="M22" s="331"/>
      <c r="N22" s="331"/>
    </row>
    <row r="23" spans="1:14" s="374" customFormat="1">
      <c r="A23" s="331"/>
      <c r="B23" s="492" t="s">
        <v>3059</v>
      </c>
      <c r="C23" s="493">
        <v>766695086</v>
      </c>
      <c r="D23" s="494">
        <v>62938</v>
      </c>
      <c r="E23" s="495">
        <v>46003</v>
      </c>
      <c r="F23" s="618">
        <f>3258013-3093825</f>
        <v>164188</v>
      </c>
      <c r="G23" s="502"/>
      <c r="H23" s="331"/>
      <c r="M23" s="331"/>
      <c r="N23" s="331"/>
    </row>
    <row r="24" spans="1:14" s="374" customFormat="1">
      <c r="A24" s="331"/>
      <c r="B24" s="492" t="s">
        <v>3219</v>
      </c>
      <c r="C24" s="493">
        <v>769767401</v>
      </c>
      <c r="D24" s="494">
        <v>16947</v>
      </c>
      <c r="E24" s="495">
        <v>46022</v>
      </c>
      <c r="F24" s="618">
        <v>315744</v>
      </c>
      <c r="G24" s="502"/>
      <c r="H24" s="331"/>
      <c r="M24" s="331"/>
      <c r="N24" s="331"/>
    </row>
    <row r="25" spans="1:14" s="374" customFormat="1">
      <c r="A25" s="331"/>
      <c r="B25" s="492" t="s">
        <v>2334</v>
      </c>
      <c r="C25" s="493">
        <v>97844895</v>
      </c>
      <c r="D25" s="494">
        <v>441</v>
      </c>
      <c r="E25" s="495">
        <v>46020</v>
      </c>
      <c r="F25" s="618">
        <f>30000+284410</f>
        <v>314410</v>
      </c>
      <c r="G25" s="502"/>
      <c r="H25" s="331"/>
      <c r="M25" s="331"/>
      <c r="N25" s="331"/>
    </row>
    <row r="26" spans="1:14" s="374" customFormat="1">
      <c r="A26" s="331"/>
      <c r="B26" s="492" t="s">
        <v>2601</v>
      </c>
      <c r="C26" s="493">
        <v>771577679</v>
      </c>
      <c r="D26" s="494">
        <v>4521</v>
      </c>
      <c r="E26" s="712">
        <v>45777</v>
      </c>
      <c r="F26" s="618">
        <v>107100</v>
      </c>
      <c r="G26" s="502"/>
      <c r="H26" s="331" t="s">
        <v>2914</v>
      </c>
      <c r="M26" s="331"/>
      <c r="N26" s="331"/>
    </row>
    <row r="27" spans="1:14" s="374" customFormat="1">
      <c r="A27" s="331"/>
      <c r="B27" s="492" t="s">
        <v>3060</v>
      </c>
      <c r="C27" s="493" t="s">
        <v>3061</v>
      </c>
      <c r="D27" s="494">
        <v>8396</v>
      </c>
      <c r="E27" s="495">
        <v>45995</v>
      </c>
      <c r="F27" s="618">
        <v>9810</v>
      </c>
      <c r="G27" s="502"/>
      <c r="H27" s="331"/>
      <c r="M27" s="331"/>
      <c r="N27" s="331"/>
    </row>
    <row r="28" spans="1:14" s="374" customFormat="1">
      <c r="A28" s="331"/>
      <c r="B28" s="492" t="s">
        <v>1919</v>
      </c>
      <c r="C28" s="493">
        <v>768823308</v>
      </c>
      <c r="D28" s="494">
        <v>203616</v>
      </c>
      <c r="E28" s="712">
        <v>45491</v>
      </c>
      <c r="F28" s="618">
        <v>3094348</v>
      </c>
      <c r="G28" s="502"/>
      <c r="H28" s="331" t="s">
        <v>3004</v>
      </c>
      <c r="M28" s="331"/>
      <c r="N28" s="331"/>
    </row>
    <row r="29" spans="1:14" s="374" customFormat="1">
      <c r="A29" s="331"/>
      <c r="B29" s="492" t="s">
        <v>2812</v>
      </c>
      <c r="C29" s="493">
        <v>969219301</v>
      </c>
      <c r="D29" s="501">
        <v>47645</v>
      </c>
      <c r="E29" s="495">
        <v>46036</v>
      </c>
      <c r="F29" s="618">
        <v>2428965</v>
      </c>
      <c r="G29" s="502"/>
      <c r="H29" s="331"/>
      <c r="M29" s="331"/>
      <c r="N29" s="331"/>
    </row>
    <row r="30" spans="1:14" s="374" customFormat="1">
      <c r="A30" s="331"/>
      <c r="B30" s="492" t="s">
        <v>2910</v>
      </c>
      <c r="C30" s="493">
        <v>766779409</v>
      </c>
      <c r="D30" s="501" t="s">
        <v>2911</v>
      </c>
      <c r="E30" s="712">
        <v>45903</v>
      </c>
      <c r="F30" s="618">
        <f>11787+6157742-5517187-609595</f>
        <v>42747</v>
      </c>
      <c r="G30" s="502"/>
      <c r="H30" s="331" t="s">
        <v>3139</v>
      </c>
      <c r="M30" s="331"/>
      <c r="N30" s="331"/>
    </row>
    <row r="31" spans="1:14" s="374" customFormat="1">
      <c r="A31" s="331"/>
      <c r="B31" s="492" t="s">
        <v>3220</v>
      </c>
      <c r="C31" s="493">
        <v>768355940</v>
      </c>
      <c r="D31" s="501">
        <v>304</v>
      </c>
      <c r="E31" s="495">
        <v>46036</v>
      </c>
      <c r="F31" s="618">
        <v>380752</v>
      </c>
      <c r="G31" s="502"/>
      <c r="H31" s="331"/>
      <c r="M31" s="331"/>
      <c r="N31" s="331"/>
    </row>
    <row r="32" spans="1:14" s="374" customFormat="1">
      <c r="A32" s="331"/>
      <c r="B32" s="492" t="s">
        <v>3233</v>
      </c>
      <c r="C32" s="493" t="s">
        <v>3234</v>
      </c>
      <c r="D32" s="501">
        <v>54315967</v>
      </c>
      <c r="E32" s="495">
        <v>46052</v>
      </c>
      <c r="F32" s="618">
        <v>37762</v>
      </c>
      <c r="G32" s="502"/>
      <c r="H32" s="331"/>
      <c r="M32" s="331"/>
      <c r="N32" s="331"/>
    </row>
    <row r="33" spans="1:14" s="374" customFormat="1">
      <c r="A33" s="331"/>
      <c r="B33" s="492" t="s">
        <v>1208</v>
      </c>
      <c r="C33" s="493">
        <v>906350009</v>
      </c>
      <c r="D33" s="494">
        <v>53531819</v>
      </c>
      <c r="E33" s="495">
        <v>45870</v>
      </c>
      <c r="F33" s="618">
        <v>-113536</v>
      </c>
      <c r="G33" s="502"/>
      <c r="H33" s="331" t="s">
        <v>3138</v>
      </c>
      <c r="M33" s="331"/>
      <c r="N33" s="331"/>
    </row>
    <row r="34" spans="1:14" s="374" customFormat="1">
      <c r="A34" s="331"/>
      <c r="B34" s="492" t="s">
        <v>3221</v>
      </c>
      <c r="C34" s="493">
        <v>776610313</v>
      </c>
      <c r="D34" s="494">
        <v>211</v>
      </c>
      <c r="E34" s="495">
        <v>46044</v>
      </c>
      <c r="F34" s="618">
        <v>357000</v>
      </c>
      <c r="G34" s="502"/>
      <c r="H34" s="331"/>
      <c r="M34" s="331"/>
      <c r="N34" s="331"/>
    </row>
    <row r="35" spans="1:14" s="374" customFormat="1">
      <c r="A35" s="331"/>
      <c r="B35" s="878" t="s">
        <v>186</v>
      </c>
      <c r="C35" s="878"/>
      <c r="D35" s="878"/>
      <c r="E35" s="878"/>
      <c r="F35" s="618">
        <f>SUM(F18:F34)</f>
        <v>16326038</v>
      </c>
      <c r="G35" s="757" t="s">
        <v>2430</v>
      </c>
      <c r="H35" s="710"/>
      <c r="I35" s="704">
        <f>H35-F35</f>
        <v>-16326038</v>
      </c>
      <c r="M35" s="331"/>
      <c r="N35" s="331"/>
    </row>
    <row r="36" spans="1:14" s="331" customFormat="1">
      <c r="B36" s="372"/>
      <c r="C36" s="372"/>
      <c r="D36" s="372"/>
      <c r="E36" s="372"/>
      <c r="F36" s="373"/>
      <c r="G36" s="437"/>
      <c r="H36" s="497"/>
    </row>
    <row r="37" spans="1:14" s="331" customFormat="1">
      <c r="B37" s="875" t="s">
        <v>2477</v>
      </c>
      <c r="C37" s="876"/>
      <c r="D37" s="876"/>
      <c r="E37" s="876"/>
      <c r="F37" s="877"/>
      <c r="G37" s="437"/>
    </row>
    <row r="38" spans="1:14" s="331" customFormat="1" ht="26.9">
      <c r="B38" s="498" t="s">
        <v>182</v>
      </c>
      <c r="C38" s="498" t="s">
        <v>255</v>
      </c>
      <c r="D38" s="498" t="s">
        <v>184</v>
      </c>
      <c r="E38" s="498" t="s">
        <v>198</v>
      </c>
      <c r="F38" s="499" t="s">
        <v>197</v>
      </c>
      <c r="G38" s="437"/>
    </row>
    <row r="39" spans="1:14">
      <c r="B39" s="590"/>
      <c r="C39" s="591"/>
      <c r="D39" s="591"/>
      <c r="E39" s="590"/>
      <c r="F39" s="592"/>
      <c r="G39" s="627"/>
    </row>
    <row r="40" spans="1:14">
      <c r="B40" s="878" t="s">
        <v>186</v>
      </c>
      <c r="C40" s="878"/>
      <c r="D40" s="878"/>
      <c r="E40" s="878"/>
      <c r="F40" s="496">
        <f>SUM(F39:F39)</f>
        <v>0</v>
      </c>
      <c r="G40" s="627" t="s">
        <v>2430</v>
      </c>
    </row>
    <row r="41" spans="1:14">
      <c r="F41" s="593"/>
      <c r="G41" s="627"/>
    </row>
    <row r="42" spans="1:14" s="331" customFormat="1">
      <c r="B42" s="875" t="s">
        <v>29</v>
      </c>
      <c r="C42" s="876"/>
      <c r="D42" s="876"/>
      <c r="E42" s="876"/>
      <c r="F42" s="877"/>
      <c r="G42" s="515"/>
      <c r="H42" s="497"/>
    </row>
    <row r="43" spans="1:14" s="331" customFormat="1" ht="26.9">
      <c r="B43" s="498" t="s">
        <v>182</v>
      </c>
      <c r="C43" s="498" t="s">
        <v>255</v>
      </c>
      <c r="D43" s="498" t="s">
        <v>184</v>
      </c>
      <c r="E43" s="498" t="s">
        <v>198</v>
      </c>
      <c r="F43" s="499" t="s">
        <v>197</v>
      </c>
      <c r="G43" s="437"/>
    </row>
    <row r="44" spans="1:14" s="331" customFormat="1">
      <c r="B44" s="500" t="s">
        <v>2479</v>
      </c>
      <c r="C44" s="501">
        <v>74118046</v>
      </c>
      <c r="D44" s="500" t="s">
        <v>2591</v>
      </c>
      <c r="E44" s="713" t="s">
        <v>2590</v>
      </c>
      <c r="F44" s="582">
        <v>480000</v>
      </c>
      <c r="G44" s="437"/>
      <c r="H44" s="331" t="s">
        <v>2815</v>
      </c>
    </row>
    <row r="45" spans="1:14" s="331" customFormat="1" ht="20.45">
      <c r="B45" s="500" t="s">
        <v>2478</v>
      </c>
      <c r="C45" s="501" t="s">
        <v>2759</v>
      </c>
      <c r="D45" s="500" t="s">
        <v>3188</v>
      </c>
      <c r="E45" s="500" t="s">
        <v>3166</v>
      </c>
      <c r="F45" s="582">
        <f>20000+20000+20000+18000+18000</f>
        <v>96000</v>
      </c>
      <c r="G45" s="437"/>
    </row>
    <row r="46" spans="1:14" s="331" customFormat="1">
      <c r="B46" s="500" t="s">
        <v>2989</v>
      </c>
      <c r="C46" s="501" t="s">
        <v>2990</v>
      </c>
      <c r="D46" s="500" t="s">
        <v>3032</v>
      </c>
      <c r="E46" s="500" t="s">
        <v>3031</v>
      </c>
      <c r="F46" s="582">
        <f>2300+266700</f>
        <v>269000</v>
      </c>
      <c r="G46" s="437"/>
    </row>
    <row r="47" spans="1:14" s="331" customFormat="1">
      <c r="B47" s="500" t="s">
        <v>3029</v>
      </c>
      <c r="C47" s="501" t="s">
        <v>3030</v>
      </c>
      <c r="D47" s="500" t="s">
        <v>3063</v>
      </c>
      <c r="E47" s="500" t="s">
        <v>3062</v>
      </c>
      <c r="F47" s="582">
        <v>20000</v>
      </c>
      <c r="G47" s="437"/>
    </row>
    <row r="48" spans="1:14" s="331" customFormat="1" ht="20.45">
      <c r="B48" s="500" t="s">
        <v>2912</v>
      </c>
      <c r="C48" s="501">
        <v>56668225</v>
      </c>
      <c r="D48" s="500" t="s">
        <v>3189</v>
      </c>
      <c r="E48" s="500" t="s">
        <v>3166</v>
      </c>
      <c r="F48" s="582">
        <f>40000+40000+40000+40000+40000</f>
        <v>200000</v>
      </c>
      <c r="G48" s="437"/>
    </row>
    <row r="49" spans="2:14" s="331" customFormat="1">
      <c r="B49" s="500" t="s">
        <v>2760</v>
      </c>
      <c r="C49" s="501">
        <v>89920584</v>
      </c>
      <c r="D49" s="500" t="s">
        <v>3180</v>
      </c>
      <c r="E49" s="500" t="s">
        <v>3064</v>
      </c>
      <c r="F49" s="582">
        <v>15000</v>
      </c>
      <c r="G49" s="437"/>
    </row>
    <row r="50" spans="2:14" s="331" customFormat="1">
      <c r="B50" s="500" t="s">
        <v>2991</v>
      </c>
      <c r="C50" s="501" t="s">
        <v>2992</v>
      </c>
      <c r="D50" s="500" t="s">
        <v>2993</v>
      </c>
      <c r="E50" s="500" t="s">
        <v>2988</v>
      </c>
      <c r="F50" s="582">
        <v>76950</v>
      </c>
      <c r="G50" s="437"/>
    </row>
    <row r="51" spans="2:14" s="331" customFormat="1">
      <c r="B51" s="500" t="s">
        <v>3033</v>
      </c>
      <c r="C51" s="501" t="s">
        <v>3034</v>
      </c>
      <c r="D51" s="500" t="s">
        <v>3035</v>
      </c>
      <c r="E51" s="500" t="s">
        <v>3036</v>
      </c>
      <c r="F51" s="582">
        <v>69000</v>
      </c>
      <c r="G51" s="437"/>
    </row>
    <row r="52" spans="2:14" s="331" customFormat="1">
      <c r="B52" s="500" t="s">
        <v>3185</v>
      </c>
      <c r="C52" s="501">
        <v>144733045</v>
      </c>
      <c r="D52" s="500" t="s">
        <v>3186</v>
      </c>
      <c r="E52" s="500" t="s">
        <v>3187</v>
      </c>
      <c r="F52" s="582">
        <v>5000</v>
      </c>
      <c r="G52" s="437"/>
    </row>
    <row r="53" spans="2:14" s="331" customFormat="1">
      <c r="B53" s="500" t="s">
        <v>3181</v>
      </c>
      <c r="C53" s="501" t="s">
        <v>3182</v>
      </c>
      <c r="D53" s="500" t="s">
        <v>3183</v>
      </c>
      <c r="E53" s="500" t="s">
        <v>3184</v>
      </c>
      <c r="F53" s="582">
        <v>317343</v>
      </c>
      <c r="G53" s="437"/>
    </row>
    <row r="54" spans="2:14" s="331" customFormat="1">
      <c r="B54" s="878" t="s">
        <v>186</v>
      </c>
      <c r="C54" s="878"/>
      <c r="D54" s="878"/>
      <c r="E54" s="878"/>
      <c r="F54" s="496">
        <f>SUM(F44:F53)</f>
        <v>1548293</v>
      </c>
      <c r="G54" s="737" t="s">
        <v>2430</v>
      </c>
    </row>
    <row r="55" spans="2:14" s="331" customFormat="1">
      <c r="B55" s="487"/>
      <c r="C55" s="487"/>
      <c r="D55" s="487"/>
      <c r="E55" s="488"/>
      <c r="F55" s="489"/>
      <c r="G55" s="475"/>
      <c r="H55" s="475"/>
      <c r="I55" s="475"/>
      <c r="J55" s="475"/>
      <c r="K55" s="475"/>
      <c r="L55" s="475"/>
      <c r="M55" s="475"/>
      <c r="N55" s="475"/>
    </row>
    <row r="56" spans="2:14" s="331" customFormat="1">
      <c r="B56" s="875" t="s">
        <v>453</v>
      </c>
      <c r="C56" s="876"/>
      <c r="D56" s="876"/>
      <c r="E56" s="876"/>
      <c r="F56" s="877"/>
      <c r="G56" s="502"/>
    </row>
    <row r="57" spans="2:14" s="331" customFormat="1" ht="26.9">
      <c r="B57" s="498" t="s">
        <v>182</v>
      </c>
      <c r="C57" s="498" t="s">
        <v>255</v>
      </c>
      <c r="D57" s="498" t="s">
        <v>184</v>
      </c>
      <c r="E57" s="498" t="s">
        <v>198</v>
      </c>
      <c r="F57" s="499" t="s">
        <v>197</v>
      </c>
      <c r="G57" s="502"/>
    </row>
    <row r="58" spans="2:14">
      <c r="B58" s="590" t="s">
        <v>2429</v>
      </c>
      <c r="C58" s="591" t="s">
        <v>2562</v>
      </c>
      <c r="D58" s="591"/>
      <c r="E58" s="590" t="s">
        <v>3166</v>
      </c>
      <c r="F58" s="592">
        <v>263120</v>
      </c>
    </row>
    <row r="59" spans="2:14">
      <c r="B59" s="878" t="s">
        <v>186</v>
      </c>
      <c r="C59" s="878"/>
      <c r="D59" s="878"/>
      <c r="E59" s="878"/>
      <c r="F59" s="496">
        <f>SUM(F58:F58)</f>
        <v>263120</v>
      </c>
      <c r="G59" s="736" t="s">
        <v>2430</v>
      </c>
    </row>
    <row r="60" spans="2:14">
      <c r="F60" s="593"/>
    </row>
  </sheetData>
  <autoFilter ref="B17:F35" xr:uid="{00000000-0001-0000-1000-000000000000}"/>
  <mergeCells count="10">
    <mergeCell ref="B56:F56"/>
    <mergeCell ref="B59:E59"/>
    <mergeCell ref="B1:F1"/>
    <mergeCell ref="B2:F2"/>
    <mergeCell ref="B3:F3"/>
    <mergeCell ref="B42:F42"/>
    <mergeCell ref="B54:E54"/>
    <mergeCell ref="B37:F37"/>
    <mergeCell ref="B40:E40"/>
    <mergeCell ref="B35:E35"/>
  </mergeCells>
  <phoneticPr fontId="40" type="noConversion"/>
  <hyperlinks>
    <hyperlink ref="A1" location="'Balance 8 Columnas'!A1" display="'Balance 8 Columnas'!A1" xr:uid="{069D0925-9E11-4319-95C3-D4FF7CAE464D}"/>
  </hyperlinks>
  <pageMargins left="0.70866141732283472" right="0.70866141732283472" top="0.74803149606299213" bottom="0.74803149606299213" header="0.31496062992125984" footer="0.31496062992125984"/>
  <pageSetup scale="5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7BCD-0D33-4252-AA02-B1C8A1E3D062}">
  <sheetPr codeName="Hoja23">
    <tabColor rgb="FF002060"/>
  </sheetPr>
  <dimension ref="A1:M23"/>
  <sheetViews>
    <sheetView showGridLines="0" zoomScale="90" zoomScaleNormal="90" zoomScaleSheetLayoutView="90" workbookViewId="0">
      <selection activeCell="J61" sqref="J61"/>
    </sheetView>
  </sheetViews>
  <sheetFormatPr baseColWidth="10" defaultColWidth="11.3984375" defaultRowHeight="14"/>
  <cols>
    <col min="1" max="1" width="6" style="158" customWidth="1"/>
    <col min="2" max="2" width="50.69921875" style="180" customWidth="1"/>
    <col min="3" max="3" width="23.69921875" style="180" customWidth="1"/>
    <col min="4" max="4" width="16" style="180" bestFit="1" customWidth="1"/>
    <col min="5" max="5" width="5.09765625" style="158" customWidth="1"/>
    <col min="6" max="6" width="13.09765625" style="158" bestFit="1" customWidth="1"/>
    <col min="7" max="7" width="14" style="158" customWidth="1"/>
    <col min="8" max="9" width="11.3984375" style="158"/>
    <col min="10" max="10" width="19.59765625" style="158" customWidth="1"/>
    <col min="11" max="16384" width="11.3984375" style="158"/>
  </cols>
  <sheetData>
    <row r="1" spans="1:13" s="80" customFormat="1" ht="20.95">
      <c r="A1" s="431" t="s">
        <v>590</v>
      </c>
      <c r="B1" s="810" t="s">
        <v>195</v>
      </c>
      <c r="C1" s="810"/>
      <c r="D1" s="810"/>
      <c r="E1" s="810"/>
      <c r="G1" s="147">
        <f ca="1">+C9-'Balance Clasificado'!D31</f>
        <v>0</v>
      </c>
    </row>
    <row r="2" spans="1:13" s="80" customFormat="1">
      <c r="B2" s="867" t="s">
        <v>530</v>
      </c>
      <c r="C2" s="867"/>
      <c r="D2" s="867"/>
      <c r="E2" s="867"/>
    </row>
    <row r="3" spans="1:13" s="80" customFormat="1">
      <c r="B3" s="867" t="str">
        <f>+'Activo fijo'!B3:G3</f>
        <v>Al 31 de enero de 2026</v>
      </c>
      <c r="C3" s="867"/>
      <c r="D3" s="867"/>
      <c r="E3" s="867"/>
    </row>
    <row r="6" spans="1:13">
      <c r="B6" s="179" t="s">
        <v>532</v>
      </c>
      <c r="I6" s="630"/>
      <c r="J6" s="630"/>
      <c r="K6" s="630"/>
      <c r="L6" s="630"/>
      <c r="M6" s="630"/>
    </row>
    <row r="7" spans="1:13">
      <c r="B7" s="72" t="s">
        <v>62</v>
      </c>
      <c r="C7" s="72" t="s">
        <v>153</v>
      </c>
      <c r="I7" s="630"/>
      <c r="J7" s="630"/>
      <c r="K7" s="630"/>
      <c r="L7" s="630"/>
      <c r="M7" s="630"/>
    </row>
    <row r="8" spans="1:13">
      <c r="B8" s="126" t="s">
        <v>30</v>
      </c>
      <c r="C8" s="143">
        <f>+D17</f>
        <v>9957035</v>
      </c>
      <c r="I8" s="630"/>
      <c r="J8" s="630"/>
      <c r="K8" s="630"/>
      <c r="L8" s="630"/>
      <c r="M8" s="630"/>
    </row>
    <row r="9" spans="1:13">
      <c r="B9" s="128" t="s">
        <v>531</v>
      </c>
      <c r="C9" s="129">
        <f>SUM(C8:C8)</f>
        <v>9957035</v>
      </c>
      <c r="D9" s="249"/>
      <c r="I9" s="630"/>
      <c r="J9" s="630">
        <v>60000</v>
      </c>
      <c r="K9" s="630"/>
      <c r="L9" s="630" t="s">
        <v>2732</v>
      </c>
      <c r="M9" s="630"/>
    </row>
    <row r="10" spans="1:13">
      <c r="I10" s="630"/>
      <c r="J10" s="630"/>
      <c r="K10" s="630">
        <v>527740</v>
      </c>
      <c r="L10" s="630" t="s">
        <v>2731</v>
      </c>
      <c r="M10" s="630"/>
    </row>
    <row r="11" spans="1:13">
      <c r="B11" s="179" t="s">
        <v>533</v>
      </c>
      <c r="I11" s="630"/>
      <c r="J11" s="630"/>
      <c r="K11" s="631">
        <v>1199754</v>
      </c>
      <c r="L11" s="630" t="s">
        <v>2729</v>
      </c>
      <c r="M11" s="630"/>
    </row>
    <row r="12" spans="1:13" ht="15.05" customHeight="1">
      <c r="B12" s="179"/>
      <c r="I12" s="630"/>
      <c r="J12" s="630">
        <f>430000+1340000+6000</f>
        <v>1776000</v>
      </c>
      <c r="K12" s="630"/>
      <c r="L12" s="630" t="s">
        <v>2730</v>
      </c>
      <c r="M12" s="630"/>
    </row>
    <row r="13" spans="1:13">
      <c r="B13" s="861" t="s">
        <v>30</v>
      </c>
      <c r="C13" s="862"/>
      <c r="D13" s="863"/>
      <c r="E13" s="390"/>
      <c r="F13" s="390"/>
      <c r="G13" s="390"/>
      <c r="H13" s="390"/>
      <c r="I13" s="630"/>
      <c r="J13" s="631">
        <f>10601190-10500427</f>
        <v>100763</v>
      </c>
      <c r="K13" s="630">
        <v>345951</v>
      </c>
      <c r="L13" s="630" t="s">
        <v>2728</v>
      </c>
      <c r="M13" s="630"/>
    </row>
    <row r="14" spans="1:13">
      <c r="B14" s="184" t="s">
        <v>145</v>
      </c>
      <c r="C14" s="184" t="s">
        <v>156</v>
      </c>
      <c r="D14" s="161" t="s">
        <v>167</v>
      </c>
      <c r="E14" s="288"/>
      <c r="F14" s="390"/>
      <c r="G14" s="390"/>
      <c r="H14" s="390"/>
      <c r="I14" s="630"/>
      <c r="J14" s="631">
        <f>11542154-11406776</f>
        <v>135378</v>
      </c>
      <c r="K14" s="630"/>
      <c r="L14" s="630" t="s">
        <v>2729</v>
      </c>
      <c r="M14" s="630"/>
    </row>
    <row r="15" spans="1:13">
      <c r="B15" s="159" t="s">
        <v>1902</v>
      </c>
      <c r="C15" s="166">
        <v>45057</v>
      </c>
      <c r="D15" s="248">
        <v>-6951819</v>
      </c>
      <c r="E15" s="390"/>
      <c r="F15" s="390"/>
      <c r="G15" s="390"/>
      <c r="H15" s="390"/>
      <c r="I15" s="630"/>
      <c r="J15" s="632">
        <f>SUM(J9:J14)</f>
        <v>2072141</v>
      </c>
      <c r="K15" s="632">
        <f>SUM(K10:K14)</f>
        <v>2073445</v>
      </c>
      <c r="L15" s="630" t="s">
        <v>2729</v>
      </c>
      <c r="M15" s="630"/>
    </row>
    <row r="16" spans="1:13">
      <c r="B16" s="159" t="s">
        <v>1731</v>
      </c>
      <c r="C16" s="166">
        <v>46053</v>
      </c>
      <c r="D16" s="248">
        <v>16908855</v>
      </c>
      <c r="E16" s="390"/>
      <c r="F16" s="390"/>
      <c r="G16" s="390"/>
      <c r="H16" s="390"/>
      <c r="I16" s="630"/>
      <c r="J16" s="630"/>
      <c r="K16" s="632">
        <f>J15-K15</f>
        <v>-1304</v>
      </c>
      <c r="L16" s="630"/>
      <c r="M16" s="630"/>
    </row>
    <row r="17" spans="2:13" ht="15.05" customHeight="1">
      <c r="B17" s="868" t="s">
        <v>178</v>
      </c>
      <c r="C17" s="869"/>
      <c r="D17" s="59">
        <f>SUM(D15:D16)-1</f>
        <v>9957035</v>
      </c>
      <c r="E17" s="390"/>
      <c r="F17" s="390"/>
      <c r="G17" s="390"/>
      <c r="H17" s="390"/>
      <c r="I17" s="630"/>
      <c r="J17" s="630"/>
      <c r="K17" s="630"/>
      <c r="L17" s="630"/>
      <c r="M17" s="630"/>
    </row>
    <row r="18" spans="2:13">
      <c r="B18" s="238"/>
      <c r="C18" s="238"/>
      <c r="D18" s="238"/>
      <c r="E18" s="390"/>
      <c r="F18" s="390"/>
      <c r="G18" s="390"/>
      <c r="H18" s="390"/>
      <c r="I18" s="630"/>
      <c r="J18" s="630"/>
      <c r="K18" s="630"/>
      <c r="L18" s="630"/>
      <c r="M18" s="630"/>
    </row>
    <row r="19" spans="2:13">
      <c r="F19" s="390"/>
      <c r="I19" s="630"/>
      <c r="J19" s="630"/>
      <c r="K19" s="630"/>
      <c r="L19" s="630"/>
      <c r="M19" s="630"/>
    </row>
    <row r="20" spans="2:13">
      <c r="I20" s="630"/>
      <c r="J20" s="630"/>
      <c r="K20" s="630"/>
      <c r="L20" s="630"/>
      <c r="M20" s="630"/>
    </row>
    <row r="21" spans="2:13">
      <c r="I21" s="630"/>
      <c r="J21" s="630"/>
      <c r="K21" s="630"/>
      <c r="L21" s="630"/>
      <c r="M21" s="630"/>
    </row>
    <row r="22" spans="2:13">
      <c r="I22" s="630"/>
      <c r="J22" s="630"/>
      <c r="K22" s="630"/>
      <c r="L22" s="630"/>
      <c r="M22" s="630"/>
    </row>
    <row r="23" spans="2:13">
      <c r="I23" s="630"/>
      <c r="J23" s="630"/>
      <c r="K23" s="630"/>
      <c r="L23" s="630"/>
      <c r="M23" s="630"/>
    </row>
  </sheetData>
  <mergeCells count="5">
    <mergeCell ref="B13:D13"/>
    <mergeCell ref="B17:C17"/>
    <mergeCell ref="B1:E1"/>
    <mergeCell ref="B2:E2"/>
    <mergeCell ref="B3:E3"/>
  </mergeCells>
  <hyperlinks>
    <hyperlink ref="A1" location="'Balance 8 Columnas'!A1" display="'Balance 8 Columnas'!A1" xr:uid="{A626C81B-8B8E-4278-8F9F-B725C72379B9}"/>
  </hyperlinks>
  <pageMargins left="0.70866141732283472" right="0.70866141732283472" top="0.74803149606299213" bottom="0.74803149606299213" header="0.31496062992125984" footer="0.31496062992125984"/>
  <pageSetup scale="59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4">
    <tabColor rgb="FF002060"/>
  </sheetPr>
  <dimension ref="A1:J78"/>
  <sheetViews>
    <sheetView zoomScale="90" zoomScaleNormal="90" workbookViewId="0">
      <selection activeCell="E47" sqref="E47"/>
    </sheetView>
  </sheetViews>
  <sheetFormatPr baseColWidth="10" defaultColWidth="14.3984375" defaultRowHeight="13.45"/>
  <cols>
    <col min="1" max="1" width="5.3984375" style="80" customWidth="1"/>
    <col min="2" max="2" width="16.8984375" style="138" customWidth="1"/>
    <col min="3" max="3" width="64.59765625" style="138" customWidth="1"/>
    <col min="4" max="4" width="13.69921875" style="80" customWidth="1"/>
    <col min="5" max="5" width="14" style="80" customWidth="1"/>
    <col min="6" max="6" width="11.3984375" style="80" customWidth="1"/>
    <col min="7" max="7" width="14.09765625" style="80" bestFit="1" customWidth="1"/>
    <col min="8" max="16384" width="14.3984375" style="80"/>
  </cols>
  <sheetData>
    <row r="1" spans="1:10" ht="20.95">
      <c r="A1" s="431" t="s">
        <v>590</v>
      </c>
      <c r="B1" s="810" t="s">
        <v>195</v>
      </c>
      <c r="C1" s="810"/>
      <c r="D1" s="810"/>
      <c r="E1" s="810"/>
      <c r="F1" s="225"/>
      <c r="G1" s="228">
        <f ca="1">+D10-'Balance Clasificado'!D33</f>
        <v>0</v>
      </c>
    </row>
    <row r="2" spans="1:10">
      <c r="B2" s="811" t="s">
        <v>538</v>
      </c>
      <c r="C2" s="811"/>
      <c r="D2" s="811"/>
      <c r="E2" s="811"/>
      <c r="F2" s="142"/>
      <c r="G2" s="142"/>
    </row>
    <row r="3" spans="1:10">
      <c r="B3" s="811" t="str">
        <f>+Carátula!A9</f>
        <v>Al 31 de enero de 2026</v>
      </c>
      <c r="C3" s="811"/>
      <c r="D3" s="811"/>
      <c r="E3" s="811"/>
      <c r="F3" s="142"/>
      <c r="G3" s="142"/>
    </row>
    <row r="4" spans="1:10">
      <c r="B4" s="78"/>
      <c r="C4" s="78"/>
      <c r="D4" s="78"/>
      <c r="E4" s="78"/>
      <c r="F4" s="78"/>
      <c r="G4" s="78"/>
    </row>
    <row r="5" spans="1:10">
      <c r="B5" s="97" t="s">
        <v>540</v>
      </c>
      <c r="C5" s="97"/>
      <c r="D5" s="78"/>
      <c r="E5" s="78"/>
      <c r="F5" s="78"/>
      <c r="G5" s="78"/>
    </row>
    <row r="6" spans="1:10" ht="15.75" customHeight="1">
      <c r="B6" s="871" t="s">
        <v>62</v>
      </c>
      <c r="C6" s="872"/>
      <c r="D6" s="72" t="s">
        <v>153</v>
      </c>
      <c r="E6" s="69"/>
      <c r="F6" s="78"/>
      <c r="G6" s="78"/>
    </row>
    <row r="7" spans="1:10" ht="15.05" customHeight="1">
      <c r="B7" s="873" t="s">
        <v>257</v>
      </c>
      <c r="C7" s="874"/>
      <c r="D7" s="127">
        <f>+E47</f>
        <v>79712038</v>
      </c>
      <c r="E7" s="596"/>
      <c r="F7" s="78"/>
      <c r="G7" s="78"/>
    </row>
    <row r="8" spans="1:10" ht="15.05" customHeight="1">
      <c r="B8" s="873" t="s">
        <v>32</v>
      </c>
      <c r="C8" s="874"/>
      <c r="D8" s="127">
        <f>+D65</f>
        <v>14126817</v>
      </c>
      <c r="E8" s="596"/>
      <c r="F8" s="78"/>
      <c r="G8" s="78"/>
    </row>
    <row r="9" spans="1:10" ht="15.05" customHeight="1">
      <c r="B9" s="873" t="s">
        <v>1561</v>
      </c>
      <c r="C9" s="874"/>
      <c r="D9" s="127">
        <f>+D71</f>
        <v>0</v>
      </c>
      <c r="E9" s="596"/>
      <c r="F9" s="78"/>
      <c r="G9" s="78"/>
    </row>
    <row r="10" spans="1:10">
      <c r="B10" s="884" t="s">
        <v>539</v>
      </c>
      <c r="C10" s="885"/>
      <c r="D10" s="129">
        <f>SUM(D7:D9)</f>
        <v>93838855</v>
      </c>
      <c r="E10" s="226"/>
      <c r="F10" s="78"/>
      <c r="G10" s="78"/>
    </row>
    <row r="11" spans="1:10">
      <c r="B11" s="78"/>
      <c r="C11" s="78"/>
      <c r="D11" s="78"/>
      <c r="E11" s="78"/>
      <c r="F11" s="78"/>
      <c r="G11" s="78"/>
    </row>
    <row r="12" spans="1:10">
      <c r="B12" s="97" t="s">
        <v>541</v>
      </c>
      <c r="C12" s="97"/>
      <c r="D12" s="78"/>
      <c r="E12" s="78"/>
      <c r="F12" s="78"/>
      <c r="G12" s="78"/>
    </row>
    <row r="13" spans="1:10" ht="15.75" customHeight="1">
      <c r="B13" s="78"/>
      <c r="C13" s="78"/>
      <c r="D13" s="78"/>
      <c r="E13" s="78"/>
      <c r="F13" s="78"/>
    </row>
    <row r="14" spans="1:10" ht="15.75" customHeight="1">
      <c r="B14" s="861" t="s">
        <v>257</v>
      </c>
      <c r="C14" s="862"/>
      <c r="D14" s="862"/>
      <c r="E14" s="863"/>
    </row>
    <row r="15" spans="1:10" ht="15.75" customHeight="1">
      <c r="B15" s="377" t="s">
        <v>156</v>
      </c>
      <c r="C15" s="378" t="s">
        <v>202</v>
      </c>
      <c r="D15" s="378" t="s">
        <v>255</v>
      </c>
      <c r="E15" s="164" t="s">
        <v>167</v>
      </c>
      <c r="F15" s="600"/>
    </row>
    <row r="16" spans="1:10">
      <c r="B16" s="133">
        <v>46022</v>
      </c>
      <c r="C16" s="607" t="s">
        <v>3130</v>
      </c>
      <c r="D16" s="608" t="s">
        <v>3131</v>
      </c>
      <c r="E16" s="758">
        <v>4000000</v>
      </c>
      <c r="F16" s="599"/>
      <c r="G16" s="623"/>
      <c r="J16" s="598"/>
    </row>
    <row r="17" spans="2:10">
      <c r="B17" s="133">
        <v>46053</v>
      </c>
      <c r="C17" s="607" t="s">
        <v>3202</v>
      </c>
      <c r="D17" s="608" t="s">
        <v>1844</v>
      </c>
      <c r="E17" s="602">
        <v>159232</v>
      </c>
      <c r="F17" s="599"/>
      <c r="G17" s="623"/>
      <c r="J17" s="598"/>
    </row>
    <row r="18" spans="2:10">
      <c r="B18" s="133">
        <v>45657</v>
      </c>
      <c r="C18" s="607" t="s">
        <v>2727</v>
      </c>
      <c r="D18" s="608" t="s">
        <v>2482</v>
      </c>
      <c r="E18" s="714">
        <f>41881933-16806723</f>
        <v>25075210</v>
      </c>
      <c r="F18" s="599"/>
      <c r="G18" s="623" t="s">
        <v>3140</v>
      </c>
      <c r="J18" s="598"/>
    </row>
    <row r="19" spans="2:10">
      <c r="B19" s="133">
        <v>46022</v>
      </c>
      <c r="C19" s="607" t="s">
        <v>3111</v>
      </c>
      <c r="D19" s="608" t="s">
        <v>3112</v>
      </c>
      <c r="E19" s="758">
        <v>530019</v>
      </c>
      <c r="F19" s="599"/>
      <c r="G19" s="623"/>
      <c r="J19" s="598"/>
    </row>
    <row r="20" spans="2:10">
      <c r="B20" s="133">
        <v>46022</v>
      </c>
      <c r="C20" s="607" t="s">
        <v>3113</v>
      </c>
      <c r="D20" s="608" t="s">
        <v>2882</v>
      </c>
      <c r="E20" s="758">
        <v>879186</v>
      </c>
      <c r="F20" s="599"/>
      <c r="G20" s="623"/>
      <c r="J20" s="598"/>
    </row>
    <row r="21" spans="2:10">
      <c r="B21" s="133">
        <v>46022</v>
      </c>
      <c r="C21" s="607" t="s">
        <v>3128</v>
      </c>
      <c r="D21" s="608" t="s">
        <v>2882</v>
      </c>
      <c r="E21" s="758">
        <v>3307156</v>
      </c>
      <c r="F21" s="599"/>
      <c r="G21" s="623"/>
      <c r="J21" s="598"/>
    </row>
    <row r="22" spans="2:10">
      <c r="B22" s="133">
        <v>46022</v>
      </c>
      <c r="C22" s="607" t="s">
        <v>3114</v>
      </c>
      <c r="D22" s="608" t="s">
        <v>2059</v>
      </c>
      <c r="E22" s="758">
        <v>250000</v>
      </c>
      <c r="F22" s="599"/>
      <c r="G22" s="623"/>
      <c r="J22" s="598"/>
    </row>
    <row r="23" spans="2:10">
      <c r="B23" s="133">
        <v>46022</v>
      </c>
      <c r="C23" s="607" t="s">
        <v>3129</v>
      </c>
      <c r="D23" s="608" t="s">
        <v>2059</v>
      </c>
      <c r="E23" s="758">
        <v>844113</v>
      </c>
      <c r="F23" s="599"/>
      <c r="G23" s="623"/>
      <c r="J23" s="598"/>
    </row>
    <row r="24" spans="2:10">
      <c r="B24" s="133">
        <v>45657</v>
      </c>
      <c r="C24" s="607" t="s">
        <v>2359</v>
      </c>
      <c r="D24" s="608" t="s">
        <v>2483</v>
      </c>
      <c r="E24" s="714">
        <v>335999</v>
      </c>
      <c r="F24" s="599"/>
      <c r="G24" s="623" t="s">
        <v>2679</v>
      </c>
      <c r="J24" s="598"/>
    </row>
    <row r="25" spans="2:10">
      <c r="B25" s="133">
        <v>46022</v>
      </c>
      <c r="C25" s="607" t="s">
        <v>3115</v>
      </c>
      <c r="D25" s="608" t="s">
        <v>3116</v>
      </c>
      <c r="E25" s="602">
        <v>325000</v>
      </c>
      <c r="F25" s="599"/>
      <c r="G25" s="623"/>
      <c r="J25" s="598"/>
    </row>
    <row r="26" spans="2:10">
      <c r="B26" s="133">
        <v>46053</v>
      </c>
      <c r="C26" s="607" t="s">
        <v>3203</v>
      </c>
      <c r="D26" s="608" t="s">
        <v>3204</v>
      </c>
      <c r="E26" s="602">
        <v>588258</v>
      </c>
      <c r="F26" s="599"/>
      <c r="G26" s="623"/>
      <c r="J26" s="598"/>
    </row>
    <row r="27" spans="2:10">
      <c r="B27" s="133">
        <v>46022</v>
      </c>
      <c r="C27" s="607" t="s">
        <v>3132</v>
      </c>
      <c r="D27" s="608" t="s">
        <v>3133</v>
      </c>
      <c r="E27" s="602">
        <v>104665</v>
      </c>
      <c r="F27" s="599"/>
      <c r="G27" s="623"/>
      <c r="J27" s="598"/>
    </row>
    <row r="28" spans="2:10">
      <c r="B28" s="133">
        <v>46053</v>
      </c>
      <c r="C28" s="607" t="s">
        <v>3132</v>
      </c>
      <c r="D28" s="608" t="s">
        <v>3133</v>
      </c>
      <c r="E28" s="602">
        <v>104803</v>
      </c>
      <c r="F28" s="599"/>
      <c r="G28" s="623"/>
      <c r="J28" s="598"/>
    </row>
    <row r="29" spans="2:10">
      <c r="B29" s="133">
        <v>46053</v>
      </c>
      <c r="C29" s="607" t="s">
        <v>3003</v>
      </c>
      <c r="D29" s="608" t="s">
        <v>3037</v>
      </c>
      <c r="E29" s="602">
        <v>1097655</v>
      </c>
      <c r="F29" s="599"/>
      <c r="G29" s="623"/>
      <c r="J29" s="598"/>
    </row>
    <row r="30" spans="2:10">
      <c r="B30" s="133">
        <v>46053</v>
      </c>
      <c r="C30" s="607" t="s">
        <v>3038</v>
      </c>
      <c r="D30" s="608" t="s">
        <v>2562</v>
      </c>
      <c r="E30" s="602">
        <v>315744</v>
      </c>
      <c r="F30" s="599"/>
      <c r="G30" s="623"/>
      <c r="J30" s="598"/>
    </row>
    <row r="31" spans="2:10">
      <c r="B31" s="133">
        <v>46022</v>
      </c>
      <c r="C31" s="607" t="s">
        <v>3117</v>
      </c>
      <c r="D31" s="608" t="s">
        <v>2423</v>
      </c>
      <c r="E31" s="602">
        <f>8000000-5072199-1716000</f>
        <v>1211801</v>
      </c>
      <c r="F31" s="599"/>
      <c r="G31" s="623"/>
      <c r="J31" s="598"/>
    </row>
    <row r="32" spans="2:10">
      <c r="B32" s="133">
        <v>46022</v>
      </c>
      <c r="C32" s="607" t="s">
        <v>3118</v>
      </c>
      <c r="D32" s="608" t="s">
        <v>2423</v>
      </c>
      <c r="E32" s="602">
        <v>11392785</v>
      </c>
      <c r="F32" s="599"/>
      <c r="G32" s="623"/>
      <c r="J32" s="598"/>
    </row>
    <row r="33" spans="2:10">
      <c r="B33" s="133">
        <v>46053</v>
      </c>
      <c r="C33" s="607" t="s">
        <v>3205</v>
      </c>
      <c r="D33" s="608" t="s">
        <v>2423</v>
      </c>
      <c r="E33" s="602">
        <f>408370+57384+69714+69714+269237+331316+41773+25545</f>
        <v>1273053</v>
      </c>
      <c r="F33" s="599"/>
      <c r="G33" s="623"/>
      <c r="J33" s="598"/>
    </row>
    <row r="34" spans="2:10">
      <c r="B34" s="133">
        <v>46022</v>
      </c>
      <c r="C34" s="607" t="s">
        <v>3144</v>
      </c>
      <c r="D34" s="608" t="s">
        <v>2423</v>
      </c>
      <c r="E34" s="602">
        <v>18619324</v>
      </c>
      <c r="F34" s="599"/>
      <c r="G34" s="623"/>
      <c r="J34" s="598"/>
    </row>
    <row r="35" spans="2:10">
      <c r="B35" s="133">
        <v>46022</v>
      </c>
      <c r="C35" s="607" t="s">
        <v>3119</v>
      </c>
      <c r="D35" s="608" t="s">
        <v>3120</v>
      </c>
      <c r="E35" s="602">
        <v>2673426</v>
      </c>
      <c r="F35" s="599"/>
      <c r="G35" s="623"/>
      <c r="J35" s="598"/>
    </row>
    <row r="36" spans="2:10">
      <c r="B36" s="133">
        <v>46022</v>
      </c>
      <c r="C36" s="607" t="s">
        <v>3134</v>
      </c>
      <c r="D36" s="608" t="s">
        <v>3135</v>
      </c>
      <c r="E36" s="602">
        <v>4000000</v>
      </c>
      <c r="F36" s="599"/>
      <c r="G36" s="623"/>
      <c r="J36" s="598"/>
    </row>
    <row r="37" spans="2:10">
      <c r="B37" s="133">
        <v>46053</v>
      </c>
      <c r="C37" s="607" t="s">
        <v>3206</v>
      </c>
      <c r="D37" s="608" t="s">
        <v>3207</v>
      </c>
      <c r="E37" s="602">
        <v>500000</v>
      </c>
      <c r="F37" s="599"/>
      <c r="G37" s="623"/>
      <c r="J37" s="598"/>
    </row>
    <row r="38" spans="2:10">
      <c r="B38" s="133">
        <v>46053</v>
      </c>
      <c r="C38" s="607" t="s">
        <v>3208</v>
      </c>
      <c r="D38" s="608" t="s">
        <v>3209</v>
      </c>
      <c r="E38" s="602">
        <v>131229</v>
      </c>
      <c r="F38" s="599"/>
      <c r="G38" s="623"/>
      <c r="J38" s="598"/>
    </row>
    <row r="39" spans="2:10">
      <c r="B39" s="133">
        <v>46053</v>
      </c>
      <c r="C39" s="607" t="s">
        <v>3210</v>
      </c>
      <c r="D39" s="608" t="s">
        <v>3211</v>
      </c>
      <c r="E39" s="602">
        <v>539421</v>
      </c>
      <c r="F39" s="599"/>
      <c r="G39" s="623"/>
      <c r="J39" s="598"/>
    </row>
    <row r="40" spans="2:10">
      <c r="B40" s="133">
        <v>46022</v>
      </c>
      <c r="C40" s="607" t="s">
        <v>3121</v>
      </c>
      <c r="D40" s="608" t="s">
        <v>3122</v>
      </c>
      <c r="E40" s="602">
        <v>192277</v>
      </c>
      <c r="F40" s="599"/>
      <c r="G40" s="623"/>
      <c r="J40" s="598"/>
    </row>
    <row r="41" spans="2:10">
      <c r="B41" s="133">
        <v>46022</v>
      </c>
      <c r="C41" s="607" t="s">
        <v>2666</v>
      </c>
      <c r="D41" s="608" t="s">
        <v>2481</v>
      </c>
      <c r="E41" s="602">
        <f>1653696-798427</f>
        <v>855269</v>
      </c>
      <c r="F41" s="599"/>
      <c r="G41" s="623"/>
      <c r="J41" s="598"/>
    </row>
    <row r="42" spans="2:10">
      <c r="B42" s="133">
        <v>46053</v>
      </c>
      <c r="C42" s="607" t="s">
        <v>3212</v>
      </c>
      <c r="D42" s="608" t="s">
        <v>3213</v>
      </c>
      <c r="E42" s="602">
        <v>55000</v>
      </c>
      <c r="F42" s="599"/>
      <c r="G42" s="623"/>
      <c r="J42" s="598"/>
    </row>
    <row r="43" spans="2:10">
      <c r="B43" s="133">
        <v>46022</v>
      </c>
      <c r="C43" s="607" t="s">
        <v>3123</v>
      </c>
      <c r="D43" s="608" t="s">
        <v>3124</v>
      </c>
      <c r="E43" s="602">
        <v>197372</v>
      </c>
      <c r="F43" s="599"/>
      <c r="G43" s="623"/>
      <c r="J43" s="598"/>
    </row>
    <row r="44" spans="2:10">
      <c r="B44" s="133">
        <v>46053</v>
      </c>
      <c r="C44" s="607" t="s">
        <v>3235</v>
      </c>
      <c r="D44" s="608" t="s">
        <v>2480</v>
      </c>
      <c r="E44" s="602">
        <v>1379880</v>
      </c>
      <c r="F44" s="599"/>
      <c r="G44" s="623"/>
      <c r="I44" s="135"/>
      <c r="J44" s="598"/>
    </row>
    <row r="45" spans="2:10">
      <c r="B45" s="133">
        <v>46053</v>
      </c>
      <c r="C45" s="607" t="s">
        <v>3214</v>
      </c>
      <c r="D45" s="608" t="s">
        <v>3215</v>
      </c>
      <c r="E45" s="602">
        <f>309353+240608</f>
        <v>549961</v>
      </c>
      <c r="F45" s="599"/>
      <c r="G45" s="623"/>
      <c r="I45" s="135"/>
      <c r="J45" s="598"/>
    </row>
    <row r="46" spans="2:10">
      <c r="B46" s="133">
        <v>46053</v>
      </c>
      <c r="C46" s="607" t="s">
        <v>3238</v>
      </c>
      <c r="D46" s="608" t="s">
        <v>2423</v>
      </c>
      <c r="E46" s="602">
        <v>-1775800</v>
      </c>
      <c r="F46" s="599"/>
      <c r="G46" s="623"/>
      <c r="I46" s="135"/>
      <c r="J46" s="598"/>
    </row>
    <row r="47" spans="2:10">
      <c r="B47" s="879" t="s">
        <v>178</v>
      </c>
      <c r="C47" s="880"/>
      <c r="D47" s="881"/>
      <c r="E47" s="609">
        <f>SUM(E16:E46)</f>
        <v>79712038</v>
      </c>
      <c r="F47" s="739" t="s">
        <v>2430</v>
      </c>
      <c r="G47" s="638"/>
      <c r="H47" s="638"/>
      <c r="I47" s="589"/>
      <c r="J47" s="267"/>
    </row>
    <row r="48" spans="2:10">
      <c r="D48" s="605"/>
      <c r="E48" s="135"/>
    </row>
    <row r="49" spans="2:8">
      <c r="D49" s="606"/>
      <c r="E49" s="135"/>
    </row>
    <row r="50" spans="2:8">
      <c r="B50" s="861" t="s">
        <v>32</v>
      </c>
      <c r="C50" s="862"/>
      <c r="D50" s="862"/>
      <c r="E50" s="601"/>
      <c r="G50" s="135"/>
    </row>
    <row r="51" spans="2:8">
      <c r="B51" s="184" t="s">
        <v>145</v>
      </c>
      <c r="C51" s="184" t="s">
        <v>156</v>
      </c>
      <c r="D51" s="161" t="s">
        <v>167</v>
      </c>
      <c r="E51" s="597"/>
      <c r="H51" s="267"/>
    </row>
    <row r="52" spans="2:8">
      <c r="B52" s="379">
        <v>45961</v>
      </c>
      <c r="C52" s="185" t="s">
        <v>3167</v>
      </c>
      <c r="D52" s="248">
        <f>9059772-141393-8658231</f>
        <v>260148</v>
      </c>
      <c r="E52" s="597"/>
    </row>
    <row r="53" spans="2:8">
      <c r="B53" s="379">
        <v>46053</v>
      </c>
      <c r="C53" s="185" t="s">
        <v>3167</v>
      </c>
      <c r="D53" s="248">
        <v>13505</v>
      </c>
      <c r="E53" s="597"/>
    </row>
    <row r="54" spans="2:8">
      <c r="B54" s="379">
        <v>46053</v>
      </c>
      <c r="C54" s="185" t="s">
        <v>3168</v>
      </c>
      <c r="D54" s="248">
        <v>13506</v>
      </c>
      <c r="E54" s="597"/>
    </row>
    <row r="55" spans="2:8">
      <c r="B55" s="379">
        <v>46053</v>
      </c>
      <c r="C55" s="185" t="s">
        <v>2555</v>
      </c>
      <c r="D55" s="248">
        <v>1741504</v>
      </c>
      <c r="E55" s="597"/>
    </row>
    <row r="56" spans="2:8">
      <c r="B56" s="379">
        <v>46053</v>
      </c>
      <c r="C56" s="185" t="s">
        <v>2556</v>
      </c>
      <c r="D56" s="248">
        <v>2229165</v>
      </c>
      <c r="E56" s="597"/>
    </row>
    <row r="57" spans="2:8">
      <c r="B57" s="379">
        <v>46053</v>
      </c>
      <c r="C57" s="185" t="s">
        <v>2557</v>
      </c>
      <c r="D57" s="248">
        <v>2320870</v>
      </c>
      <c r="E57" s="597"/>
    </row>
    <row r="58" spans="2:8">
      <c r="B58" s="379">
        <v>46053</v>
      </c>
      <c r="C58" s="185" t="s">
        <v>2558</v>
      </c>
      <c r="D58" s="248">
        <v>1270111</v>
      </c>
      <c r="E58" s="597"/>
    </row>
    <row r="59" spans="2:8">
      <c r="B59" s="379">
        <v>46053</v>
      </c>
      <c r="C59" s="185" t="s">
        <v>2559</v>
      </c>
      <c r="D59" s="248">
        <v>2462517</v>
      </c>
      <c r="E59" s="597"/>
    </row>
    <row r="60" spans="2:8">
      <c r="B60" s="379">
        <v>46053</v>
      </c>
      <c r="C60" s="185" t="s">
        <v>1207</v>
      </c>
      <c r="D60" s="248">
        <f>88236+274865</f>
        <v>363101</v>
      </c>
      <c r="E60" s="597"/>
    </row>
    <row r="61" spans="2:8">
      <c r="B61" s="379">
        <v>46053</v>
      </c>
      <c r="C61" s="185" t="s">
        <v>2560</v>
      </c>
      <c r="D61" s="248">
        <v>841502</v>
      </c>
      <c r="E61" s="597"/>
    </row>
    <row r="62" spans="2:8">
      <c r="B62" s="379">
        <v>46053</v>
      </c>
      <c r="C62" s="185" t="s">
        <v>2561</v>
      </c>
      <c r="D62" s="248">
        <v>725839</v>
      </c>
      <c r="E62" s="597"/>
    </row>
    <row r="63" spans="2:8">
      <c r="B63" s="379">
        <v>46053</v>
      </c>
      <c r="C63" s="185" t="s">
        <v>2960</v>
      </c>
      <c r="D63" s="248">
        <v>1785049</v>
      </c>
      <c r="E63" s="597"/>
    </row>
    <row r="64" spans="2:8">
      <c r="B64" s="379">
        <v>46053</v>
      </c>
      <c r="C64" s="185" t="s">
        <v>2961</v>
      </c>
      <c r="D64" s="248">
        <v>100000</v>
      </c>
      <c r="E64" s="597"/>
    </row>
    <row r="65" spans="2:9">
      <c r="B65" s="868" t="s">
        <v>178</v>
      </c>
      <c r="C65" s="869"/>
      <c r="D65" s="59">
        <f>SUM(D52:D64)</f>
        <v>14126817</v>
      </c>
      <c r="E65" s="738" t="s">
        <v>2430</v>
      </c>
      <c r="F65" s="147"/>
      <c r="G65" s="147"/>
    </row>
    <row r="66" spans="2:9">
      <c r="B66" s="80"/>
      <c r="C66" s="80"/>
      <c r="D66" s="147"/>
      <c r="E66" s="597"/>
    </row>
    <row r="67" spans="2:9">
      <c r="E67" s="597"/>
    </row>
    <row r="68" spans="2:9" ht="15.75" hidden="1" customHeight="1">
      <c r="B68" s="861" t="str">
        <f>+B9</f>
        <v>FINIQUITOS POR PAGAR</v>
      </c>
      <c r="C68" s="862"/>
      <c r="D68" s="863"/>
      <c r="E68" s="597"/>
    </row>
    <row r="69" spans="2:9" ht="15.75" hidden="1" customHeight="1">
      <c r="B69" s="377" t="s">
        <v>156</v>
      </c>
      <c r="C69" s="378" t="s">
        <v>202</v>
      </c>
      <c r="D69" s="160" t="s">
        <v>167</v>
      </c>
      <c r="E69" s="597"/>
    </row>
    <row r="70" spans="2:9" hidden="1">
      <c r="B70" s="379"/>
      <c r="C70" s="406"/>
      <c r="D70" s="60"/>
      <c r="E70" s="597"/>
      <c r="I70" s="267"/>
    </row>
    <row r="71" spans="2:9" hidden="1">
      <c r="B71" s="882" t="s">
        <v>178</v>
      </c>
      <c r="C71" s="883"/>
      <c r="D71" s="285">
        <f>SUM(D70:D70)</f>
        <v>0</v>
      </c>
      <c r="E71" s="597"/>
    </row>
    <row r="72" spans="2:9" hidden="1">
      <c r="E72" s="597"/>
    </row>
    <row r="73" spans="2:9">
      <c r="E73" s="597"/>
    </row>
    <row r="74" spans="2:9">
      <c r="E74" s="597"/>
    </row>
    <row r="75" spans="2:9">
      <c r="E75" s="597"/>
    </row>
    <row r="76" spans="2:9">
      <c r="E76" s="597"/>
    </row>
    <row r="77" spans="2:9">
      <c r="E77" s="597"/>
    </row>
    <row r="78" spans="2:9">
      <c r="E78" s="597"/>
    </row>
  </sheetData>
  <mergeCells count="14">
    <mergeCell ref="B71:C71"/>
    <mergeCell ref="B6:C6"/>
    <mergeCell ref="B9:C9"/>
    <mergeCell ref="B10:C10"/>
    <mergeCell ref="B7:C7"/>
    <mergeCell ref="B8:C8"/>
    <mergeCell ref="B50:D50"/>
    <mergeCell ref="B65:C65"/>
    <mergeCell ref="B14:E14"/>
    <mergeCell ref="B1:E1"/>
    <mergeCell ref="B2:E2"/>
    <mergeCell ref="B3:E3"/>
    <mergeCell ref="B47:D47"/>
    <mergeCell ref="B68:D68"/>
  </mergeCells>
  <phoneticPr fontId="40" type="noConversion"/>
  <hyperlinks>
    <hyperlink ref="A1" location="'Balance 8 Columnas'!A1" display="'Balance 8 Columnas'!A1" xr:uid="{F7F37645-DF5C-4DCB-ACB1-B2F2ED838F6A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5">
    <tabColor rgb="FF002060"/>
  </sheetPr>
  <dimension ref="A1:G13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6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1:7" ht="20.95">
      <c r="A1" s="431" t="s">
        <v>590</v>
      </c>
      <c r="B1" s="810" t="s">
        <v>195</v>
      </c>
      <c r="C1" s="810"/>
      <c r="D1" s="810"/>
      <c r="F1" s="147">
        <f ca="1">+C8-'Balance Clasificado'!D34</f>
        <v>0</v>
      </c>
    </row>
    <row r="2" spans="1:7">
      <c r="B2" s="811" t="s">
        <v>542</v>
      </c>
      <c r="C2" s="811"/>
      <c r="D2" s="811"/>
    </row>
    <row r="3" spans="1:7">
      <c r="B3" s="811" t="str">
        <f>+Carátula!A9</f>
        <v>Al 31 de enero de 2026</v>
      </c>
      <c r="C3" s="811"/>
      <c r="D3" s="811"/>
    </row>
    <row r="4" spans="1:7">
      <c r="B4" s="78"/>
      <c r="C4" s="78"/>
      <c r="D4" s="78"/>
    </row>
    <row r="5" spans="1:7">
      <c r="B5" s="97" t="s">
        <v>103</v>
      </c>
      <c r="C5" s="78"/>
      <c r="D5" s="78"/>
    </row>
    <row r="6" spans="1:7">
      <c r="B6" s="72" t="s">
        <v>62</v>
      </c>
      <c r="C6" s="72" t="s">
        <v>153</v>
      </c>
      <c r="D6" s="78"/>
    </row>
    <row r="7" spans="1:7">
      <c r="B7" s="126" t="s">
        <v>201</v>
      </c>
      <c r="C7" s="127">
        <f>$D$13</f>
        <v>958952</v>
      </c>
      <c r="D7" s="78"/>
    </row>
    <row r="8" spans="1:7">
      <c r="B8" s="128" t="s">
        <v>543</v>
      </c>
      <c r="C8" s="129">
        <f>SUM(C7:C7)</f>
        <v>958952</v>
      </c>
      <c r="D8" s="78"/>
    </row>
    <row r="9" spans="1:7">
      <c r="B9" s="78"/>
      <c r="C9" s="78"/>
      <c r="D9" s="78"/>
    </row>
    <row r="10" spans="1:7" ht="15.75" customHeight="1">
      <c r="B10" s="866" t="s">
        <v>201</v>
      </c>
      <c r="C10" s="866"/>
      <c r="D10" s="866"/>
    </row>
    <row r="11" spans="1:7" ht="15.75" customHeight="1">
      <c r="B11" s="822" t="s">
        <v>202</v>
      </c>
      <c r="C11" s="823"/>
      <c r="D11" s="132" t="s">
        <v>157</v>
      </c>
    </row>
    <row r="12" spans="1:7" ht="15.75" customHeight="1">
      <c r="B12" s="166" t="s">
        <v>3190</v>
      </c>
      <c r="C12" s="134"/>
      <c r="D12" s="60">
        <v>958952</v>
      </c>
    </row>
    <row r="13" spans="1:7" ht="15.75" customHeight="1">
      <c r="B13" s="820" t="s">
        <v>178</v>
      </c>
      <c r="C13" s="820"/>
      <c r="D13" s="59">
        <f>SUM(D12:D12)</f>
        <v>958952</v>
      </c>
      <c r="G13" s="121"/>
    </row>
  </sheetData>
  <mergeCells count="6">
    <mergeCell ref="B1:D1"/>
    <mergeCell ref="B2:D2"/>
    <mergeCell ref="B3:D3"/>
    <mergeCell ref="B11:C11"/>
    <mergeCell ref="B13:C13"/>
    <mergeCell ref="B10:D10"/>
  </mergeCells>
  <hyperlinks>
    <hyperlink ref="A1" location="'Balance 8 Columnas'!A1" display="'Balance 8 Columnas'!A1" xr:uid="{C946A64B-2C8B-495B-9D3D-4279785185B3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7102-4E21-42DF-AB74-F76F31BCEC1E}">
  <sheetPr codeName="Hoja26">
    <tabColor theme="4" tint="0.79998168889431442"/>
  </sheetPr>
  <dimension ref="A1:U11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5.796875" style="138" bestFit="1" customWidth="1"/>
    <col min="4" max="4" width="11.296875" style="387" bestFit="1" customWidth="1"/>
    <col min="5" max="6" width="12.3984375" style="80" bestFit="1" customWidth="1"/>
    <col min="7" max="7" width="15" style="80" customWidth="1"/>
    <col min="8" max="10" width="14.3984375" style="293"/>
    <col min="11" max="20" width="14.3984375" style="80"/>
    <col min="21" max="21" width="14.3984375" style="293"/>
    <col min="22" max="16384" width="14.3984375" style="80"/>
  </cols>
  <sheetData>
    <row r="1" spans="1:21" ht="20.95">
      <c r="A1" s="431" t="s">
        <v>590</v>
      </c>
      <c r="B1" s="849" t="s">
        <v>195</v>
      </c>
      <c r="C1" s="849"/>
      <c r="D1" s="849"/>
      <c r="E1" s="849"/>
      <c r="F1" s="225"/>
      <c r="G1" s="225"/>
      <c r="J1" s="332">
        <f>E11-'Balance 8 Columnas'!J109</f>
        <v>0</v>
      </c>
      <c r="K1" s="440" t="s">
        <v>811</v>
      </c>
    </row>
    <row r="2" spans="1:21">
      <c r="B2" s="811" t="s">
        <v>438</v>
      </c>
      <c r="C2" s="811"/>
      <c r="D2" s="811"/>
      <c r="E2" s="811"/>
      <c r="F2" s="142"/>
      <c r="G2" s="142"/>
      <c r="H2" s="294"/>
    </row>
    <row r="3" spans="1:21">
      <c r="B3" s="821" t="str">
        <f>+'Deudores Diversos'!B3:F3</f>
        <v>Al 31 de enero de 2026</v>
      </c>
      <c r="C3" s="821"/>
      <c r="D3" s="821"/>
      <c r="E3" s="821"/>
      <c r="F3" s="142"/>
      <c r="G3" s="142"/>
    </row>
    <row r="4" spans="1:21">
      <c r="B4" s="78"/>
      <c r="C4" s="78"/>
      <c r="D4" s="383"/>
      <c r="E4" s="78"/>
      <c r="F4" s="78"/>
      <c r="G4" s="78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</row>
    <row r="5" spans="1:21">
      <c r="B5" s="97" t="s">
        <v>54</v>
      </c>
      <c r="C5" s="97"/>
      <c r="D5" s="384"/>
      <c r="E5" s="78"/>
      <c r="F5" s="78"/>
      <c r="G5" s="78"/>
      <c r="I5" s="306"/>
      <c r="J5" s="312"/>
      <c r="K5" s="312"/>
      <c r="L5" s="312"/>
      <c r="M5" s="312"/>
      <c r="N5" s="312"/>
      <c r="O5" s="312"/>
      <c r="P5" s="312"/>
      <c r="Q5" s="312"/>
      <c r="R5" s="312"/>
      <c r="S5" s="306"/>
      <c r="T5" s="306"/>
    </row>
    <row r="6" spans="1:21" ht="14">
      <c r="B6" s="72" t="s">
        <v>183</v>
      </c>
      <c r="C6" s="72" t="s">
        <v>437</v>
      </c>
      <c r="D6" s="385" t="s">
        <v>156</v>
      </c>
      <c r="E6" s="72" t="s">
        <v>153</v>
      </c>
      <c r="G6" s="78"/>
      <c r="H6" s="295"/>
      <c r="I6" s="80"/>
      <c r="J6" s="312"/>
      <c r="K6" s="312"/>
      <c r="L6" s="312"/>
      <c r="M6" s="312"/>
      <c r="N6" s="312"/>
      <c r="O6" s="312"/>
      <c r="P6" s="312"/>
      <c r="Q6" s="312"/>
      <c r="R6" s="312"/>
      <c r="T6" s="306"/>
    </row>
    <row r="7" spans="1:21" ht="12.8" customHeight="1">
      <c r="B7" s="126" t="s">
        <v>3191</v>
      </c>
      <c r="C7" s="126" t="s">
        <v>3192</v>
      </c>
      <c r="D7" s="386">
        <v>46036</v>
      </c>
      <c r="E7" s="143">
        <v>88496</v>
      </c>
      <c r="F7" s="381"/>
      <c r="G7" s="293"/>
      <c r="H7" s="80"/>
      <c r="I7" s="312"/>
      <c r="J7" s="312"/>
      <c r="K7" s="312"/>
      <c r="L7" s="312"/>
      <c r="M7" s="312"/>
      <c r="N7" s="312"/>
      <c r="O7" s="312"/>
      <c r="P7" s="312"/>
      <c r="Q7" s="312"/>
      <c r="S7" s="306"/>
      <c r="T7" s="293"/>
      <c r="U7" s="80"/>
    </row>
    <row r="8" spans="1:21">
      <c r="B8" s="126" t="s">
        <v>3193</v>
      </c>
      <c r="C8" s="126" t="s">
        <v>3194</v>
      </c>
      <c r="D8" s="386">
        <v>46044</v>
      </c>
      <c r="E8" s="143">
        <v>40000</v>
      </c>
      <c r="F8" s="381"/>
      <c r="G8" s="293"/>
      <c r="H8" s="80"/>
      <c r="I8" s="312"/>
      <c r="J8" s="312"/>
      <c r="K8" s="312"/>
      <c r="L8" s="312"/>
      <c r="M8" s="312"/>
      <c r="N8" s="312"/>
      <c r="O8" s="312"/>
      <c r="P8" s="312"/>
      <c r="Q8" s="312"/>
      <c r="S8" s="306"/>
      <c r="T8" s="293"/>
      <c r="U8" s="80"/>
    </row>
    <row r="9" spans="1:21">
      <c r="B9" s="126" t="s">
        <v>2890</v>
      </c>
      <c r="C9" s="126" t="s">
        <v>3195</v>
      </c>
      <c r="D9" s="386">
        <v>46053</v>
      </c>
      <c r="E9" s="143">
        <v>245000</v>
      </c>
      <c r="F9" s="381"/>
      <c r="G9" s="293"/>
      <c r="H9" s="80"/>
      <c r="I9" s="312"/>
      <c r="J9" s="312"/>
      <c r="K9" s="312"/>
      <c r="L9" s="312"/>
      <c r="M9" s="312"/>
      <c r="N9" s="312"/>
      <c r="O9" s="312"/>
      <c r="P9" s="312"/>
      <c r="Q9" s="312"/>
      <c r="S9" s="306"/>
      <c r="T9" s="293"/>
      <c r="U9" s="80"/>
    </row>
    <row r="10" spans="1:21">
      <c r="B10" s="126" t="s">
        <v>2594</v>
      </c>
      <c r="C10" s="126" t="s">
        <v>2595</v>
      </c>
      <c r="D10" s="386">
        <v>46053</v>
      </c>
      <c r="E10" s="143">
        <f>1159217+581644-27489</f>
        <v>1713372</v>
      </c>
      <c r="F10" s="381"/>
      <c r="G10" s="293"/>
      <c r="H10" s="80"/>
      <c r="I10" s="312"/>
      <c r="J10" s="312"/>
      <c r="K10" s="312"/>
      <c r="L10" s="312"/>
      <c r="M10" s="312"/>
      <c r="N10" s="312"/>
      <c r="O10" s="312"/>
      <c r="P10" s="312"/>
      <c r="Q10" s="312"/>
      <c r="S10" s="306"/>
      <c r="T10" s="293"/>
      <c r="U10" s="80"/>
    </row>
    <row r="11" spans="1:21">
      <c r="B11" s="884" t="s">
        <v>439</v>
      </c>
      <c r="C11" s="886"/>
      <c r="D11" s="885"/>
      <c r="E11" s="129">
        <f>SUM(E7:E10)</f>
        <v>2086868</v>
      </c>
      <c r="F11" s="145"/>
      <c r="H11" s="80"/>
      <c r="I11" s="80"/>
      <c r="J11" s="80"/>
      <c r="R11" s="306"/>
      <c r="S11" s="306"/>
      <c r="T11" s="293"/>
      <c r="U11" s="80"/>
    </row>
  </sheetData>
  <autoFilter ref="B6:E11" xr:uid="{CDDE7102-4E21-42DF-AB74-F76F31BCEC1E}"/>
  <mergeCells count="4">
    <mergeCell ref="B11:D11"/>
    <mergeCell ref="B3:E3"/>
    <mergeCell ref="B2:E2"/>
    <mergeCell ref="B1:E1"/>
  </mergeCells>
  <phoneticPr fontId="40" type="noConversion"/>
  <hyperlinks>
    <hyperlink ref="K1" location="Patrimonio!A1" display="Patrimonio!A1" xr:uid="{06DC3F17-03CD-475E-81B1-E64AB6CC6CA2}"/>
    <hyperlink ref="A1" location="'Balance 8 Columnas'!A1" display="'Balance 8 Columnas'!A1" xr:uid="{85D59D6D-349A-41D4-9949-9110E7826339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F695-5397-4402-AB2A-9FC77703D245}">
  <sheetPr codeName="Hoja27">
    <tabColor theme="4" tint="0.79998168889431442"/>
  </sheetPr>
  <dimension ref="A1:R21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9.3984375" style="138" customWidth="1"/>
    <col min="4" max="4" width="12.3984375" style="387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1" t="s">
        <v>590</v>
      </c>
      <c r="B1" s="849" t="s">
        <v>195</v>
      </c>
      <c r="C1" s="849"/>
      <c r="D1" s="849"/>
      <c r="E1" s="849"/>
      <c r="F1" s="225"/>
      <c r="G1" s="332"/>
    </row>
    <row r="2" spans="1:18" ht="14">
      <c r="B2" s="821" t="s">
        <v>1407</v>
      </c>
      <c r="C2" s="821"/>
      <c r="D2" s="821"/>
      <c r="E2" s="821"/>
      <c r="F2" s="142"/>
      <c r="G2" s="469">
        <f>E13-'Balance 8 Columnas'!N110</f>
        <v>-2</v>
      </c>
      <c r="I2" s="431" t="s">
        <v>590</v>
      </c>
    </row>
    <row r="3" spans="1:18">
      <c r="B3" s="821" t="str">
        <f>+'Deudores Diversos'!B3:F3</f>
        <v>Al 31 de enero de 2026</v>
      </c>
      <c r="C3" s="821"/>
      <c r="D3" s="821"/>
      <c r="E3" s="821"/>
      <c r="F3" s="142"/>
    </row>
    <row r="4" spans="1:18">
      <c r="B4" s="78"/>
      <c r="C4" s="78"/>
      <c r="D4" s="383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1406</v>
      </c>
      <c r="C5" s="97"/>
      <c r="D5" s="383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5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 t="s">
        <v>2568</v>
      </c>
      <c r="C7" s="126" t="s">
        <v>3196</v>
      </c>
      <c r="D7" s="386">
        <v>46053</v>
      </c>
      <c r="E7" s="143">
        <v>23100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126" t="s">
        <v>3197</v>
      </c>
      <c r="C8" s="126" t="s">
        <v>3198</v>
      </c>
      <c r="D8" s="386">
        <v>46053</v>
      </c>
      <c r="E8" s="143">
        <v>1415500</v>
      </c>
      <c r="F8" s="78"/>
      <c r="G8" s="312"/>
      <c r="H8" s="312"/>
      <c r="I8" s="312"/>
      <c r="J8" s="312"/>
      <c r="L8" s="306"/>
      <c r="M8" s="293"/>
      <c r="R8" s="80"/>
    </row>
    <row r="9" spans="1:18">
      <c r="B9" s="126" t="s">
        <v>1712</v>
      </c>
      <c r="C9" s="126" t="s">
        <v>3199</v>
      </c>
      <c r="D9" s="386">
        <v>46053</v>
      </c>
      <c r="E9" s="143">
        <v>26000</v>
      </c>
      <c r="F9" s="78"/>
      <c r="G9" s="312"/>
      <c r="H9" s="312"/>
      <c r="I9" s="312"/>
      <c r="J9" s="312"/>
      <c r="L9" s="306"/>
      <c r="M9" s="293"/>
      <c r="R9" s="80"/>
    </row>
    <row r="10" spans="1:18">
      <c r="B10" s="126" t="s">
        <v>3197</v>
      </c>
      <c r="C10" s="126" t="s">
        <v>3200</v>
      </c>
      <c r="D10" s="386">
        <v>46053</v>
      </c>
      <c r="E10" s="143">
        <v>63900</v>
      </c>
      <c r="F10" s="78"/>
      <c r="G10" s="312"/>
      <c r="H10" s="312"/>
      <c r="I10" s="312"/>
      <c r="J10" s="312"/>
      <c r="L10" s="306"/>
      <c r="M10" s="293"/>
      <c r="R10" s="80"/>
    </row>
    <row r="11" spans="1:18">
      <c r="B11" s="126" t="s">
        <v>3201</v>
      </c>
      <c r="C11" s="126" t="s">
        <v>1982</v>
      </c>
      <c r="D11" s="386">
        <v>46053</v>
      </c>
      <c r="E11" s="143">
        <f>199703+41000</f>
        <v>240703</v>
      </c>
      <c r="F11" s="78"/>
      <c r="G11" s="312"/>
      <c r="H11" s="312"/>
      <c r="I11" s="312"/>
      <c r="J11" s="312"/>
      <c r="L11" s="306"/>
      <c r="M11" s="293"/>
      <c r="R11" s="80"/>
    </row>
    <row r="12" spans="1:18">
      <c r="B12" s="126" t="s">
        <v>2594</v>
      </c>
      <c r="C12" s="126" t="s">
        <v>2595</v>
      </c>
      <c r="D12" s="386">
        <v>46053</v>
      </c>
      <c r="E12" s="143">
        <v>61869</v>
      </c>
      <c r="F12" s="78"/>
      <c r="G12" s="312"/>
      <c r="H12" s="312"/>
      <c r="I12" s="312"/>
      <c r="J12" s="312"/>
      <c r="L12" s="306"/>
      <c r="M12" s="293"/>
      <c r="R12" s="80"/>
    </row>
    <row r="13" spans="1:18">
      <c r="B13" s="887" t="s">
        <v>1408</v>
      </c>
      <c r="C13" s="888"/>
      <c r="D13" s="889"/>
      <c r="E13" s="129">
        <f>SUM(E7:E12)-2</f>
        <v>1831070</v>
      </c>
      <c r="F13" s="145"/>
      <c r="G13" s="80"/>
      <c r="P13" s="306"/>
      <c r="Q13" s="306"/>
    </row>
    <row r="14" spans="1:18">
      <c r="E14" s="147"/>
    </row>
    <row r="16" spans="1:18">
      <c r="C16" s="80"/>
    </row>
    <row r="17" spans="2:18">
      <c r="B17" s="80"/>
      <c r="C17" s="80"/>
      <c r="D17" s="80"/>
      <c r="F17" s="381"/>
      <c r="G17" s="312"/>
      <c r="H17" s="312"/>
      <c r="I17" s="312"/>
      <c r="J17" s="312"/>
      <c r="L17" s="306"/>
      <c r="M17" s="293"/>
      <c r="R17" s="80"/>
    </row>
    <row r="18" spans="2:18">
      <c r="B18" s="80"/>
      <c r="C18" s="80"/>
      <c r="D18" s="80"/>
      <c r="F18" s="381"/>
      <c r="G18" s="312"/>
      <c r="H18" s="312"/>
      <c r="I18" s="312"/>
      <c r="J18" s="312"/>
      <c r="L18" s="306"/>
      <c r="M18" s="293"/>
      <c r="R18" s="80"/>
    </row>
    <row r="19" spans="2:18">
      <c r="B19" s="80"/>
      <c r="C19" s="80"/>
      <c r="D19" s="80"/>
      <c r="F19" s="381"/>
      <c r="G19" s="312"/>
      <c r="H19" s="312"/>
      <c r="I19" s="312"/>
      <c r="J19" s="312"/>
      <c r="L19" s="306"/>
      <c r="M19" s="293"/>
      <c r="R19" s="80"/>
    </row>
    <row r="20" spans="2:18">
      <c r="B20" s="80"/>
      <c r="C20" s="80"/>
      <c r="D20" s="80"/>
      <c r="F20" s="381"/>
      <c r="G20" s="312"/>
      <c r="H20" s="312"/>
      <c r="I20" s="312"/>
      <c r="J20" s="312"/>
      <c r="L20" s="306"/>
      <c r="M20" s="293"/>
      <c r="R20" s="80"/>
    </row>
    <row r="21" spans="2:18">
      <c r="B21" s="80"/>
      <c r="C21" s="80"/>
      <c r="D21" s="80"/>
      <c r="F21" s="381"/>
      <c r="G21" s="312"/>
      <c r="H21" s="312"/>
      <c r="I21" s="312"/>
      <c r="J21" s="312"/>
      <c r="L21" s="306"/>
      <c r="M21" s="293"/>
      <c r="R21" s="80"/>
    </row>
  </sheetData>
  <autoFilter ref="B6:E13" xr:uid="{343EF695-5397-4402-AB2A-9FC77703D245}"/>
  <mergeCells count="4">
    <mergeCell ref="B13:D13"/>
    <mergeCell ref="B3:E3"/>
    <mergeCell ref="B2:E2"/>
    <mergeCell ref="B1:E1"/>
  </mergeCells>
  <phoneticPr fontId="40" type="noConversion"/>
  <hyperlinks>
    <hyperlink ref="I2" location="'Balance 8 Columnas'!A1" display="'Balance 8 Columnas'!A1" xr:uid="{3ADCFD92-CB04-451E-A941-7229E01F05AF}"/>
    <hyperlink ref="A1" location="'Balance 8 Columnas'!A1" display="'Balance 8 Columnas'!A1" xr:uid="{872AE311-F0FC-4F1E-A680-B1DAE6ACBD80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40E9-EC5E-4870-9C6E-88A86E5F381B}">
  <sheetPr codeName="Hoja30"/>
  <dimension ref="A1:R16"/>
  <sheetViews>
    <sheetView zoomScale="90" zoomScaleNormal="90" workbookViewId="0">
      <selection activeCell="I2" sqref="I2"/>
    </sheetView>
  </sheetViews>
  <sheetFormatPr baseColWidth="10" defaultColWidth="14.3984375" defaultRowHeight="13.45"/>
  <cols>
    <col min="1" max="1" width="3.296875" style="80" customWidth="1"/>
    <col min="2" max="2" width="31.296875" style="138" customWidth="1"/>
    <col min="3" max="3" width="50.09765625" style="138" bestFit="1" customWidth="1"/>
    <col min="4" max="4" width="12.3984375" style="387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1" t="s">
        <v>3136</v>
      </c>
      <c r="B1" s="849" t="s">
        <v>195</v>
      </c>
      <c r="C1" s="849"/>
      <c r="D1" s="849"/>
      <c r="E1" s="849"/>
      <c r="F1" s="225"/>
      <c r="G1" s="332"/>
    </row>
    <row r="2" spans="1:18" ht="14">
      <c r="B2" s="821" t="s">
        <v>1407</v>
      </c>
      <c r="C2" s="821"/>
      <c r="D2" s="821"/>
      <c r="E2" s="821"/>
      <c r="F2" s="142"/>
      <c r="G2" s="469">
        <f>E8-'Balance 8 Columnas'!N75</f>
        <v>0</v>
      </c>
      <c r="I2" s="431" t="s">
        <v>590</v>
      </c>
    </row>
    <row r="3" spans="1:18">
      <c r="B3" s="821" t="str">
        <f>+'Deudores Diversos'!B3:F3</f>
        <v>Al 31 de enero de 2026</v>
      </c>
      <c r="C3" s="821"/>
      <c r="D3" s="821"/>
      <c r="E3" s="821"/>
      <c r="F3" s="142"/>
    </row>
    <row r="4" spans="1:18">
      <c r="B4" s="78"/>
      <c r="C4" s="78"/>
      <c r="D4" s="383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393</v>
      </c>
      <c r="C5" s="97"/>
      <c r="D5" s="383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5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/>
      <c r="C7" s="619" t="s">
        <v>3236</v>
      </c>
      <c r="D7" s="386">
        <v>46038</v>
      </c>
      <c r="E7" s="620">
        <v>4000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887" t="s">
        <v>1408</v>
      </c>
      <c r="C8" s="888"/>
      <c r="D8" s="889"/>
      <c r="E8" s="129">
        <f>SUM(E7:E7)</f>
        <v>4000</v>
      </c>
      <c r="F8" s="145"/>
      <c r="G8" s="80"/>
      <c r="P8" s="306"/>
      <c r="Q8" s="306"/>
    </row>
    <row r="9" spans="1:18">
      <c r="E9" s="147"/>
    </row>
    <row r="11" spans="1:18">
      <c r="C11" s="80"/>
    </row>
    <row r="12" spans="1:18">
      <c r="B12" s="80"/>
      <c r="C12" s="80"/>
      <c r="D12" s="80"/>
      <c r="F12" s="381"/>
      <c r="G12" s="312"/>
      <c r="H12" s="312"/>
      <c r="I12" s="312"/>
      <c r="J12" s="312"/>
      <c r="L12" s="306"/>
      <c r="M12" s="293"/>
      <c r="R12" s="80"/>
    </row>
    <row r="13" spans="1:18">
      <c r="B13" s="80"/>
      <c r="C13" s="80"/>
      <c r="D13" s="80"/>
      <c r="F13" s="381"/>
      <c r="G13" s="312"/>
      <c r="H13" s="312"/>
      <c r="I13" s="312"/>
      <c r="J13" s="312"/>
      <c r="L13" s="306"/>
      <c r="M13" s="293"/>
      <c r="R13" s="80"/>
    </row>
    <row r="14" spans="1:18">
      <c r="B14" s="80"/>
      <c r="C14" s="80"/>
      <c r="D14" s="80"/>
      <c r="F14" s="381"/>
      <c r="G14" s="312"/>
      <c r="H14" s="312"/>
      <c r="I14" s="312"/>
      <c r="J14" s="312"/>
      <c r="L14" s="306"/>
      <c r="M14" s="293"/>
      <c r="R14" s="80"/>
    </row>
    <row r="15" spans="1:18">
      <c r="B15" s="80"/>
      <c r="C15" s="80"/>
      <c r="D15" s="80"/>
      <c r="F15" s="381"/>
      <c r="G15" s="312"/>
      <c r="H15" s="312"/>
      <c r="I15" s="312"/>
      <c r="J15" s="312"/>
      <c r="L15" s="306"/>
      <c r="M15" s="293"/>
      <c r="R15" s="80"/>
    </row>
    <row r="16" spans="1:18">
      <c r="B16" s="80"/>
      <c r="C16" s="80"/>
      <c r="D16" s="80"/>
      <c r="F16" s="381"/>
      <c r="G16" s="312"/>
      <c r="H16" s="312"/>
      <c r="I16" s="312"/>
      <c r="J16" s="312"/>
      <c r="L16" s="306"/>
      <c r="M16" s="293"/>
      <c r="R16" s="80"/>
    </row>
  </sheetData>
  <autoFilter ref="B6:E8" xr:uid="{343EF695-5397-4402-AB2A-9FC77703D245}"/>
  <mergeCells count="4">
    <mergeCell ref="B1:E1"/>
    <mergeCell ref="B2:E2"/>
    <mergeCell ref="B3:E3"/>
    <mergeCell ref="B8:D8"/>
  </mergeCells>
  <hyperlinks>
    <hyperlink ref="I2" location="'Balance 8 Columnas'!A1" display="'Balance 8 Columnas'!A1" xr:uid="{4A021E07-EF39-430A-B9A2-A23A64E5E280}"/>
    <hyperlink ref="A1" location="'Balance 8 Columnas'!A1" display="'Balance 8 Columnas'!A1" xr:uid="{3BDB82BD-D977-4B60-ADF3-11C51CC22BBA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FAE16-3438-44C5-856C-A4A5AB82F305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DC02277-507E-4F90-9432-5D90768AB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0EEC93-396B-464E-B0A1-41116A4617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23</vt:i4>
      </vt:variant>
    </vt:vector>
  </HeadingPairs>
  <TitlesOfParts>
    <vt:vector size="52" baseType="lpstr">
      <vt:lpstr>Carátula</vt:lpstr>
      <vt:lpstr>Balance Clasificado</vt:lpstr>
      <vt:lpstr>Clasificado</vt:lpstr>
      <vt:lpstr>Hoja1</vt:lpstr>
      <vt:lpstr>Estado de Resultados</vt:lpstr>
      <vt:lpstr>Balance 8 Columnas</vt:lpstr>
      <vt:lpstr>EERR Mensual US$</vt:lpstr>
      <vt:lpstr>EERR Mensual $</vt:lpstr>
      <vt:lpstr>ER Centro de Costo</vt:lpstr>
      <vt:lpstr>ER Centro de Costo aperturado</vt:lpstr>
      <vt:lpstr>Patrimonio</vt:lpstr>
      <vt:lpstr>Cajas y Bancos</vt:lpstr>
      <vt:lpstr>Otros Act no Fin</vt:lpstr>
      <vt:lpstr>Derechos de arrendamiento</vt:lpstr>
      <vt:lpstr>Deudores Diversos</vt:lpstr>
      <vt:lpstr>Pagos Anticipados</vt:lpstr>
      <vt:lpstr>Inventarios</vt:lpstr>
      <vt:lpstr>Impuestos a favor</vt:lpstr>
      <vt:lpstr>Activo fijo</vt:lpstr>
      <vt:lpstr>Acreedores diversos (prestamo)</vt:lpstr>
      <vt:lpstr>Acreedores Diversos</vt:lpstr>
      <vt:lpstr>Cuentas por pagar EERR</vt:lpstr>
      <vt:lpstr>Proveedores</vt:lpstr>
      <vt:lpstr>Impuestos nómina</vt:lpstr>
      <vt:lpstr>Otros Pasivos</vt:lpstr>
      <vt:lpstr>IVA por pagar del mes</vt:lpstr>
      <vt:lpstr>Publicidad y Mark</vt:lpstr>
      <vt:lpstr>Sum. Visual</vt:lpstr>
      <vt:lpstr>Finiquitos</vt:lpstr>
      <vt:lpstr>'Acreedores Diversos'!Área_de_impresión</vt:lpstr>
      <vt:lpstr>'Acreedores diversos (prestamo)'!Área_de_impresión</vt:lpstr>
      <vt:lpstr>'Activo fijo'!Área_de_impresión</vt:lpstr>
      <vt:lpstr>'Balance 8 Columnas'!Área_de_impresión</vt:lpstr>
      <vt:lpstr>'Balance Clasificado'!Área_de_impresión</vt:lpstr>
      <vt:lpstr>'Cajas y Bancos'!Área_de_impresión</vt:lpstr>
      <vt:lpstr>'Cuentas por pagar EERR'!Área_de_impresión</vt:lpstr>
      <vt:lpstr>'Derechos de arrendamiento'!Área_de_impresión</vt:lpstr>
      <vt:lpstr>'Deudores Diversos'!Área_de_impresión</vt:lpstr>
      <vt:lpstr>'EERR Mensual $'!Área_de_impresión</vt:lpstr>
      <vt:lpstr>'EERR Mensual US$'!Área_de_impresión</vt:lpstr>
      <vt:lpstr>'ER Centro de Costo'!Área_de_impresión</vt:lpstr>
      <vt:lpstr>'ER Centro de Costo aperturado'!Área_de_impresión</vt:lpstr>
      <vt:lpstr>'Estado de Resultados'!Área_de_impresión</vt:lpstr>
      <vt:lpstr>'Impuestos a favor'!Área_de_impresión</vt:lpstr>
      <vt:lpstr>'Impuestos nómina'!Área_de_impresión</vt:lpstr>
      <vt:lpstr>Inventarios!Área_de_impresión</vt:lpstr>
      <vt:lpstr>'IVA por pagar del mes'!Área_de_impresión</vt:lpstr>
      <vt:lpstr>'Otros Act no Fin'!Área_de_impresión</vt:lpstr>
      <vt:lpstr>'Otros Pasivos'!Área_de_impresión</vt:lpstr>
      <vt:lpstr>'Pagos Anticipados'!Área_de_impresión</vt:lpstr>
      <vt:lpstr>Patrimonio!Área_de_impresión</vt:lpstr>
      <vt:lpstr>Proveedores!Área_de_impresión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Carolina Cabrera</cp:lastModifiedBy>
  <cp:lastPrinted>2024-03-11T19:46:12Z</cp:lastPrinted>
  <dcterms:created xsi:type="dcterms:W3CDTF">2021-01-20T05:57:05Z</dcterms:created>
  <dcterms:modified xsi:type="dcterms:W3CDTF">2026-02-18T17:10:51Z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