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eiro" sheetId="1" r:id="rId3"/>
    <sheet state="visible" name="fevereiro" sheetId="2" r:id="rId4"/>
    <sheet state="visible" name="março" sheetId="3" r:id="rId5"/>
    <sheet state="visible" name="abril" sheetId="4" r:id="rId6"/>
    <sheet state="visible" name="maio" sheetId="5" r:id="rId7"/>
    <sheet state="visible" name="junho" sheetId="6" r:id="rId8"/>
    <sheet state="visible" name="julho" sheetId="7" r:id="rId9"/>
    <sheet state="visible" name="agosto" sheetId="8" r:id="rId10"/>
    <sheet state="visible" name="setembro" sheetId="9" r:id="rId11"/>
    <sheet state="visible" name="outubro" sheetId="10" r:id="rId12"/>
    <sheet state="visible" name="novembro" sheetId="11" r:id="rId13"/>
    <sheet state="visible" name="dezembro" sheetId="12" r:id="rId14"/>
    <sheet state="visible" name="janeiro 2022" sheetId="13" r:id="rId15"/>
    <sheet state="visible" name="fevereiro 2022" sheetId="14" r:id="rId16"/>
    <sheet state="visible" name="março 2022" sheetId="15" r:id="rId17"/>
    <sheet state="visible" name="abril 2022" sheetId="16" r:id="rId18"/>
    <sheet state="visible" name="maio 2022" sheetId="17" r:id="rId19"/>
    <sheet state="visible" name="todos" sheetId="18" r:id="rId20"/>
    <sheet state="visible" name="listas" sheetId="19" r:id="rId21"/>
    <sheet state="visible" name="query" sheetId="20" r:id="rId22"/>
    <sheet state="visible" name="development view" sheetId="21" r:id="rId23"/>
    <sheet state="visible" name="Cópia de development view" sheetId="22" r:id="rId24"/>
  </sheets>
  <definedNames>
    <definedName localSheetId="7" name="tag">agosto!$J$2</definedName>
    <definedName localSheetId="6" name="tag">julho!$J$2</definedName>
    <definedName localSheetId="7" name="aba04ABR">agosto!$A$4:$Q$81</definedName>
    <definedName localSheetId="1" name="tag">fevereiro!$J$2</definedName>
    <definedName name="RendaGastos">#REF!</definedName>
    <definedName localSheetId="15" name="tag">'abril 2022'!$J$2</definedName>
    <definedName localSheetId="8" name="aba08AGO">setembro!$A$4:$Q$97</definedName>
    <definedName localSheetId="15" name="aba08AGO">'abril 2022'!$A$4:$Q$101</definedName>
    <definedName localSheetId="15" name="aba12DEZ">'abril 2022'!$A$4:$Q$102</definedName>
    <definedName localSheetId="9" name="aba04ABR">outubro!$A$4:$Q$117</definedName>
    <definedName localSheetId="13" name="pagamentos">'fevereiro 2022'!$A$2:$K$2</definedName>
    <definedName localSheetId="0" name="RendaGastos">janeiro!$G$2:$H$2</definedName>
    <definedName localSheetId="14" name="pagamentos">'março 2022'!$A$2:$K$2</definedName>
    <definedName localSheetId="1" name="RendaGastos">fevereiro!$G$2:$H$2</definedName>
    <definedName localSheetId="3" name="RendaGastos">abril!$G$2:$H$2</definedName>
    <definedName localSheetId="15" name="aba04ABR">'abril 2022'!$A$4:$Q$102</definedName>
    <definedName localSheetId="15" name="aba09SET">'abril 2022'!$A$4:$Q$102</definedName>
    <definedName localSheetId="12" name="aba12DEZ">'janeiro 2022'!$A$4:$Q$106</definedName>
    <definedName localSheetId="9" name="aba09SET">outubro!$A$4:$Q$117</definedName>
    <definedName localSheetId="9" name="DescricaoRendaGastos">outubro!$G$2:$J$2</definedName>
    <definedName localSheetId="1" name="DescricaoRendaGastos">fevereiro!$G$2:$J$2</definedName>
    <definedName name="abaJulho07">#REF!</definedName>
    <definedName localSheetId="12" name="tag">'janeiro 2022'!$J$2</definedName>
    <definedName localSheetId="12" name="DescricaoRendaGastos">'janeiro 2022'!$G$2:$J$2</definedName>
    <definedName localSheetId="9" name="tag">outubro!$J$2</definedName>
    <definedName localSheetId="13" name="tag">'fevereiro 2022'!$J$2</definedName>
    <definedName name="aba03MAR">'março'!$A$4:$Q$79</definedName>
    <definedName localSheetId="10" name="tag">novembro!$J$2</definedName>
    <definedName localSheetId="4" name="DescricaoRendaGastos">maio!$G$2:$J$2</definedName>
    <definedName localSheetId="11" name="aba08AGO">dezembro!$A$4:$Q$109</definedName>
    <definedName name="tag">#REF!</definedName>
    <definedName localSheetId="6" name="pagamentos">julho!$A$2:$K$2</definedName>
    <definedName localSheetId="8" name="aba04ABR">setembro!$A$4:$Q$98</definedName>
    <definedName localSheetId="9" name="RendaGastos">outubro!$G$2:$H$2</definedName>
    <definedName localSheetId="11" name="DescricaoRendaGastos">dezembro!$G$2:$J$2</definedName>
    <definedName localSheetId="12" name="aba08AGO">'janeiro 2022'!$A$4:$Q$105</definedName>
    <definedName localSheetId="2" name="tag">'março'!$J$2</definedName>
    <definedName localSheetId="4" name="RendaGastos">maio!$G$2:$H$2</definedName>
    <definedName localSheetId="7" name="DescricaoRendaGastos">agosto!$G$2:$J$2</definedName>
    <definedName localSheetId="16" name="RendaGastos">'maio 2022'!$G$2:$H$2</definedName>
    <definedName localSheetId="2" name="DescricaoRendaGastos">'março'!$G$2:$J$2</definedName>
    <definedName localSheetId="16" name="tag">'maio 2022'!$J$2</definedName>
    <definedName localSheetId="10" name="aba09SET">novembro!$A$4:$Q$109</definedName>
    <definedName localSheetId="13" name="RendaGastos">'fevereiro 2022'!$G$2:$H$2</definedName>
    <definedName localSheetId="14" name="RendaGastos">'março 2022'!$G$2:$H$2</definedName>
    <definedName localSheetId="15" name="pagamentos">'abril 2022'!$A$2:$K$2</definedName>
    <definedName localSheetId="9" name="aba08AGO">outubro!$A$4:$Q$116</definedName>
    <definedName localSheetId="3" name="pagamentos">abril!$A$2:$K$2</definedName>
    <definedName localSheetId="16" name="pagamentos">'maio 2022'!$A$2:$K$2</definedName>
    <definedName name="aba07JUL">julho!$A$4:$Q$114</definedName>
    <definedName localSheetId="5" name="pagamentos">junho!$A$2:$K$2</definedName>
    <definedName localSheetId="11" name="RendaGastos">dezembro!$G$2:$H$2</definedName>
    <definedName localSheetId="11" name="tag">dezembro!$J$2</definedName>
    <definedName localSheetId="12" name="aba04ABR">'janeiro 2022'!$A$4:$Q$106</definedName>
    <definedName localSheetId="8" name="pagamentos">setembro!$A$2:$K$2</definedName>
    <definedName localSheetId="6" name="DescricaoRendaGastos">julho!$G$2:$J$2</definedName>
    <definedName localSheetId="4" name="pagamentos">maio!$A$2:$K$2</definedName>
    <definedName localSheetId="12" name="pagamentos">'janeiro 2022'!$A$2:$K$2</definedName>
    <definedName name="aba05MAI">maio!$A$4:$Q$90</definedName>
    <definedName localSheetId="13" name="aba12DEZ">'fevereiro 2022'!$A$4:$Q$113</definedName>
    <definedName localSheetId="11" name="aba09SET">dezembro!$A$4:$Q$110</definedName>
    <definedName localSheetId="5" name="aba04ABR">junho!$A$4:$Q$94</definedName>
    <definedName localSheetId="3" name="DescricaoRendaGastos">abril!$G$2:$J$2</definedName>
    <definedName name="aba11NOV">novembro!$A$4:$Q$109</definedName>
    <definedName localSheetId="4" name="aba04ABR">maio!$A$4:$Q$93</definedName>
    <definedName localSheetId="14" name="aba04ABR">'março 2022'!$A$4:$Q$83</definedName>
    <definedName localSheetId="3" name="tag">abril!$J$2</definedName>
    <definedName name="DescricaoRendaGastos">#REF!</definedName>
    <definedName name="aba01JAN">janeiro!$A$4:$Q$100</definedName>
    <definedName localSheetId="14" name="DescricaoRendaGastos">'março 2022'!$G$2:$J$2</definedName>
    <definedName localSheetId="13" name="aba09SET">'fevereiro 2022'!$A$4:$Q$113</definedName>
    <definedName localSheetId="10" name="aba04ABR">novembro!$A$4:$Q$109</definedName>
    <definedName localSheetId="8" name="RendaGastos">setembro!$G$2:$H$2</definedName>
    <definedName localSheetId="10" name="DescricaoRendaGastos">novembro!$G$2:$J$2</definedName>
    <definedName localSheetId="5" name="DescricaoRendaGastos">junho!$G$2:$J$2</definedName>
    <definedName localSheetId="16" name="aba08AGO">'maio 2022'!$A$4:$Q$80</definedName>
    <definedName localSheetId="10" name="aba08AGO">novembro!$A$4:$Q$108</definedName>
    <definedName localSheetId="10" name="pagamentos">novembro!$A$2:$K$2</definedName>
    <definedName localSheetId="12" name="RendaGastos">'janeiro 2022'!$G$2:$H$2</definedName>
    <definedName name="aba10OUT">outubro!$A$4:$Q$117</definedName>
    <definedName localSheetId="16" name="aba04ABR">'maio 2022'!$A$4:$Q$81</definedName>
    <definedName localSheetId="1" name="pagamentos">fevereiro!$A$2:$K$2</definedName>
    <definedName localSheetId="8" name="DescricaoRendaGastos">setembro!$G$2:$J$2</definedName>
    <definedName localSheetId="13" name="DescricaoRendaGastos">'fevereiro 2022'!$G$2:$J$2</definedName>
    <definedName localSheetId="10" name="RendaGastos">novembro!$G$2:$H$2</definedName>
    <definedName localSheetId="14" name="aba08AGO">'março 2022'!$A$4:$Q$82</definedName>
    <definedName localSheetId="0" name="pagamentos">janeiro!$A$2:$K$2</definedName>
    <definedName localSheetId="14" name="aba12DEZ">'março 2022'!$A$4:$Q$83</definedName>
    <definedName localSheetId="5" name="tag">junho!$J$2</definedName>
    <definedName localSheetId="15" name="RendaGastos">'abril 2022'!$G$2:$H$2</definedName>
    <definedName name="aba09SET">setembro!$A$4:$Q$98</definedName>
    <definedName localSheetId="16" name="aba09SET">'maio 2022'!$A$4:$Q$81</definedName>
    <definedName localSheetId="11" name="aba04ABR">dezembro!$A$4:$Q$110</definedName>
    <definedName localSheetId="5" name="RendaGastos">junho!$G$2:$H$2</definedName>
    <definedName localSheetId="16" name="DescricaoRendaGastos">'maio 2022'!$G$2:$J$2</definedName>
    <definedName localSheetId="0" name="DescricaoRendaGastos">janeiro!$G$2:$J$2</definedName>
    <definedName localSheetId="7" name="RendaGastos">agosto!$G$2:$H$2</definedName>
    <definedName name="aba04ABR">abril!$A$4:$Q$88</definedName>
    <definedName name="aba06JUN">junho!$A$4:$Q$91</definedName>
    <definedName name="aba08AGO">agosto!$A$4:$Q$80</definedName>
    <definedName localSheetId="14" name="tag">'março 2022'!$J$2</definedName>
    <definedName localSheetId="8" name="tag">setembro!$J$2</definedName>
    <definedName localSheetId="12" name="aba09SET">'janeiro 2022'!$A$4:$Q$106</definedName>
    <definedName localSheetId="13" name="aba04ABR">'fevereiro 2022'!$A$4:$Q$113</definedName>
    <definedName localSheetId="16" name="aba12DEZ">'maio 2022'!$A$4:$Q$81</definedName>
    <definedName localSheetId="6" name="RendaGastos">julho!$G$2:$H$2</definedName>
    <definedName localSheetId="13" name="aba08AGO">'fevereiro 2022'!$A$4:$Q$112</definedName>
    <definedName localSheetId="2" name="RendaGastos">'março'!$G$2:$H$2</definedName>
    <definedName localSheetId="11" name="pagamentos">dezembro!$A$2:$K$2</definedName>
    <definedName localSheetId="4" name="tag">maio!$J$2</definedName>
    <definedName localSheetId="0" name="tag">janeiro!$J$2</definedName>
    <definedName localSheetId="2" name="pagamentos">'março'!$A$2:$K$2</definedName>
    <definedName localSheetId="14" name="aba09SET">'março 2022'!$A$4:$Q$83</definedName>
    <definedName name="aba12DEZ">dezembro!$A$4:$Q$110</definedName>
    <definedName localSheetId="7" name="pagamentos">agosto!$A$2:$K$2</definedName>
    <definedName localSheetId="9" name="pagamentos">outubro!$A$2:$K$2</definedName>
    <definedName localSheetId="15" name="DescricaoRendaGastos">'abril 2022'!$G$2:$J$2</definedName>
    <definedName name="aba02FEV">fevereiro!$A$4:$Q$115</definedName>
    <definedName hidden="1" localSheetId="0" name="Z_FF238D65_B29E_47B3_BB76_09A78DB37DDE_.wvu.FilterData">janeiro!$A$2:$K$9</definedName>
    <definedName hidden="1" localSheetId="1" name="Z_FF238D65_B29E_47B3_BB76_09A78DB37DDE_.wvu.FilterData">fevereiro!$A$2:$K$9</definedName>
    <definedName hidden="1" localSheetId="2" name="Z_FF238D65_B29E_47B3_BB76_09A78DB37DDE_.wvu.FilterData">'março'!$A$2:$K$3</definedName>
    <definedName hidden="1" localSheetId="3" name="Z_FF238D65_B29E_47B3_BB76_09A78DB37DDE_.wvu.FilterData">abril!$A$2:$K$3</definedName>
    <definedName hidden="1" localSheetId="4" name="Z_FF238D65_B29E_47B3_BB76_09A78DB37DDE_.wvu.FilterData">maio!$A$2:$K$3</definedName>
    <definedName hidden="1" localSheetId="5" name="Z_FF238D65_B29E_47B3_BB76_09A78DB37DDE_.wvu.FilterData">junho!$A$2:$K$3</definedName>
    <definedName hidden="1" localSheetId="6" name="Z_FF238D65_B29E_47B3_BB76_09A78DB37DDE_.wvu.FilterData">julho!$A$2:$K$3</definedName>
    <definedName hidden="1" localSheetId="7" name="Z_FF238D65_B29E_47B3_BB76_09A78DB37DDE_.wvu.FilterData">agosto!$A$2:$K$3</definedName>
    <definedName hidden="1" localSheetId="8" name="Z_FF238D65_B29E_47B3_BB76_09A78DB37DDE_.wvu.FilterData">setembro!$A$2:$K$3</definedName>
    <definedName hidden="1" localSheetId="9" name="Z_FF238D65_B29E_47B3_BB76_09A78DB37DDE_.wvu.FilterData">outubro!$A$2:$K$3</definedName>
    <definedName hidden="1" localSheetId="10" name="Z_FF238D65_B29E_47B3_BB76_09A78DB37DDE_.wvu.FilterData">novembro!$A$2:$K$3</definedName>
    <definedName hidden="1" localSheetId="11" name="Z_FF238D65_B29E_47B3_BB76_09A78DB37DDE_.wvu.FilterData">dezembro!$A$2:$K$3</definedName>
    <definedName hidden="1" localSheetId="12" name="Z_FF238D65_B29E_47B3_BB76_09A78DB37DDE_.wvu.FilterData">'janeiro 2022'!$A$2:$K$3</definedName>
    <definedName hidden="1" localSheetId="13" name="Z_FF238D65_B29E_47B3_BB76_09A78DB37DDE_.wvu.FilterData">'fevereiro 2022'!$A$2:$K$3</definedName>
    <definedName hidden="1" localSheetId="14" name="Z_FF238D65_B29E_47B3_BB76_09A78DB37DDE_.wvu.FilterData">'março 2022'!$A$2:$K$3</definedName>
    <definedName hidden="1" localSheetId="15" name="Z_FF238D65_B29E_47B3_BB76_09A78DB37DDE_.wvu.FilterData">'abril 2022'!$A$2:$K$3</definedName>
    <definedName hidden="1" localSheetId="16" name="Z_FF238D65_B29E_47B3_BB76_09A78DB37DDE_.wvu.FilterData">'maio 2022'!$A$2:$K$3</definedName>
    <definedName hidden="1" localSheetId="0" name="Z_5F890A4C_8AFA_4126_80E7_AF0191C5590F_.wvu.FilterData">janeiro!$A$2:$K$9</definedName>
    <definedName hidden="1" localSheetId="1" name="Z_5F890A4C_8AFA_4126_80E7_AF0191C5590F_.wvu.FilterData">fevereiro!$A$2:$K$9</definedName>
    <definedName hidden="1" localSheetId="2" name="Z_5F890A4C_8AFA_4126_80E7_AF0191C5590F_.wvu.FilterData">'março'!$A$2:$K$3</definedName>
    <definedName hidden="1" localSheetId="3" name="Z_5F890A4C_8AFA_4126_80E7_AF0191C5590F_.wvu.FilterData">abril!$A$2:$K$3</definedName>
    <definedName hidden="1" localSheetId="4" name="Z_5F890A4C_8AFA_4126_80E7_AF0191C5590F_.wvu.FilterData">maio!$A$2:$K$3</definedName>
    <definedName hidden="1" localSheetId="5" name="Z_5F890A4C_8AFA_4126_80E7_AF0191C5590F_.wvu.FilterData">junho!$A$2:$K$3</definedName>
    <definedName hidden="1" localSheetId="6" name="Z_5F890A4C_8AFA_4126_80E7_AF0191C5590F_.wvu.FilterData">julho!$A$2:$K$3</definedName>
    <definedName hidden="1" localSheetId="7" name="Z_5F890A4C_8AFA_4126_80E7_AF0191C5590F_.wvu.FilterData">agosto!$A$2:$K$3</definedName>
    <definedName hidden="1" localSheetId="8" name="Z_5F890A4C_8AFA_4126_80E7_AF0191C5590F_.wvu.FilterData">setembro!$A$2:$K$3</definedName>
    <definedName hidden="1" localSheetId="9" name="Z_5F890A4C_8AFA_4126_80E7_AF0191C5590F_.wvu.FilterData">outubro!$A$2:$K$3</definedName>
    <definedName hidden="1" localSheetId="10" name="Z_5F890A4C_8AFA_4126_80E7_AF0191C5590F_.wvu.FilterData">novembro!$A$2:$K$3</definedName>
    <definedName hidden="1" localSheetId="11" name="Z_5F890A4C_8AFA_4126_80E7_AF0191C5590F_.wvu.FilterData">dezembro!$A$2:$K$3</definedName>
    <definedName hidden="1" localSheetId="12" name="Z_5F890A4C_8AFA_4126_80E7_AF0191C5590F_.wvu.FilterData">'janeiro 2022'!$A$2:$K$3</definedName>
    <definedName hidden="1" localSheetId="13" name="Z_5F890A4C_8AFA_4126_80E7_AF0191C5590F_.wvu.FilterData">'fevereiro 2022'!$A$2:$K$3</definedName>
    <definedName hidden="1" localSheetId="14" name="Z_5F890A4C_8AFA_4126_80E7_AF0191C5590F_.wvu.FilterData">'março 2022'!$A$2:$K$3</definedName>
    <definedName hidden="1" localSheetId="15" name="Z_5F890A4C_8AFA_4126_80E7_AF0191C5590F_.wvu.FilterData">'abril 2022'!$A$2:$K$3</definedName>
    <definedName hidden="1" localSheetId="16" name="Z_5F890A4C_8AFA_4126_80E7_AF0191C5590F_.wvu.FilterData">'maio 2022'!$A$2:$K$3</definedName>
    <definedName hidden="1" localSheetId="0" name="Z_55ED7845_B94B_4003_AD57_D4008EE7E009_.wvu.FilterData">janeiro!$A$2:$K$9</definedName>
    <definedName hidden="1" localSheetId="1" name="Z_55ED7845_B94B_4003_AD57_D4008EE7E009_.wvu.FilterData">fevereiro!$A$2:$K$9</definedName>
    <definedName hidden="1" localSheetId="2" name="Z_55ED7845_B94B_4003_AD57_D4008EE7E009_.wvu.FilterData">'março'!$A$2:$K$10</definedName>
    <definedName hidden="1" localSheetId="3" name="Z_55ED7845_B94B_4003_AD57_D4008EE7E009_.wvu.FilterData">abril!$A$2:$K$11</definedName>
    <definedName hidden="1" localSheetId="4" name="Z_55ED7845_B94B_4003_AD57_D4008EE7E009_.wvu.FilterData">maio!$A$2:$K$24</definedName>
    <definedName hidden="1" localSheetId="5" name="Z_55ED7845_B94B_4003_AD57_D4008EE7E009_.wvu.FilterData">junho!$A$2:$K$13</definedName>
    <definedName hidden="1" localSheetId="6" name="Z_55ED7845_B94B_4003_AD57_D4008EE7E009_.wvu.FilterData">julho!$A$2:$K$19</definedName>
    <definedName hidden="1" localSheetId="7" name="Z_55ED7845_B94B_4003_AD57_D4008EE7E009_.wvu.FilterData">agosto!$A$2:$K$11</definedName>
    <definedName hidden="1" localSheetId="8" name="Z_55ED7845_B94B_4003_AD57_D4008EE7E009_.wvu.FilterData">setembro!$A$2:$K$14</definedName>
    <definedName hidden="1" localSheetId="9" name="Z_55ED7845_B94B_4003_AD57_D4008EE7E009_.wvu.FilterData">outubro!$A$2:$K$16</definedName>
    <definedName hidden="1" localSheetId="10" name="Z_55ED7845_B94B_4003_AD57_D4008EE7E009_.wvu.FilterData">novembro!$A$2:$K$17</definedName>
    <definedName hidden="1" localSheetId="11" name="Z_55ED7845_B94B_4003_AD57_D4008EE7E009_.wvu.FilterData">dezembro!$A$2:$K$17</definedName>
    <definedName hidden="1" localSheetId="12" name="Z_55ED7845_B94B_4003_AD57_D4008EE7E009_.wvu.FilterData">'janeiro 2022'!$A$2:$K$17</definedName>
    <definedName hidden="1" localSheetId="13" name="Z_55ED7845_B94B_4003_AD57_D4008EE7E009_.wvu.FilterData">'fevereiro 2022'!$A$2:$K$12</definedName>
    <definedName hidden="1" localSheetId="14" name="Z_55ED7845_B94B_4003_AD57_D4008EE7E009_.wvu.FilterData">'março 2022'!$A$2:$K$11</definedName>
    <definedName hidden="1" localSheetId="15" name="Z_55ED7845_B94B_4003_AD57_D4008EE7E009_.wvu.FilterData">'abril 2022'!$A$2:$K$12</definedName>
    <definedName hidden="1" localSheetId="16" name="Z_55ED7845_B94B_4003_AD57_D4008EE7E009_.wvu.FilterData">'maio 2022'!$A$2:$K$14</definedName>
    <definedName hidden="1" localSheetId="0" name="Z_F6E0E906_D63E_467F_B486_84E6C0126E80_.wvu.FilterData">janeiro!$A$2:$K$9</definedName>
    <definedName hidden="1" localSheetId="1" name="Z_F6E0E906_D63E_467F_B486_84E6C0126E80_.wvu.FilterData">fevereiro!$A$2:$K$9</definedName>
    <definedName hidden="1" localSheetId="2" name="Z_F6E0E906_D63E_467F_B486_84E6C0126E80_.wvu.FilterData">'março'!$A$2:$K$3</definedName>
    <definedName hidden="1" localSheetId="3" name="Z_F6E0E906_D63E_467F_B486_84E6C0126E80_.wvu.FilterData">abril!$A$2:$K$3</definedName>
    <definedName hidden="1" localSheetId="4" name="Z_F6E0E906_D63E_467F_B486_84E6C0126E80_.wvu.FilterData">maio!$A$2:$K$3</definedName>
    <definedName hidden="1" localSheetId="5" name="Z_F6E0E906_D63E_467F_B486_84E6C0126E80_.wvu.FilterData">junho!$A$2:$K$3</definedName>
    <definedName hidden="1" localSheetId="6" name="Z_F6E0E906_D63E_467F_B486_84E6C0126E80_.wvu.FilterData">julho!$A$2:$K$3</definedName>
    <definedName hidden="1" localSheetId="7" name="Z_F6E0E906_D63E_467F_B486_84E6C0126E80_.wvu.FilterData">agosto!$A$2:$K$3</definedName>
    <definedName hidden="1" localSheetId="8" name="Z_F6E0E906_D63E_467F_B486_84E6C0126E80_.wvu.FilterData">setembro!$A$2:$K$3</definedName>
    <definedName hidden="1" localSheetId="9" name="Z_F6E0E906_D63E_467F_B486_84E6C0126E80_.wvu.FilterData">outubro!$A$2:$K$3</definedName>
    <definedName hidden="1" localSheetId="10" name="Z_F6E0E906_D63E_467F_B486_84E6C0126E80_.wvu.FilterData">novembro!$A$2:$K$3</definedName>
    <definedName hidden="1" localSheetId="11" name="Z_F6E0E906_D63E_467F_B486_84E6C0126E80_.wvu.FilterData">dezembro!$A$2:$K$3</definedName>
    <definedName hidden="1" localSheetId="12" name="Z_F6E0E906_D63E_467F_B486_84E6C0126E80_.wvu.FilterData">'janeiro 2022'!$A$2:$K$3</definedName>
    <definedName hidden="1" localSheetId="13" name="Z_F6E0E906_D63E_467F_B486_84E6C0126E80_.wvu.FilterData">'fevereiro 2022'!$A$2:$K$3</definedName>
    <definedName hidden="1" localSheetId="14" name="Z_F6E0E906_D63E_467F_B486_84E6C0126E80_.wvu.FilterData">'março 2022'!$A$2:$K$3</definedName>
    <definedName hidden="1" localSheetId="15" name="Z_F6E0E906_D63E_467F_B486_84E6C0126E80_.wvu.FilterData">'abril 2022'!$A$2:$K$3</definedName>
    <definedName hidden="1" localSheetId="16" name="Z_F6E0E906_D63E_467F_B486_84E6C0126E80_.wvu.FilterData">'maio 2022'!$A$2:$K$3</definedName>
    <definedName hidden="1" localSheetId="0" name="Z_8E320149_1ED8_4245_AE83_2AF08A85D2EE_.wvu.FilterData">janeiro!$A$2:$K$9</definedName>
    <definedName hidden="1" localSheetId="1" name="Z_8E320149_1ED8_4245_AE83_2AF08A85D2EE_.wvu.FilterData">fevereiro!$A$2:$K$9</definedName>
    <definedName hidden="1" localSheetId="2" name="Z_8E320149_1ED8_4245_AE83_2AF08A85D2EE_.wvu.FilterData">'março'!$A$2:$K$3</definedName>
    <definedName hidden="1" localSheetId="3" name="Z_8E320149_1ED8_4245_AE83_2AF08A85D2EE_.wvu.FilterData">abril!$A$2:$K$3</definedName>
    <definedName hidden="1" localSheetId="4" name="Z_8E320149_1ED8_4245_AE83_2AF08A85D2EE_.wvu.FilterData">maio!$A$2:$K$3</definedName>
    <definedName hidden="1" localSheetId="5" name="Z_8E320149_1ED8_4245_AE83_2AF08A85D2EE_.wvu.FilterData">junho!$A$2:$K$3</definedName>
    <definedName hidden="1" localSheetId="6" name="Z_8E320149_1ED8_4245_AE83_2AF08A85D2EE_.wvu.FilterData">julho!$A$2:$K$3</definedName>
    <definedName hidden="1" localSheetId="7" name="Z_8E320149_1ED8_4245_AE83_2AF08A85D2EE_.wvu.FilterData">agosto!$A$2:$K$3</definedName>
    <definedName hidden="1" localSheetId="8" name="Z_8E320149_1ED8_4245_AE83_2AF08A85D2EE_.wvu.FilterData">setembro!$A$2:$K$3</definedName>
    <definedName hidden="1" localSheetId="9" name="Z_8E320149_1ED8_4245_AE83_2AF08A85D2EE_.wvu.FilterData">outubro!$A$2:$K$3</definedName>
    <definedName hidden="1" localSheetId="10" name="Z_8E320149_1ED8_4245_AE83_2AF08A85D2EE_.wvu.FilterData">novembro!$A$2:$K$3</definedName>
    <definedName hidden="1" localSheetId="11" name="Z_8E320149_1ED8_4245_AE83_2AF08A85D2EE_.wvu.FilterData">dezembro!$A$2:$K$3</definedName>
    <definedName hidden="1" localSheetId="12" name="Z_8E320149_1ED8_4245_AE83_2AF08A85D2EE_.wvu.FilterData">'janeiro 2022'!$A$2:$K$3</definedName>
    <definedName hidden="1" localSheetId="13" name="Z_8E320149_1ED8_4245_AE83_2AF08A85D2EE_.wvu.FilterData">'fevereiro 2022'!$A$2:$K$3</definedName>
    <definedName hidden="1" localSheetId="14" name="Z_8E320149_1ED8_4245_AE83_2AF08A85D2EE_.wvu.FilterData">'março 2022'!$A$2:$K$3</definedName>
    <definedName hidden="1" localSheetId="15" name="Z_8E320149_1ED8_4245_AE83_2AF08A85D2EE_.wvu.FilterData">'abril 2022'!$A$2:$K$3</definedName>
    <definedName hidden="1" localSheetId="16" name="Z_8E320149_1ED8_4245_AE83_2AF08A85D2EE_.wvu.FilterData">'maio 2022'!$A$2:$K$3</definedName>
  </definedNames>
  <calcPr/>
  <customWorkbookViews>
    <customWorkbookView activeSheetId="0" maximized="1" windowHeight="0" windowWidth="0" guid="{F6E0E906-D63E-467F-B486-84E6C0126E80}" name="CARTAO DE CREDITO"/>
    <customWorkbookView activeSheetId="0" maximized="1" windowHeight="0" windowWidth="0" guid="{55ED7845-B94B-4003-AD57-D4008EE7E009}" name="FIXO"/>
    <customWorkbookView activeSheetId="0" maximized="1" windowHeight="0" windowWidth="0" guid="{FF238D65-B29E-47B3-BB76-09A78DB37DDE}" name="PESSOAL"/>
    <customWorkbookView activeSheetId="0" maximized="1" windowHeight="0" windowWidth="0" guid="{8E320149-1ED8-4245-AE83-2AF08A85D2EE}" name="GASTOS ESSENCIAIS"/>
    <customWorkbookView activeSheetId="0" maximized="1" windowHeight="0" windowWidth="0" guid="{5F890A4C-8AFA-4126-80E7-AF0191C5590F}" name="CARRO"/>
  </customWorkbookViews>
</workbook>
</file>

<file path=xl/comments1.xml><?xml version="1.0" encoding="utf-8"?>
<comments xmlns:r="http://schemas.openxmlformats.org/officeDocument/2006/relationships" xmlns="http://schemas.openxmlformats.org/spreadsheetml/2006/main">
  <authors>
    <author/>
  </authors>
  <commentList>
    <comment authorId="0" ref="B40">
      <text>
        <t xml:space="preserve">Matricula e Primeira Mensalidade</t>
      </text>
    </comment>
    <comment authorId="0" ref="B41">
      <text>
        <t xml:space="preserve">Dicloridrato de Hidrozinina - Carlos</t>
      </text>
    </comment>
    <comment authorId="0" ref="B48">
      <text>
        <t xml:space="preserve">4 Hambúrgueres, 2 porções de batata frita, 1 porção de cebola frita, 2 litros de refrigerante, maionese</t>
      </text>
    </comment>
    <comment authorId="0" ref="B53">
      <text>
        <t xml:space="preserve">paguei no lugar da Cida</t>
      </text>
    </comment>
    <comment authorId="0" ref="B70">
      <text>
        <t xml:space="preserve">4 Hambúrgueres, 2 porções de batata frita, 1 porção de cebola frita, 2 litros de refrigerante, maionese</t>
      </text>
    </comment>
    <comment authorId="0" ref="B71">
      <text>
        <t xml:space="preserve">Cópias para:
Formulário medico do trabalho CLT (inicio na BRQ);
Carta Abertura de Conta Santander (inicio na BRQ);
Declaração de conteúdo SEDEX (saida da Certsys).
</t>
      </text>
    </comment>
    <comment authorId="0" ref="B72">
      <text>
        <t xml:space="preserve">Venda da casa de itaquera (Dida)</t>
      </text>
    </comment>
    <comment authorId="0" ref="B75">
      <text>
        <t xml:space="preserve">2 camas box bau solteiro, sem colchões, para o Carlos e o Eduardo
</t>
      </text>
    </comment>
    <comment authorId="0" ref="B77">
      <text>
        <t xml:space="preserve">Logitech MK235 Sem Fio Resistente à Água Cinza ABNT2</t>
      </text>
    </comment>
    <comment authorId="0" ref="B85">
      <text>
        <t xml:space="preserve">2 caixas de pantoprazol (20mg) com 28 cada e 1 caixa de prednisona (20mg) com 10
</t>
      </text>
    </comment>
    <comment authorId="0" ref="B86">
      <text>
        <t xml:space="preserve">1 caixa de mascara descartavel com 50 unidades
</t>
      </text>
    </comment>
    <comment authorId="0" ref="B87">
      <text>
        <t xml:space="preserve">Cloridrato de Hidroxizine + contraceptivo
</t>
      </text>
    </comment>
    <comment authorId="0" ref="B94">
      <text>
        <t xml:space="preserve">Polaramine (é pra dormir)... efeito pandemia de coronavirus
</t>
      </text>
    </comment>
  </commentList>
</comments>
</file>

<file path=xl/comments2.xml><?xml version="1.0" encoding="utf-8"?>
<comments xmlns:r="http://schemas.openxmlformats.org/officeDocument/2006/relationships" xmlns="http://schemas.openxmlformats.org/spreadsheetml/2006/main">
  <authors>
    <author/>
  </authors>
  <commentList>
    <comment authorId="0" ref="B9">
      <text>
        <t xml:space="preserve">Sociedade de Obras Religiosas de Monteiro Lobato</t>
      </text>
    </comment>
    <comment authorId="0" ref="B26">
      <text>
        <t xml:space="preserve">Galinha Pintadinha</t>
      </text>
    </comment>
    <comment authorId="0" ref="B37">
      <text>
        <t xml:space="preserve">Cadeira Gamer XT Racer Reclinavel Preta e Laranja - Speed Series XTS120
Comprada na Magazine Luiza - internet</t>
      </text>
    </comment>
    <comment authorId="0" ref="B48">
      <text>
        <t xml:space="preserve">Levar o Notebook da BRQ para "trava-lo" no uso apenas para a RedeCard Itau.
Recebi o Notebook em casa para Homeoffice, mas tive que leva-lo em SP.
Cada trampo que me aparece!!!</t>
      </text>
    </comment>
    <comment authorId="0" ref="B49">
      <text>
        <t xml:space="preserve">Venda da casa de itaquera (Dida)</t>
      </text>
    </comment>
    <comment authorId="0" ref="B51">
      <text>
        <t xml:space="preserve">Pneu furou na votla da RedeCard!!!
Revisão:
2 pneus meia vida - 300,00; 
Balanceamento de rodas - 120,00;
Óleo - 120;
Filtro de Ólero - 40,00;
Pastilha de freio dianteiro - 170,00;
Mão de obra troca freio dianteiro - 130,00;
Cambagem - 120,00
Alinhamento - GRATIS
</t>
      </text>
    </comment>
    <comment authorId="0" ref="B54">
      <text>
        <t xml:space="preserve">TROCA DE OLEO DO MOTOR E TROCA DE OLEO DO CAMBIO AUTOMATICO (E AINDA APARENTEMENTE CORRIGIRAM O PROBLEMA DA LUZ DO ABS NO PAINEL)
SHOWWWW!!!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
</t>
      </text>
    </comment>
    <comment authorId="0" ref="B57">
      <text>
        <t xml:space="preserve">1 pacote de fralda babysec (com 32) - Carlos
1 cartela de dorflex - Roberta</t>
      </text>
    </comment>
    <comment authorId="0" ref="B59">
      <text>
        <t xml:space="preserve">Barbante e arame galvanizado para construir outro suporte para plantas em pet e sem necessidade de regar.</t>
      </text>
    </comment>
    <comment authorId="0" ref="B72">
      <text>
        <t xml:space="preserve">https://www.vakinha.com.br/vaquinha/remocao-uti-aerea
Fisioterapeuta Talyssa Oliveira Taques, de 27 anos, está há 15 dias internada na Unidade de Terapia Intensiva (UTI) do Hospital Israelita Albert Sabin, no Rio de Janeiro. No dia 5 de fevereiro, ela teve uma crise de sonambulismo e caiu do 3º andar do hotel em que estava hospedada e fraturou um vértebra da coluna.
Talyssa atua na linha de frente contra o novo coronavírus em Cuiabá, no Hospital São Mateus e no antigo Pronto-Socorro da capital. Família acredita que crise tenha decorrido da exaustão vivenciada durante a pandemia.
“Nós não temos mais condições de nos manter aqui. O plano cobriu parte dos honorários da internação e da cirurgia. Tenho passado dias difíceis. Ainda tem os custos das despesas do hotel, da alimentação. A gente precisa voltar porque Cuiabá o plano cobre total, no Rio de Janeiro é apenas parcial”, disse.
Transporte foi autorizado pelos médicos apenas de forma área. Valor totaliza os R$ 90 mil. Para arcar com os custos, família elaborou uma vaquinha online.</t>
      </text>
    </comment>
    <comment authorId="0" ref="B83">
      <text>
        <t xml:space="preserve">Ventilador</t>
      </text>
    </comment>
    <comment authorId="0" ref="B84">
      <text>
        <t xml:space="preserve">Gastro
Rua Esperança, 282, Vila Adyana, São José dos Campos</t>
      </text>
    </comment>
    <comment authorId="0" ref="B86">
      <text>
        <t xml:space="preserve">estacionamento zona azul para ecodopler e teste ergometrico na Chiba Laboratorios - Rua porto novo, 401, jd satelite, sao jose dos campos</t>
      </text>
    </comment>
    <comment authorId="0" ref="B90">
      <text>
        <t xml:space="preserve">Retira na loja Av Andromeda, 1255
Dermatologia: Advantan creme 0,1% Bayer 15g para Carlos
</t>
      </text>
    </comment>
    <comment authorId="0" ref="B91">
      <text>
        <t xml:space="preserve">Av Andromeda, 1215
Dermatologia: Dicloridrato de hidroxizina para Carlos
</t>
      </text>
    </comment>
    <comment authorId="0" ref="B92">
      <text>
        <t xml:space="preserve">Dermatologia: Bioderma Atoderm Intensive Baume para Carlos
</t>
      </text>
    </comment>
    <comment authorId="0" ref="B95">
      <text>
        <t xml:space="preserve">estacionamento zona azul para ecodopler e teste ergometrico na Chiba Laboratorios - Rua porto novo, 401, jd satelite, sao jose dos campos</t>
      </text>
    </comment>
    <comment authorId="0" ref="B97">
      <text>
        <t xml:space="preserve">Uber - volta - paguei em dinheiro
Fui na Fix Center na R. Brg. Osvaldo Nascimento Leal, 198 - Jardim Sao Dimas, São José dos Campos - SP, 12245-200 para corrigir o problema deixado pela Oficina Brasil (ver em 18/02/2021) onde drenaram o óleo do cambio automatico. O carro ficou "fraco" e dando trancos (ainda bem que constatamos o problema pois se rodassemos com o carro assim - sem oleo no cambio - seria um desastre)</t>
      </text>
    </comment>
    <comment authorId="0" ref="B102">
      <text>
        <t xml:space="preserve">Pagamento em atraso: multa de 79,66</t>
      </text>
    </comment>
    <comment authorId="0" ref="B105">
      <text>
        <t xml:space="preserve">Porçao de Frango frito com batata frita e mandioca frita</t>
      </text>
    </comment>
    <comment authorId="0" ref="B107">
      <text>
        <t xml:space="preserve">1 xarope dicloridrato de hidroxizina da Legrand para Carlos e Eduado</t>
      </text>
    </comment>
    <comment authorId="0" ref="B108">
      <text>
        <t xml:space="preserve">1 xarope dicloridrato de hidroxizina da Eurofarma para Carlos e Eduado;
1 xarope Celergin para Carlos;</t>
      </text>
    </comment>
  </commentList>
</comments>
</file>

<file path=xl/comments3.xml><?xml version="1.0" encoding="utf-8"?>
<comments xmlns:r="http://schemas.openxmlformats.org/officeDocument/2006/relationships" xmlns="http://schemas.openxmlformats.org/spreadsheetml/2006/main">
  <authors>
    <author/>
  </authors>
  <commentList>
    <comment authorId="0" ref="B35">
      <text>
        <t xml:space="preserve">paguei com 3 cartões</t>
      </text>
    </comment>
    <comment authorId="0" ref="B36">
      <text>
        <t xml:space="preserve">paguei com 3 cartões</t>
      </text>
    </comment>
    <comment authorId="0" ref="B37">
      <text>
        <t xml:space="preserve">paguei com 3 cartões</t>
      </text>
    </comment>
    <comment authorId="0" ref="B53">
      <text>
        <t xml:space="preserve">Venda da casa de itaquera (Dida)</t>
      </text>
    </comment>
    <comment authorId="0" ref="B62">
      <text>
        <t xml:space="preserve">No dia 09 de Março de 2020, nós ganhamos um presente de DEUS, nosso Vinny chegava para alegrar as nossas vidas.
Planos, expectativas e muitos sonhos nasciam junto com aquele bebê e com tudo que desejávamos para ele.
Mal sabíamos que ao contrário do fluxo normal da vida, em tão pouco tempo ele nos ensinaria mais do que nós a ele.
Apenas 4 meses depois do seu nascimento, mais precisamente no dia 13/07/2020, nosso Vinny já começou a maior batalha de sua vida, a luta contra uma Leucemia rara. 
Sim, parece inacreditável e até difícil imaginar que bebês tão pequenos, tenham que passar por essa luta, naquela noite, o nosso desejo era fugir, apagar aquele dia das nossas vidas, mas não tinha como, o diagnóstico estava lá: Leucemia Linfóide Aguda B do lactante- Alto Risco (CID C91).
Após passar mal, ser levado para o hospital e passar por um batalhão de exames, os médicos anunciariam que ali começaria a nossa luta por um grande milagre.
Desde então, como podem imaginar, nada tem sido fácil nem para ele e nem para nós, esse diagnóstico no meio de um pandemia dificultou ainda mais as coisas em absolutamente todos os sentidos. 
O Vinny é o terceiro filho, o caçulinha, ele tem duas irmãs, a Giovanna, de 11 anos, e a Gabrielli, de apenas 5 aninhos. 
A mãe precisa acompanhá-lo em tempo integral e ainda, cuidar dos três e da casa, enquanto o pai, continua trabalhando na medida do possível, já que diariamente é necessário levar e busca-los no hospital para os diversos procedimentos que compõe o tratamento.
A união da nossa família tem sido fundamental neste momento. 
Nós não desejamos que nenhuma família no mundo passe pela dor de ver seu bebê, com um corpinho ainda tão pequeno e frágil sofrendo o peso de uma quimioterapia, as picadas no corpo e todos efeitos colaterais que ferem o corpo e a alma.... tem sido triste demais!
Mas, apesar de tanta dor, nosso príncipe não economiza sorrisos, risadinhas, amor e gratidão pela vida...diferente de nós adultos, ele só enxerga a parte boa da vida e é isso que nos fortalece todos os dias! 
A batalha do nosso pequeno tem várias fases:
A primeira foi vencida...Nosso guerreiro lutou e derrotou a morte pela primeira vez. Ao chegar no hospital dia 13/07, ele estava praticamente sem vida, todos seus órgãos comprometidos, resultados dos exames alterados, sistema nervoso central afetado e tomado pela LLA (com 1.2m de leucócitos). Precisou ser entubado, pois já não conseguia respirar. 
Estamos iniciando a segunda batalha  e acreditamos que também venceremos,  mesmo com uma perspectiva não tão boa aos nossos olhos, cremos que DEUS continua no controle. As quimioterapias e procedimentos realizados até o momento, infelizmente, não foram suficientes para vencer a doença.  Segundo os médicos " todas as medicações disponíveis e indicadas para o tratamento da doença, foram utilizados, não há mais  o que se fazer,  somente dar conforto através de tratamentos paliativos" 
Não, não podemos aceitar isso. Descobrimos, que nos EUA existe uma medicação bastante eficaz ainda em fase de teste.
O caso do Vinicius foi então enviado para a instituição (The University of Texas MD Anderson Cancer Center ) para que avaliassem o caso e pedimos a inclusão do Vinny no tratamento.
Graças a DEUS rapidamente nos retornaram e aceitaram tratar o Vinicius, porém nos apresentaram também os custo iniciais  que somado ao teste do Covid, totaliza U$ 235,635.00 dólares  (aprox 1.4 milhões de reais), correspondente a 2 meses de tratamento, mais R$700.000,00, referente ao custo do vôo UTI. Para nós foi um choque, um valor totalmente fora da nossa realidade e da realidade de nós brasileiros . 
No caso do Vinicius o tempo de tratamento só será definido após os exames iniciais.
É aí que encaramos uma outra imensa,  além desse valor inicial, existem também outros custos, como passagens, alimentação, hospedagem etc.
Em seu ouvido enquanto dormia no meu colo, ainda na UTI e com dificuldade para respirar, falei baixinho a ele, que eu lutaria com ele essa luta até o último dia, até vencermos essa guerra, tenho repetido isso a ele sempre que estou com ele, talvez ele não entenda, sinceramente acho que não entende, afinal ainda é um bebezinho de 10 meses, mas eu entendo e me lembro a todo o momento o meu compromisso com ele e por isso recruto soldados...NÓS PRECISAMOS DE VOCÊ.
Estamos correndo contra o tempo, a doença do Vinicius é extremamente agressiva e evolui rapidamente. 
Por isso, pedimos a ajuda de todos com doações e orações para conseguirmos arrecadar esse valor e salvarmos a vida do nosso pequeno, o valor é altissimo nós sabemos, mas eu ainda acredito num mundo solidário, se nos juntarmos o impossivel se tornará possivel.  
Não importa a quantia a ser doada, o maior valor é o amor, a empatia, o desejo de ajudar, ainda que não seja uma doação alta, será uma doação importantíssima e contribuirá para salvar o nosso guerreiro.   
Cremos que DEUS não irá nos desamparar, assim como cremos, que ele age através de cada uma das pessoas que ele tem colocado em nosso caminho, cada uma que está nos ajudando e ainda nas que irão nos ajudar...a todos vocês somos e seremos eternamente gratos !
Pedimos também que nos ajudem compartilhando essa mensagem com máximo de pessoas possível.
Eu sou Carine,  a tia enlouquecida de amor pelo Vinny e quem tiver qualquer dúvida, ou se interessar por documentos, laudos ou relatórios médicos, pode me ligar ou chamar pelo whats app por meio dos números: 
Tel : +55 11 94117-7793
e-mail : cgfogaca@hotmail.com
Instagram : amigosdovinny
Contamos com vocês!
Só queremos que nosso príncipe tenha a chance de viver a sua vida ao lado dos seus pais e irmãs e de todos os que já o amam mesmo sem conhecê-lo ! 
DADOS BANCÁRIOS:
•Vinicius Debertis Gaidies
* CPF e PIX : 583.664.438-17
Banco do Brasil
Agencia:  0916-4
Conta Poupança: 57.349-3
Fiquem com Deus!
Carine</t>
      </text>
    </comment>
    <comment authorId="0" ref="B63">
      <text>
        <t xml:space="preserve">3 suportes 91,50
frete 6,70</t>
      </text>
    </comment>
    <comment authorId="0" ref="B64">
      <text>
        <t xml:space="preserve">2 pacotes de fralda babysec (com 32 cada) - Carlos
</t>
      </text>
    </comment>
    <comment authorId="0" ref="B68">
      <text>
        <t xml:space="preserve">OVOS INFANTIS 50g
	2 Crocantes - R$ 14,90
	2 Crush (flocos de arroz) - R$ 14,90
OVOS DE COLHER 350g
	1 COM RECHEIO DE BRIGADEIRO CREMOSO - R$ 44,90
	1 COM RECHEIO DE PAVE DE CHOCOLATE COM PAÇOCA E AMENDOIM - R$ 44,90
TOTAL 149,40
METADE 74,70</t>
      </text>
    </comment>
  </commentList>
</comments>
</file>

<file path=xl/comments4.xml><?xml version="1.0" encoding="utf-8"?>
<comments xmlns:r="http://schemas.openxmlformats.org/officeDocument/2006/relationships" xmlns="http://schemas.openxmlformats.org/spreadsheetml/2006/main">
  <authors>
    <author/>
  </authors>
  <commentList>
    <comment authorId="0" ref="B14">
      <text>
        <t xml:space="preserve">OVOS INFANTIS 50g
	2 Crocantes - R$ 14,90
	2 Crush (flocos de arroz) - R$ 14,90
OVOS DE COLHER 350g
	1 COM RECHEIO DE BRIGADEIRO CREMOSO - R$ 44,90
	1 COM RECHEIO DE PAVE DE CHOCOLATE COM PAÇOCA E AMENDOIM - R$ 44,90
TOTAL 149,40
METADE 74,70</t>
      </text>
    </comment>
    <comment authorId="0" ref="B44">
      <text>
        <t xml:space="preserve">Retira na loja Av Cidade Jardim, 3580
Dermatologia: Advantan creme 0,1% Bayer 15g para Carlos
</t>
      </text>
    </comment>
    <comment authorId="0" ref="B45">
      <text>
        <t xml:space="preserve">Retira na loja Av Cidade Jardim, 3580
Dermatologia: Advantan creme 0,1% Bayer 15g para Carlos
</t>
      </text>
    </comment>
    <comment authorId="0" ref="B46">
      <text>
        <t xml:space="preserve">retirar na loja</t>
      </text>
    </comment>
    <comment authorId="0" ref="B59">
      <text>
        <t xml:space="preserve">2 dicloridrato de hidroxizina 2mg/ml para o Carlos - 20,90 cada
1 caixa de dipirona 500mg/com 10 - 3,05</t>
      </text>
    </comment>
    <comment authorId="0" ref="B66">
      <text>
        <t xml:space="preserve">Teclado e Mouse com fio Logitech MK120 Resistente à Água 1000DPI Preto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9">
      <text>
        <t xml:space="preserve">Roberta comprou por engano e eu já cancelei</t>
      </text>
    </comment>
    <comment authorId="0" ref="B20">
      <text>
        <t xml:space="preserve">Roberta comprou por engano e eu já cancelei</t>
      </text>
    </comment>
    <comment authorId="0" ref="B61">
      <text>
        <t xml:space="preserve">Venda da casa de itaquera (Dida)</t>
      </text>
    </comment>
    <comment authorId="0" ref="B64">
      <text>
        <t xml:space="preserve">Fone Haylou GT1 Plus Xiaomi Tws Bluetooth 5.0 IPX5 Chip Qualcomm Aptx + Aac Duplo = 138,72
Frete = 10,76</t>
      </text>
    </comment>
    <comment authorId="0" ref="B66">
      <text>
        <t xml:space="preserve">1 pacotes de fralda babysec (com 32 cada) - Carlos = 33,70
Dicloridrato de hidroxizina, xarope 25mg / ml = 28,00
</t>
      </text>
    </comment>
    <comment authorId="0" ref="B79">
      <text>
        <t xml:space="preserve">1 dicloridrato de hidroxizina 2mg/ml para o Carlos - 20,55
1 Celergin - 9,85
1 minancora - 12,99
1 Vick vaporub - 23,20
1 Nasonex - 48,20</t>
      </text>
    </comment>
  </commentList>
</comments>
</file>

<file path=xl/comments6.xml><?xml version="1.0" encoding="utf-8"?>
<comments xmlns:r="http://schemas.openxmlformats.org/officeDocument/2006/relationships" xmlns="http://schemas.openxmlformats.org/spreadsheetml/2006/main">
  <authors>
    <author/>
  </authors>
  <commentList>
    <comment authorId="0" ref="B16">
      <text>
        <t xml:space="preserve">Venda da casa de itaquera (Dida)</t>
      </text>
    </comment>
    <comment authorId="0" ref="B19">
      <text>
        <t xml:space="preserve">Ampola 25,93
Frete 12,70</t>
      </text>
    </comment>
    <comment authorId="0" ref="B22">
      <text>
        <t xml:space="preserve">Adaptador USB Wifi Dual Banc c/ antena PC Windows Mac Linux 73,50
Frete 9,90</t>
      </text>
    </comment>
    <comment authorId="0" ref="B68">
      <text>
        <t xml:space="preserve">1 Puran T4 - Roberta
2 mini álcool gel bichinhos - Carlos</t>
      </text>
    </comment>
  </commentList>
</comments>
</file>

<file path=xl/comments7.xml><?xml version="1.0" encoding="utf-8"?>
<comments xmlns:r="http://schemas.openxmlformats.org/officeDocument/2006/relationships" xmlns="http://schemas.openxmlformats.org/spreadsheetml/2006/main">
  <authors>
    <author/>
  </authors>
  <commentList>
    <comment authorId="0" ref="B44">
      <text>
        <t xml:space="preserve">Troca de escolas - não houve pagamentos nesse mês</t>
      </text>
    </comment>
    <comment authorId="0" ref="B49">
      <text>
        <t xml:space="preserve">2 dicloridrato de hidroxizina
1 caixa Novalgina</t>
      </text>
    </comment>
    <comment authorId="0" ref="B52">
      <text>
        <t xml:space="preserve">2 pacotes de fralda babysec XXG (com 28 cada) - Carlos
</t>
      </text>
    </comment>
    <comment authorId="0" ref="B67">
      <text>
        <t xml:space="preserve">Venda da casa de itaquera (Dida)</t>
      </text>
    </comment>
    <comment authorId="0" ref="B77">
      <text>
        <t xml:space="preserve">30 minutos de brinquedos = 60,00
10 fichas = 50,00</t>
      </text>
    </comment>
    <comment authorId="0" ref="B78">
      <text>
        <t xml:space="preserve">2 Balões de gás para o Carlos e Eduardo = 30,00
</t>
      </text>
    </comment>
    <comment authorId="0" ref="B82">
      <text>
        <t xml:space="preserve">Colegio fica no Jd Portugal e tem aulas online (ainda estamos na pandemia, mas já tomei a primeira dose da astrazenica)</t>
      </text>
    </comment>
    <comment authorId="0" ref="B90">
      <text>
        <t xml:space="preserve">Conjunto Sala de Jantar Rosie Mesa Tampo de Madeira com 4 Cadeiras = 530,91
FRETE = 26,15</t>
      </text>
    </comment>
    <comment authorId="0" ref="B109">
      <text>
        <t xml:space="preserve">1 Grande e uma média</t>
      </text>
    </comment>
    <comment authorId="0" ref="B110">
      <text>
        <t xml:space="preserve">2 - SSD Kingston A400, 120GB, SATA, Leitura 500MB/s, Gravação 320MB/s - SA400S37/120G = 446,82
2 - HD WD Externo Portátil Elements USB 3.0 2TB WDBU6Y0020BBK = 837,42
FRETE = 12,90
DESCONTO = -192,64 (PAGAMENTO COM PIX)</t>
      </text>
    </comment>
    <comment authorId="0" ref="B112">
      <text>
        <t xml:space="preserve">Não houve compras nesse mês</t>
      </text>
    </comment>
  </commentList>
</comments>
</file>

<file path=xl/comments8.xml><?xml version="1.0" encoding="utf-8"?>
<comments xmlns:r="http://schemas.openxmlformats.org/officeDocument/2006/relationships" xmlns="http://schemas.openxmlformats.org/spreadsheetml/2006/main">
  <authors>
    <author/>
  </authors>
  <commentList>
    <comment authorId="0" ref="B13">
      <text>
        <t xml:space="preserve">COMBO 2 Refis originais (CIX06) para Purificadores de Água Consul CPC31, CPB34 CJ-CIK04AX = 209,00
FRETE = 12,98</t>
      </text>
    </comment>
    <comment authorId="0" ref="B34">
      <text>
        <t xml:space="preserve">codigo de barras:
Ago 03399380299060000000506438601012987080000064300
Set 03399380299060000000506439401016287390000064300
Out 03399380299060000000506440801014487690000064300
Nov 03399380299060000000506441601017688000000064300
Dez 03399380299060000000506442401011488300000064300</t>
      </text>
    </comment>
    <comment authorId="0" ref="B52">
      <text>
        <t xml:space="preserve">Venda da casa de itaquera (Dida)</t>
      </text>
    </comment>
    <comment authorId="0" ref="B55">
      <text>
        <t xml:space="preserve"> Clear XPML11 BTLG11 VISC11 MCCI11 Subscrição</t>
      </text>
    </comment>
    <comment authorId="0" ref="B64">
      <text>
        <t xml:space="preserve">O mesmo da cama elástica dos aniversários do Carlos e d Eduardo
Dory Edson Tavares - Cama Elastica </t>
      </text>
    </comment>
    <comment authorId="0" ref="B65">
      <text>
        <t xml:space="preserve">Ugreen - Cabo Usb A Macho/macho 3.0 - 1m = 54,90
Frete = 8,90
VENDEDOR: MENTOKO STORE</t>
      </text>
    </comment>
    <comment authorId="0" ref="B67">
      <text>
        <t xml:space="preserve">TROCA DE 2 PNEUS, ALINHAMENTO, BALANCEAMENTO, CONSERTO DE BOTOES DE SUBIDA DOS VIDROS (CONTROLES DO MOTORISTA)
Fix Center na R. Brg. Osvaldo Nascimento Leal, 198 - Jardim Sao Dimas, São José dos Campos - SP, 12245-200
</t>
      </text>
    </comment>
  </commentList>
</comments>
</file>

<file path=xl/comments9.xml><?xml version="1.0" encoding="utf-8"?>
<comments xmlns:r="http://schemas.openxmlformats.org/officeDocument/2006/relationships" xmlns="http://schemas.openxmlformats.org/spreadsheetml/2006/main">
  <authors>
    <author/>
  </authors>
  <commentList>
    <comment authorId="0" ref="B16">
      <text>
        <t xml:space="preserve">Adelino Gonçalves - próximo ao espaço andromeda</t>
      </text>
    </comment>
    <comment authorId="0" ref="B45">
      <text>
        <t xml:space="preserve">codigo de barras:
Set 03399380299060000000506439401016287390000064300
Out 03399380299060000000506440801014487690000064300
Nov 03399380299060000000506441601017688000000064300
Dez 03399380299060000000506442401011488300000064300</t>
      </text>
    </comment>
    <comment authorId="0" ref="B53">
      <text>
        <t xml:space="preserve">Paguei a Ida para a oficina (para buscar o carro) em dinheiro para o Uber.
Deixei o carro na oficina para tratar dos resquicios do problema de fevereiro: troca dos 2 pneus danteiros 165/70 R14 por 2 175/70 R14; verficação de falhas ao fechar janelas pelo comando do motorista.
</t>
      </text>
    </comment>
    <comment authorId="0" ref="B64">
      <text>
        <t xml:space="preserve">Venda da casa de itaquera (Dida)</t>
      </text>
    </comment>
    <comment authorId="0" ref="B73">
      <text>
        <t xml:space="preserve">soro para inalação no Eduardo; bandaids
Eduardo reclamou de dor de garganta o dia todo.
</t>
      </text>
    </comment>
    <comment authorId="0" ref="B74">
      <text>
        <t xml:space="preserve">remedios para o Eduardo: Ibuprofeno e Vonal (convênio vidalink IBM), Enterogermina
Fomos no Pró-Infancia (Eduardo teve febre 39 graus na madrugada e muita dor de barriga - medica acha que é covid e acho que é intolerância a lactose pq ele vomitou no pronto-socorro)</t>
      </text>
    </comment>
    <comment authorId="0" ref="B75">
      <text>
        <t xml:space="preserve">Diversão pq ficará no isolamento:
google play</t>
      </text>
    </comment>
    <comment authorId="0" ref="B84">
      <text>
        <t xml:space="preserve">remedios para o Eduardo: prednisolona líquido 3mg/ml - 7ml por dia por 5 dias (convênio vidalink IBM), soro para lavar as vias aéreas com seringa.
O exame RT- PCR Covid deu negativo, mas a tosse voltou. Fomos no P.A. da clínica Opus na Av São João próx ao Vicentina Aranha. A médica examinou e ele está com muito catarro mas vias áreas.</t>
      </text>
    </comment>
    <comment authorId="0" ref="B85">
      <text>
        <t xml:space="preserve">2 Nasonex (convênio vidalink IBM); 2 soros 500ml; 1 dicloridrato de hidroxizina</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4">
      <text>
        <t xml:space="preserve">1 Advantam creme (convênio vidalink IBM)</t>
      </text>
    </comment>
    <comment authorId="0" ref="B16">
      <text>
        <t xml:space="preserve">churrasco; vinagrete; maionese; refrigerante.</t>
      </text>
    </comment>
    <comment authorId="0" ref="B49">
      <text>
        <t xml:space="preserve">codigo de barras:
Out 03399380299060000000506440801014487690000064300
Nov 03399380299060000000506441601017688000000064300
Dez 03399380299060000000506442401011488300000064300</t>
      </text>
    </comment>
    <comment authorId="0" ref="B56">
      <text>
        <t xml:space="preserve">Buscar encomenda da Roberta
Alvo + bolinhas que grudam no alvo</t>
      </text>
    </comment>
    <comment authorId="0" ref="B57">
      <text>
        <t xml:space="preserve">Trocar encomenda da Roberta
2 frisbees</t>
      </text>
    </comment>
    <comment authorId="0" ref="B63">
      <text>
        <t xml:space="preserve">Primeiro mês = 5,00;
Depois = 44,99;</t>
      </text>
    </comment>
    <comment authorId="0" ref="B73">
      <text>
        <t xml:space="preserve">remedio para o Carlos: Montelair 5mg (vidalink IBM) de 58,16 
por 11,64.
80% de desconto</t>
      </text>
    </comment>
    <comment authorId="0" ref="B75">
      <text>
        <t xml:space="preserve">Venda da casa de itaquera (Dida)</t>
      </text>
    </comment>
    <comment authorId="0" ref="B86">
      <text>
        <t xml:space="preserve">remedio para o Carlos: Pergo - dicloridrato de hidroxizina 2mg/ml (vidalink IBM) de 39,11
por 9,78.
75% de desconto</t>
      </text>
    </comment>
    <comment authorId="0" ref="B89">
      <text>
        <t xml:space="preserve">1 tenis para o Eduardo;
1 sandalia para o Carlos.</t>
      </text>
    </comment>
    <comment authorId="0" ref="B90">
      <text>
        <t xml:space="preserve">7 cuecas tipo Box</t>
      </text>
    </comment>
    <comment authorId="0" ref="B91">
      <text>
        <t xml:space="preserve">1 Chip da TIM</t>
      </text>
    </comment>
    <comment authorId="0" ref="B114">
      <text>
        <t xml:space="preserve">Torneira de banheiro;
Ducha intima de banheiro;
Veda rosca;
Silicone.
</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2">
      <text>
        <t xml:space="preserve">Passeio com moto elétrica - Carlos;
Brinquedo (moto) Carlos;
Brinquedo (carro) Eduardo.</t>
      </text>
    </comment>
    <comment authorId="0" ref="B21">
      <text>
        <t xml:space="preserve">ganhei 9 reais do picpay, completei com 6 reais e comprei gift card google play para o Eduardo e ainda tive cashback de 4 reais no picpay</t>
      </text>
    </comment>
    <comment authorId="0" ref="B45">
      <text>
        <t xml:space="preserve">codigo de barras:
Nov 03399380299060000000506441601017688000000064300
Dez 03399380299060000000506442401011488300000064300</t>
      </text>
    </comment>
    <comment authorId="0" ref="B54">
      <text>
        <t xml:space="preserve">Primeiro mês = 5,00;
Depois = 44,99;</t>
      </text>
    </comment>
    <comment authorId="0" ref="B63">
      <text>
        <t xml:space="preserve">Fita isolante; ferro de solda; estanho; 10 máscaras pff2; cabo de martelo; multímetro; lâmpada led 3000k (amarela)</t>
      </text>
    </comment>
    <comment authorId="0" ref="B72">
      <text>
        <t xml:space="preserve">Venda da casa de itaquera (Dida)</t>
      </text>
    </comment>
    <comment authorId="0" ref="B79">
      <text>
        <t xml:space="preserve">remedio para o Carlos: dicloridrato de hidroxizine (vidalink IBM)
80% de desconto; Soro; luftal; Nebacetin  para o Eduardo (vidalink IBM) 80% de desconto; hidrapet (soro em pó);</t>
      </text>
    </comment>
    <comment authorId="0" ref="B105">
      <text>
        <t xml:space="preserve">PAGAR SOMENTE EM 30/11/2021
03399.38029 90600.000005 06467.001019 5 88200000059500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5">
      <text>
        <t xml:space="preserve">https://uno-internacional.com/br/unoi/pagamento/index.php/usuario/login</t>
      </text>
    </comment>
    <comment authorId="0" ref="B20">
      <text>
        <t xml:space="preserve">Asus ZenFone 3 max XC553KL - 28,41
Motorola One Action XT2013 - 28,41
Frete - 20,90</t>
      </text>
    </comment>
    <comment authorId="0" ref="B41">
      <text>
        <t xml:space="preserve">codigo de barras:
Dez 03399380299060000000506442401011488300000064300</t>
      </text>
    </comment>
    <comment authorId="0" ref="B50">
      <text>
        <t xml:space="preserve">produto 42,81
frete 12,78</t>
      </text>
    </comment>
    <comment authorId="0" ref="B55">
      <text>
        <t xml:space="preserve">Primeiro mês = 5,00;
Depois = 44,99;</t>
      </text>
    </comment>
    <comment authorId="0" ref="B74">
      <text>
        <t xml:space="preserve">remedio para o Carlos e Eduardo: Prednisolona 3mg/mL - R$ 24,11;
remedio para Cicero: Ciflogex - R$ 10,74;</t>
      </text>
    </comment>
    <comment authorId="0" ref="B75">
      <text>
        <t xml:space="preserve">Venda da casa de itaquera (Dida)</t>
      </text>
    </comment>
    <comment authorId="0" ref="B98">
      <text>
        <t xml:space="preserve">Ugreen - 2 Cabos Usb A Macho/macho 3.0
1m = 55,90
50cm = 49,90
VENDEDOR: MENTOKO STORE</t>
      </text>
    </comment>
    <comment authorId="0" ref="B102">
      <text>
        <t xml:space="preserve">https://elisvacinas.com.br/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4">
      <text>
        <t xml:space="preserve">2 brinquedos para Carlos e Eduardo,
Bulldog = 31,90
Zebra = 19,90
2 Butox = 13,80
Compressor p/ Aquario = 17,98 </t>
      </text>
    </comment>
    <comment authorId="0" ref="B15">
      <text>
        <t xml:space="preserve">2 unidades Relé Srd-sl-c 5pinos 9v 10a = 24,00
Frete = 8,19</t>
      </text>
    </comment>
    <comment authorId="0" ref="B50">
      <text>
        <t xml:space="preserve">1 Buscopan Composto (convênio vidalink IBM)
1 Luftal gotas (convênio vidalink IBM)</t>
      </text>
    </comment>
    <comment authorId="0" ref="B69">
      <text>
        <t xml:space="preserve">Primeiro mês = 5,00;
Depois = 44,99;</t>
      </text>
    </comment>
    <comment authorId="0" ref="B71">
      <text>
        <t xml:space="preserve">Lactosil Flora cx com 8 comp.</t>
      </text>
    </comment>
    <comment authorId="0" ref="B83">
      <text>
        <t xml:space="preserve">2 flanges 32mm = 77,80
2 plugs rosqueaveis = 14,38
1 mascara PFF2 Carbografite = 5,99
8 mascaras PFF2 Delta Plus = 15,92
1 cano marrom 32mm 1metro = 24,90</t>
      </text>
    </comment>
    <comment authorId="0" ref="B84">
      <text>
        <t xml:space="preserve">Venda da casa de itaquera (Dida)</t>
      </text>
    </comment>
    <comment authorId="0" ref="B90">
      <text>
        <t xml:space="preserve">2 hamburgueres (X Calabresa sem queijo, X Salada), Batata frita, Kuat 600ml</t>
      </text>
    </comment>
    <comment authorId="0" ref="B99">
      <text>
        <t xml:space="preserve">Prateleira para Congelador Consul - W10169459 = 33,61
FRETE = 5,00</t>
      </text>
    </comment>
  </commentList>
</comments>
</file>

<file path=xl/comments14.xml><?xml version="1.0" encoding="utf-8"?>
<comments xmlns:r="http://schemas.openxmlformats.org/officeDocument/2006/relationships" xmlns="http://schemas.openxmlformats.org/spreadsheetml/2006/main">
  <authors>
    <author/>
  </authors>
  <commentList>
    <comment authorId="0" ref="B60">
      <text>
        <t xml:space="preserve">Primeiro mês = 5,00;
Depois = 44,99;</t>
      </text>
    </comment>
    <comment authorId="0" ref="B62">
      <text>
        <t xml:space="preserve">2 placas de eps 25mm 100cm x 50cm = R$ 18,00
1 cola para eps = R$ 10,30
</t>
      </text>
    </comment>
    <comment authorId="0" ref="B73">
      <text>
        <t xml:space="preserve">2 ibuprofeno </t>
      </text>
    </comment>
    <comment authorId="0" ref="B74">
      <text>
        <t xml:space="preserve">Venda da casa de itaquera (Dida)</t>
      </text>
    </comment>
    <comment authorId="0" ref="B79">
      <text>
        <t xml:space="preserve">Cabo HDMI 2.0 4K 19 pinos - 3 metros = 41,99
Frete = 8,55
VENDEDOR: ILVIO MITSUYUKI WATANABE-ME</t>
      </text>
    </comment>
    <comment authorId="0" ref="B86">
      <text>
        <t xml:space="preserve">2 caixas de pantoprazol (20mg) com 28 cada = 19,24
1 caixa de prednisona (20mg) com 10 = 17,59
Bolsa Termogel = 14,90
Curativo Cremer = 12,69
2 Kinder Ovo Joy = 20,74
</t>
      </text>
    </comment>
    <comment authorId="0" ref="B88">
      <text>
        <t xml:space="preserve">Teste Covid - Antigeno IgM - Reagente (Ômicron ?)
Inicio do sintomas 15/02/2022 - terça-feira
Carlos teve inicio dos sintomas dia
13/02/2022 - Domingo
Pode ter pego na creche</t>
      </text>
    </comment>
    <comment authorId="0" ref="B91">
      <text>
        <t xml:space="preserve">Aparelho medidor de pressão arterial digital de pulso G-Tech GP300 = 78,80
Oximetro De Pulso Portatil De Dedo Oled G Tech = 78,68</t>
      </text>
    </comment>
    <comment authorId="0" ref="B106">
      <text>
        <t xml:space="preserve">5 cuecas tipo Box</t>
      </text>
    </comment>
    <comment authorId="0" ref="B107">
      <text>
        <t xml:space="preserve">1 tenis para o Eduardo;
1 chinelo para o Carlos.</t>
      </text>
    </comment>
    <comment authorId="0" ref="B109">
      <text>
        <t xml:space="preserve">2 King Jr
1 Combo </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5">
      <text>
        <t xml:space="preserve">Buzz Lightyear para o Carlos = 114,00</t>
      </text>
    </comment>
    <comment authorId="0" ref="B41">
      <text>
        <t xml:space="preserve">Primeiro mês = 5,00;
Depois = 44,99;</t>
      </text>
    </comment>
    <comment authorId="0" ref="B54">
      <text>
        <t xml:space="preserve">Venda da casa de itaquera (Dida). Conversei com Marciana (esposa do devedor) e eles estão com dificuldade no pagamento por causa da pandemia e problemas pessoais.</t>
      </text>
    </comment>
    <comment authorId="0" ref="B64">
      <text>
        <t xml:space="preserve">Mimo Style - Abridor De Latas Manivela Profissional Inox Sem Rebarbas = 36,87
Frete = 9,50</t>
      </text>
    </comment>
    <comment authorId="0" ref="B71">
      <text>
        <t xml:space="preserve">Controle sem fio XBox Carbon Black (Series S/X) = R$ 413,91. Frete = R$ 12,57.</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7">
      <text>
        <t xml:space="preserve">2 carros hot whells = 15,90 cada</t>
      </text>
    </comment>
    <comment authorId="0" ref="B19">
      <text>
        <t xml:space="preserve">2 pacotes de fralda babysec (com 32 cada) - Carlos
</t>
      </text>
    </comment>
    <comment authorId="0" ref="B22">
      <text>
        <t xml:space="preserve">- Rua Pedro Martins Ribeiro, 104, SJC</t>
      </text>
    </comment>
    <comment authorId="0" ref="B23">
      <text>
        <t xml:space="preserve">Av Cidade Jardim, 4551, prox ponto de onibus, SJC</t>
      </text>
    </comment>
    <comment authorId="0" ref="B27">
      <text>
        <t xml:space="preserve">Patinete Infantil 3 Rodas Criança Luz Led Menino Masculino</t>
      </text>
    </comment>
    <comment authorId="0" ref="B43">
      <text>
        <t xml:space="preserve"> Canos e conexões para fazer suporte para vasos e correção da caixa d'água</t>
      </text>
    </comment>
    <comment authorId="0" ref="B52">
      <text>
        <t xml:space="preserve">Primeiro mês = 5,00;
Depois = 44,99;</t>
      </text>
    </comment>
    <comment authorId="0" ref="B58">
      <text>
        <t xml:space="preserve">2 Ovos de pascoa R$ 138,00 , 2 caixas de coelhos de pascoa R$ 32, 1 pate vegano R$ 13,60</t>
      </text>
    </comment>
    <comment authorId="0" ref="B66">
      <text>
        <t xml:space="preserve">Roberta pagou o do Carlos</t>
      </text>
    </comment>
    <comment authorId="0" ref="B67">
      <text>
        <t xml:space="preserve">Roberta pagou o do Carlos</t>
      </text>
    </comment>
    <comment authorId="0" ref="B71">
      <text>
        <t xml:space="preserve">Celergin(generico) = 10,45; Goma de mascar trident fresh = 2,59; Pastilha valda sache c/ 6 unid = 3,89; </t>
      </text>
    </comment>
    <comment authorId="0" ref="B73">
      <text>
        <t xml:space="preserve">Montelair 51,90 (vidalink - 70% de desconto), Nasonex 44,37 (vidalink - 70% de desconto), 2 soros fisiologicos 6,95 cada </t>
      </text>
    </comment>
    <comment authorId="0" ref="B74">
      <text>
        <t xml:space="preserve">Montelair 51,90 (vidalink - 70% de desconto), Avamys 53,57 (vidalink - 70% de desconto), Carlos foi junto e pegou: Curativo Cremer baby 6,39 - Salgadinho cheetos 2,99 - 2 mentos stick Mint 5,98 cada</t>
      </text>
    </comment>
    <comment authorId="0" ref="B75">
      <text>
        <t xml:space="preserve">O boteco que eles montaram no Pernambuco está indo muito bem. Graças a Deus!!!</t>
      </text>
    </comment>
    <comment authorId="0" ref="B76">
      <text>
        <t xml:space="preserve">Combo Hamburgueres Gourmet na caixa - 4 pessoas, 1 tradicional, 1 Salada, 2 Bacon, 2 porções batata frita, Fanta Laranja 2 litros.</t>
      </text>
    </comment>
    <comment authorId="0" ref="B83">
      <text>
        <t xml:space="preserve">Sonic 2 (sala junior, 1 cadeira puff e 2 normais - tobogã e piscina de bolinha)</t>
      </text>
    </comment>
    <comment authorId="0" ref="B85">
      <text>
        <t xml:space="preserve">https://www.vakinha.com.br/vaquinha/ajuda-para-o-saxofonista-de-rua</t>
      </text>
    </comment>
    <comment authorId="0" ref="B93">
      <text>
        <t xml:space="preserve">https://elisvacinas.com.br/
Terá reembolso parcial do Bradesco Saude / IBM</t>
      </text>
    </comment>
    <comment authorId="0" ref="B98">
      <text>
        <t xml:space="preserve">4 fichas = 20,00</t>
      </text>
    </comment>
  </commentList>
</comments>
</file>

<file path=xl/comments17.xml><?xml version="1.0" encoding="utf-8"?>
<comments xmlns:r="http://schemas.openxmlformats.org/officeDocument/2006/relationships" xmlns="http://schemas.openxmlformats.org/spreadsheetml/2006/main">
  <authors>
    <author/>
  </authors>
  <commentList>
    <comment authorId="0" ref="B37">
      <text>
        <t xml:space="preserve">Salão para festa do Eduardo (Rua Londrina, 564, Residencial Bosque dos Ipês, São José dos Campos)</t>
      </text>
    </comment>
    <comment authorId="0" ref="B51">
      <text>
        <t xml:space="preserve">Primeiro mês = 5,00;
Depois = 44,99;</t>
      </text>
    </comment>
    <comment authorId="0" ref="B63">
      <text>
        <t xml:space="preserve">Venda da casa de itaquera (Dida)</t>
      </text>
    </comment>
  </commentList>
</comments>
</file>

<file path=xl/comments18.xml><?xml version="1.0" encoding="utf-8"?>
<comments xmlns:r="http://schemas.openxmlformats.org/officeDocument/2006/relationships" xmlns="http://schemas.openxmlformats.org/spreadsheetml/2006/main">
  <authors>
    <author/>
  </authors>
  <commentList>
    <comment authorId="0" ref="B1">
      <text>
        <t xml:space="preserve">AGRUPA COM O ELEMENTO ANTERIOR:
EX.:  TAGS #Variavel, #Investimento
Agrupar por #Investimento busca onde tem #Variavel e #Investimento na mesma linha.</t>
      </text>
    </comment>
  </commentList>
</comments>
</file>

<file path=xl/sharedStrings.xml><?xml version="1.0" encoding="utf-8"?>
<sst xmlns="http://schemas.openxmlformats.org/spreadsheetml/2006/main" count="6265" uniqueCount="838">
  <si>
    <t>ST</t>
  </si>
  <si>
    <t>DESCRIÇÃO</t>
  </si>
  <si>
    <t>DIA</t>
  </si>
  <si>
    <t>SEM</t>
  </si>
  <si>
    <t>MES</t>
  </si>
  <si>
    <t>PAGO</t>
  </si>
  <si>
    <t>RENDA</t>
  </si>
  <si>
    <t>GASTOS</t>
  </si>
  <si>
    <t>BANCO</t>
  </si>
  <si>
    <t>TAG</t>
  </si>
  <si>
    <t>TOTAL</t>
  </si>
  <si>
    <t>MES &gt;</t>
  </si>
  <si>
    <t>Entrada ano anterior</t>
  </si>
  <si>
    <t>ITAU</t>
  </si>
  <si>
    <t>#Recebimentos #Ajuste #Variavel</t>
  </si>
  <si>
    <t>INTER</t>
  </si>
  <si>
    <t>INTER-PJ</t>
  </si>
  <si>
    <t>NUBANK</t>
  </si>
  <si>
    <t>C6BANK</t>
  </si>
  <si>
    <t>Jo Pizzaria e Esfiharia</t>
  </si>
  <si>
    <t>#Lazer #Comida #Variavel</t>
  </si>
  <si>
    <t>Shibata</t>
  </si>
  <si>
    <t xml:space="preserve">#Moradia #Essencial #Mercado #Variavel #Alimentação </t>
  </si>
  <si>
    <t>IOF</t>
  </si>
  <si>
    <t>#Encargos #IOF #Variavel</t>
  </si>
  <si>
    <t>CONTAS</t>
  </si>
  <si>
    <t>Transferencia via PIX</t>
  </si>
  <si>
    <t>Recebimento via PIX</t>
  </si>
  <si>
    <t>Estacionamento - Via Park - Cardiologista</t>
  </si>
  <si>
    <t>#Carro #Estacionamento #Variavel</t>
  </si>
  <si>
    <t>Combustivel</t>
  </si>
  <si>
    <t>#Carro #Combustivel #Variavel</t>
  </si>
  <si>
    <t>Casa das polpas</t>
  </si>
  <si>
    <t>#Mercado #Variavel #Comida</t>
  </si>
  <si>
    <t>Estacionamento - Liomar - Lojas Otimma</t>
  </si>
  <si>
    <t>Lojas Otimma</t>
  </si>
  <si>
    <t>#Presentes #Lazer #Variavel</t>
  </si>
  <si>
    <t>Resgate reserva de emergencia</t>
  </si>
  <si>
    <t>#Resgate #Nubank #Variavel</t>
  </si>
  <si>
    <t>Cartao Roberta</t>
  </si>
  <si>
    <t>CREDITO</t>
  </si>
  <si>
    <t>SPITI</t>
  </si>
  <si>
    <t>#CartaoDeCredito #Roberta #Lazer #Roberta #Variavel</t>
  </si>
  <si>
    <t>PG*Farma22</t>
  </si>
  <si>
    <t>#CartaoDeCredito #Roberta #Remedios #Variavel</t>
  </si>
  <si>
    <t>Jequiti</t>
  </si>
  <si>
    <t>#CartaoDeCredito #Roberta #Variavel #Roberta</t>
  </si>
  <si>
    <t>SEGURO RESIDENCIAL ITAU</t>
  </si>
  <si>
    <t>#CartaoDeCredito #Roberta #Essencial #Fixo #Moradia</t>
  </si>
  <si>
    <t>SHIBATA - PIZZA</t>
  </si>
  <si>
    <t xml:space="preserve">#CartaoDeCredito #Roberta #Lazer #Moradia #Mercado #Variavel #Alimentação </t>
  </si>
  <si>
    <t>SHIBATA</t>
  </si>
  <si>
    <t xml:space="preserve">#CartaoDeCredito #Roberta #Moradia #Essencial #Mercado #Variavel #Alimentação </t>
  </si>
  <si>
    <t>ZAE SAO JOSE DIVERSOS .RECIFE</t>
  </si>
  <si>
    <t>#CartaoDeCredito #Roberta #Carro #Estacionamento #Variavel #Natal #AnoNovo</t>
  </si>
  <si>
    <t>TORRA TORRA VESTUÁRIO 01/03</t>
  </si>
  <si>
    <t>#CartaoDeCredito #Roberta #Lazer #Presentes #Variavel #Natal #AnoNovo</t>
  </si>
  <si>
    <t>NETFLIX.COM DIVERSOS.SAO PAULO</t>
  </si>
  <si>
    <t xml:space="preserve">#CartaoDeCredito #Roberta #Streaming #Fixo </t>
  </si>
  <si>
    <t>Convenio Sr. Antonio - São Cristovão</t>
  </si>
  <si>
    <t>#Essencial #Saude #Convenio #Papai #Fixo</t>
  </si>
  <si>
    <t>Fatura VIVOFIBRA INTERNET</t>
  </si>
  <si>
    <t xml:space="preserve">#Essencial #Internet #Fixo </t>
  </si>
  <si>
    <t>Salario - Certsys</t>
  </si>
  <si>
    <t>#Recebimentos #Salario #Fixo</t>
  </si>
  <si>
    <t>Transferi para investimento - Nubank</t>
  </si>
  <si>
    <t>Elo Educacional</t>
  </si>
  <si>
    <t>#Essencial #Escola #Eduardo #Fixo</t>
  </si>
  <si>
    <t>Droga Quinze</t>
  </si>
  <si>
    <t xml:space="preserve">#Remedios #Carlos #Variavel </t>
  </si>
  <si>
    <t>Supermercados Maximo</t>
  </si>
  <si>
    <t>LP - Gas</t>
  </si>
  <si>
    <t>#Moradia #Essencial #Variavel #Gas</t>
  </si>
  <si>
    <t>Levitar SJC - sorvetes</t>
  </si>
  <si>
    <t>Convenio Uniodonto</t>
  </si>
  <si>
    <t xml:space="preserve">#Essencial #Saude #Convenio #Familia #Fixo </t>
  </si>
  <si>
    <t>Balbinos Burguer</t>
  </si>
  <si>
    <t>Estacionamento - Hoffen Park - Endocrino</t>
  </si>
  <si>
    <t>Cobasi SJC - Shibata</t>
  </si>
  <si>
    <t>#Jardinagem #Lazer #Variavel</t>
  </si>
  <si>
    <t>Material Dourado do Aluno</t>
  </si>
  <si>
    <t>#Escola #Eduardo #Variavel #MaterialEscolar</t>
  </si>
  <si>
    <t>Jazigo - Semestralidade</t>
  </si>
  <si>
    <t>#Jazigo #Variavel</t>
  </si>
  <si>
    <t>Cartao NuBank</t>
  </si>
  <si>
    <t>Google Playkids - PK XD - Natal</t>
  </si>
  <si>
    <t>#CartaoDeCredito #Cicero #Lazer #Presentes #Eduardo #Variavel</t>
  </si>
  <si>
    <t>Amazonprimebr</t>
  </si>
  <si>
    <t xml:space="preserve">#CartaoDeCredito #Cicero #Streaming #Fixo </t>
  </si>
  <si>
    <t>Recvivo*11984516551</t>
  </si>
  <si>
    <t>#CartaoDeCredito #Cicero #Recarga #VIVO #Variavel</t>
  </si>
  <si>
    <t>Assaí Atacadista</t>
  </si>
  <si>
    <t xml:space="preserve">#Moradia #Essencial #Mercado #Fixo #Alimentação </t>
  </si>
  <si>
    <t>IPVA  - LICENCIAMENTO</t>
  </si>
  <si>
    <t>#Carro #Impostos #Variavel</t>
  </si>
  <si>
    <t>Resgate: Bitcoin e Ether</t>
  </si>
  <si>
    <t>#Recebimentos #Investimento #Variavel</t>
  </si>
  <si>
    <t>Notebook Lenovo S145 Ryzen 5 SSD 256 81V70008BR</t>
  </si>
  <si>
    <t>#Presentes #Cicero #Lazer #Variavel</t>
  </si>
  <si>
    <t>Monitor AOC B1 22B1H 21,5" LED FULL HD</t>
  </si>
  <si>
    <t>Transferi para investimento - Clear VILG11</t>
  </si>
  <si>
    <t>#Transferencia #Investimento #Variavel #Clear</t>
  </si>
  <si>
    <t>Convenio Carlos</t>
  </si>
  <si>
    <t>Convenio Eduardo</t>
  </si>
  <si>
    <t>Convenio Roberta</t>
  </si>
  <si>
    <t>Leroy: suportes para prateleiras</t>
  </si>
  <si>
    <t>#Lazer #Moradia #Variavel</t>
  </si>
  <si>
    <t>Impressão Hipermercado Extra SJC</t>
  </si>
  <si>
    <t xml:space="preserve">#Emprego #Variavel </t>
  </si>
  <si>
    <t>Entrada prestação casa de Itaquera</t>
  </si>
  <si>
    <t>#Recebimentos #Prestação #Itaquera #Inter #Extra</t>
  </si>
  <si>
    <t>#Aquario #Lazer #Variavel</t>
  </si>
  <si>
    <t>RM Fernandes Moveis - Andromeda SJC</t>
  </si>
  <si>
    <t>#Moradia #Quarto #Variavel #Eduardo #Carlos</t>
  </si>
  <si>
    <t>Transferi para investimento - Clear</t>
  </si>
  <si>
    <t>#Transferencia #Investimento #Extra #Clear</t>
  </si>
  <si>
    <t xml:space="preserve">Kabum - teclado e mouse wireless </t>
  </si>
  <si>
    <t>Recarga TIM Cicero 11 948825242</t>
  </si>
  <si>
    <t xml:space="preserve">#Variavel #Recarga #TIM </t>
  </si>
  <si>
    <t>Rendimento</t>
  </si>
  <si>
    <t>#Recebimentos #Rendimentos #Variavel</t>
  </si>
  <si>
    <t>NOBILIS CONTABILIDADE</t>
  </si>
  <si>
    <t xml:space="preserve">#Fixo #Contador </t>
  </si>
  <si>
    <t>DAS - Simples Nacional</t>
  </si>
  <si>
    <t xml:space="preserve">#Impostos #Fixo </t>
  </si>
  <si>
    <t>Convenio Cicero</t>
  </si>
  <si>
    <t xml:space="preserve">#Essencial #Saude #Convenio #Familia #Cicero #Fixo </t>
  </si>
  <si>
    <t>Agua - ITAQUERA</t>
  </si>
  <si>
    <t>#Itaquera #Essencial #AjudaAlmir #Fixo</t>
  </si>
  <si>
    <t>Estacionamento - ValeSul - Otorrino</t>
  </si>
  <si>
    <t>Farmácia Pague Menos</t>
  </si>
  <si>
    <t xml:space="preserve">#Remedios #Cicero #Variavel </t>
  </si>
  <si>
    <t xml:space="preserve">#Remedios #Cicero #Roberta #Variavel </t>
  </si>
  <si>
    <t>Farmácia Farma Leste - Shibata</t>
  </si>
  <si>
    <t>Luz - DEBITO AUTO</t>
  </si>
  <si>
    <t>#Moradia #Essencial #Luz #Fixo</t>
  </si>
  <si>
    <t>Frango Assado - Cidade Jardim SJC</t>
  </si>
  <si>
    <t>Leroy: suportes para prateleiras; esquadro</t>
  </si>
  <si>
    <t>Shibata - Pizza</t>
  </si>
  <si>
    <t xml:space="preserve">#Lazer #Moradia #Mercado #Variavel #Alimentação </t>
  </si>
  <si>
    <t xml:space="preserve">Droga Extra </t>
  </si>
  <si>
    <t>Extra Hipermercados</t>
  </si>
  <si>
    <t>TOTAL &gt;</t>
  </si>
  <si>
    <t>PREVISTO &gt;</t>
  </si>
  <si>
    <t>SOBRA / FALTA &gt;</t>
  </si>
  <si>
    <t>Entrada mes anterior</t>
  </si>
  <si>
    <t>Doação Asilo Monteiro Lobato</t>
  </si>
  <si>
    <t>#Doação #Extra #Variavel</t>
  </si>
  <si>
    <t>Agua - DEBITO AUTO</t>
  </si>
  <si>
    <t>#Moradia #Essencial #Agua #Fixo</t>
  </si>
  <si>
    <t>Magazine Luiza - refil mach3 sensitive (8un)</t>
  </si>
  <si>
    <t>#Cicero #Essencial #Variavel</t>
  </si>
  <si>
    <t>TORRA TORRA - VESTUÁRIO .SAO JOSE DOS 02/03</t>
  </si>
  <si>
    <t>TORRA TORRA - VESTUÁRIO .SAO JOSE DOS</t>
  </si>
  <si>
    <t>TOKIO MARINE*AUTO1DE1 - DIVERSOS .SAO PAULO</t>
  </si>
  <si>
    <t>#CartaoDeCredito #Roberta #Carro #Seguro #Variavel</t>
  </si>
  <si>
    <t>SPITI - DIVERSOS .SAO PAULO</t>
  </si>
  <si>
    <t>#CartaoDeCredito #Roberta #Lazer #Variavel</t>
  </si>
  <si>
    <t>VIAPARK ESTACIONAMENTO - VEÍCULOS .SAO JOSE DOS</t>
  </si>
  <si>
    <t>#CartaoDeCredito #Roberta #Carro #Estacionamento #Variavel</t>
  </si>
  <si>
    <t>MLP*MAGAZINELUIZA - DIVERSOS .SAO PAULO</t>
  </si>
  <si>
    <t>#CartaoDeCredito #Roberta #Lazer #Aquario #Variavel</t>
  </si>
  <si>
    <t>WHYPETZ - DIVERSOS .SAO JOSE DOS</t>
  </si>
  <si>
    <t>COBASI SJC JD ORIENTE - HOBBY .SAO JOSE DOS</t>
  </si>
  <si>
    <t>SERVICOS CLA*119949911 - DIVERSOS .RIO DE JANEIR</t>
  </si>
  <si>
    <t>#CartaoDeCredito #Roberta #Recarga #Variavel</t>
  </si>
  <si>
    <t>COM SALU SJCAMPOS - DIVERSOS .SAO JOSE DOS</t>
  </si>
  <si>
    <t>#CartaoDeCredito #Roberta #Eduardo #MaterialEscolar #Uniforme #Variavel</t>
  </si>
  <si>
    <t>NETFLIX.COM - DIVERSOS .SAO PAULO</t>
  </si>
  <si>
    <t>PAG*BazarEPapelariaHo - EDUCAÇÃO .SAO JOSE DOS</t>
  </si>
  <si>
    <t>#CartaoDeCredito #Roberta #Eduardo #MaterialEscolar #Variavel</t>
  </si>
  <si>
    <t>PAG*HeloisaArruda - ALIMENTAÇÃO .SAO JOSE DOS</t>
  </si>
  <si>
    <t>#CartaoDeCredito #Roberta #Comida #Lazer #Variavel</t>
  </si>
  <si>
    <t>Cadeira Gamer XT Racer Reclinavel Preta e Laranja</t>
  </si>
  <si>
    <t>#Saude #Lazer #Variavel #Familia</t>
  </si>
  <si>
    <t>Adiantamento - BRQ</t>
  </si>
  <si>
    <t>Yuki Sushi SJC</t>
  </si>
  <si>
    <t>Ajuda para o Almir</t>
  </si>
  <si>
    <t>#AjudaAlmir #Variavel</t>
  </si>
  <si>
    <t>Estacionamento - Eusebio Matoso SP - Redecard</t>
  </si>
  <si>
    <t>Shibata - Oficina Brasil</t>
  </si>
  <si>
    <t>#Carro #Manutenção #Variavel</t>
  </si>
  <si>
    <t>Frango Assado - Rod. Carv. Pinto SJC - antes do pedagio</t>
  </si>
  <si>
    <t>Assinatura Suno Research - 1 ano Suno Premium</t>
  </si>
  <si>
    <t>#Investimento #SunoResearch #Variavel</t>
  </si>
  <si>
    <t>Oficina Fix Center - Jd São Dimas SJC</t>
  </si>
  <si>
    <t>Pizza HUT Vale Sul Shopping SJC - na volta da Fix Center</t>
  </si>
  <si>
    <t>#Moradia #Essencial #Mercado #Variavel #Alimentação</t>
  </si>
  <si>
    <t>#Remedios #Carlos #Roberta #Variavel</t>
  </si>
  <si>
    <t>Ferragens Del Rey SJC</t>
  </si>
  <si>
    <t>#Moradia #Jardinagem # Variavel</t>
  </si>
  <si>
    <t>#Transferencia #Investimento #Variavel #Nubank</t>
  </si>
  <si>
    <t>Recarga Alelo Refeição BRQ</t>
  </si>
  <si>
    <t>ALELO-REF-BRQ</t>
  </si>
  <si>
    <t>#AleloRefeiçãoBRQ #Recebimentos #Variavel</t>
  </si>
  <si>
    <t>Recarga Alelo Alimentação BRQ</t>
  </si>
  <si>
    <t>ALELO-ALI-BRQ</t>
  </si>
  <si>
    <t>#AleloAlimentaçãoBRQ #Recebimentos #Variavel</t>
  </si>
  <si>
    <t>Mercado Livre - 4 Pés de Mesa para Setup Home-Office</t>
  </si>
  <si>
    <t>#Moradia #Variavel #Cicero #Lazer</t>
  </si>
  <si>
    <t>Salario - Certsys - Encerramento</t>
  </si>
  <si>
    <t>Vakinha online - Talyssa Taques - sonambulismo</t>
  </si>
  <si>
    <t>Deposito Foxbit para investimentos em moedas digitais</t>
  </si>
  <si>
    <t>#Investimento #Foxbit #Variavel</t>
  </si>
  <si>
    <t>Sodimac - folha de porta pinus 210x72x3,5 - será mesa</t>
  </si>
  <si>
    <t>Cartao NuBank - pagando mesmo sem fechar fatura</t>
  </si>
  <si>
    <t xml:space="preserve">#CartaoDeCredito #Cicero #Essencial #Streaming #Fixo </t>
  </si>
  <si>
    <t xml:space="preserve">#CartaoDeCredito #Cicero #Moradia #Essencial #Mercado #Fixo #Alimentação </t>
  </si>
  <si>
    <t>Estacionamento - Miami Park - Gastro</t>
  </si>
  <si>
    <t>#CartaoDeCredito #Cicero #Carro #Estacionamento #Variavel</t>
  </si>
  <si>
    <t>Supermercado Maximo</t>
  </si>
  <si>
    <t>#CartaoDeCredito #Cicero #Moradia #Essencial #Mercado #Variavel #Alimentação</t>
  </si>
  <si>
    <t>estacionamento - andromeda - Exames</t>
  </si>
  <si>
    <t>Farmácia - byo fórmula</t>
  </si>
  <si>
    <t xml:space="preserve">#CartaoDeCredito #Cicero #Remedios #Variavel </t>
  </si>
  <si>
    <t>#CartaoDeCredito #Cicero #Lazer #Comida #Variavel</t>
  </si>
  <si>
    <t>McDonalds - Drive Thru Av. Andromeda SJC</t>
  </si>
  <si>
    <t>Drogaria São Paulo - Internet</t>
  </si>
  <si>
    <t xml:space="preserve">#CartaoDeCredito #Cicero #Remedios #Carlos #Variavel </t>
  </si>
  <si>
    <t>Farma Conde - Av Andrômeda</t>
  </si>
  <si>
    <t>Lojas Americanas - internet</t>
  </si>
  <si>
    <t>Vitella de prata SJC - churrasco</t>
  </si>
  <si>
    <t>estacionamento - andromeda - Correios</t>
  </si>
  <si>
    <t>Uber - ida para a oficina Fix Center</t>
  </si>
  <si>
    <t>#CartaoDeCredito #Cicero #Carro #Uber #Variavel</t>
  </si>
  <si>
    <t>Elo Educacional: mensalidade(598,00) + material(137,00)</t>
  </si>
  <si>
    <t>#AleloRefeiçãoBRQ #Recebimentos #Fixo</t>
  </si>
  <si>
    <t>#AleloAlimentaçãoBRQ #Recebimentos #Fixo</t>
  </si>
  <si>
    <t>Chicken Beer</t>
  </si>
  <si>
    <t xml:space="preserve">#Remedios #Carlos #Eduardo #Variavel </t>
  </si>
  <si>
    <t>Brasileirinho SJC</t>
  </si>
  <si>
    <t>Vitella de Prata SJC</t>
  </si>
  <si>
    <t>IPTU SJC</t>
  </si>
  <si>
    <t>#Moradia #Impostos #Variavel</t>
  </si>
  <si>
    <t>Devolução Alelo Refeição BRQ</t>
  </si>
  <si>
    <t>Devolução Alelo Alimentação BRQ</t>
  </si>
  <si>
    <t>Brasileirinho</t>
  </si>
  <si>
    <t>Shibata - Garrafa Térmica de Pressão</t>
  </si>
  <si>
    <t>TORRA TORRA 03/03 VESTUÁRIO .SAO JOSE DOS</t>
  </si>
  <si>
    <t>SPITI DIVERSOS .SAO PAULO</t>
  </si>
  <si>
    <t>CADEIRA GAMER - MAGALU * VESTUÁRIO .FRANCA</t>
  </si>
  <si>
    <t>#CartaoDeCredito #Roberta #Saude #Lazer #Variavel #Familia</t>
  </si>
  <si>
    <t>JEQUITI SAÚDE .OSASCO</t>
  </si>
  <si>
    <t>#CartaoDeCredito #Roberta #Variavel</t>
  </si>
  <si>
    <t>NETFLIX.COM DIVERSOS .SAO PAULO</t>
  </si>
  <si>
    <t>ZAE SAO JOSE*ZAE SAO J DIVERSOS .RECIFE</t>
  </si>
  <si>
    <t>Transferi para investimento - Clear RBRP11 Subscrição</t>
  </si>
  <si>
    <t>Pansleys House - Disk Marmitex</t>
  </si>
  <si>
    <t>Recarga Sodexo Alimentação IBM</t>
  </si>
  <si>
    <t>SODEXO-ALI-IBM</t>
  </si>
  <si>
    <t xml:space="preserve"> #Recebimentos #Alimentação #Fixo</t>
  </si>
  <si>
    <t>Recarga Sodexo Refeição IBM</t>
  </si>
  <si>
    <t>SODEXO-REF-IBM</t>
  </si>
  <si>
    <t>#Recebimentos #Alimentação #Fixo</t>
  </si>
  <si>
    <t>Drop Burger</t>
  </si>
  <si>
    <t>Vinny bebê com leucemia - Transferi por PIX</t>
  </si>
  <si>
    <t>Kalunga - Suporte p/notebook plástico regulável preto</t>
  </si>
  <si>
    <t>iFood - Burguer King - 4 Hamb. 1 Balde de fritas 2 refri lata</t>
  </si>
  <si>
    <t>Dom Vegano SJC Vale Sul Shopping - Ovos de Páscoa Vegano 1/2</t>
  </si>
  <si>
    <t>iFood - Pizzaria Tropikal</t>
  </si>
  <si>
    <t>Salario - IBM</t>
  </si>
  <si>
    <t>SANTANDER</t>
  </si>
  <si>
    <t>Shibata - Brinquedos Aniversário do Carlos</t>
  </si>
  <si>
    <t>#Lazer #Carlos #Variavel #Presentes</t>
  </si>
  <si>
    <t>Agua - DEBITO AUTO - COBRANÇA DE JANEIRO</t>
  </si>
  <si>
    <t>Dom Vegano SJC Vale Sul Shopping - Ovos de Páscoa Vegano 2/2</t>
  </si>
  <si>
    <t>Shibata - Aniversário do Carlos - 3 ANOS</t>
  </si>
  <si>
    <t>#Lazer #Mercado #Variavel #Alimentação #Carlos</t>
  </si>
  <si>
    <t>Multi Sabor SJC - Cidade Jardim - Aniversário do Carlos - 3 ANOS</t>
  </si>
  <si>
    <t>#Lazer #Comida #Variavel #Carlos</t>
  </si>
  <si>
    <t xml:space="preserve">Resgate Foxbit </t>
  </si>
  <si>
    <t>#Recebimentos #Foxbit #Variavel</t>
  </si>
  <si>
    <t>Deposito Binance para investimentos em criptomoedas</t>
  </si>
  <si>
    <t>#Investimento #Binance #Variavel</t>
  </si>
  <si>
    <t>99InAppPayment VEÍCULOS SAO PAULO Carlos deslocou o braço</t>
  </si>
  <si>
    <t>#CartaoDeCredito #Roberta #Saude #Carlos #Variavel #Ortopedia</t>
  </si>
  <si>
    <t>POSTO REDE NOVA - VEÍCULOS .SAO JOSE DOS</t>
  </si>
  <si>
    <t>#CartaoDeCredito #Roberta #Carro #Combustivel #Variavel</t>
  </si>
  <si>
    <t>SHIBATA H INTERNET - ALIMENTAÇÃO .SAO JOSE DOS</t>
  </si>
  <si>
    <t>#CartaoDeCredito #Roberta #Moradia #Essencial #Mercado #Variavel #Alimentação</t>
  </si>
  <si>
    <t>SHIBATA H - ALIMENTAÇÃO .SAO JOSE DOS</t>
  </si>
  <si>
    <t>#CartaoDeCredito #Roberta #Streaming #Fixo</t>
  </si>
  <si>
    <t>MARISA COM BR VESTUÁRIO .BARUERI</t>
  </si>
  <si>
    <t>Convenio Sr. Antonio - São Cristovão - paguei com juros por atraso</t>
  </si>
  <si>
    <t>Vitela de Prata SJC</t>
  </si>
  <si>
    <t>#Alimentação #Comida #Variavel</t>
  </si>
  <si>
    <t>Google Play - Aluguel de Liga da Justiça - Snider cut</t>
  </si>
  <si>
    <t>#CartaoDeCredito #Cicero #Essencial #Internet #Variavel</t>
  </si>
  <si>
    <t>Leroy Merlin SJC - 10 Mascaras PFF2 - AntiCovid</t>
  </si>
  <si>
    <t>#CartaoDeCredito #Cicero #Saude #Familia #Variavel</t>
  </si>
  <si>
    <t>iFood  - AKM - comida japonesa</t>
  </si>
  <si>
    <t>#Essencial #Saude #Convenio #Familia #Fixo #Roberta</t>
  </si>
  <si>
    <t xml:space="preserve">#Remedios #Carlos #Cicero #Roberta #Variavel </t>
  </si>
  <si>
    <t>SERASA EXPERIAN - CERTIFICADO DIGITAL</t>
  </si>
  <si>
    <t>#Pagamentos #Variavel #CertificadoDigital</t>
  </si>
  <si>
    <t>Resgate dividendos - Rico Corretora</t>
  </si>
  <si>
    <t>#Recebimentos #Investimento #Rico</t>
  </si>
  <si>
    <t>Transferi para investimento - Clear Corretora</t>
  </si>
  <si>
    <t>Doação para ajudar a retirar a arvore da vizinha (Prof. Ingles) SJC</t>
  </si>
  <si>
    <t>#Moradia #Essencial #Variavel #Doação</t>
  </si>
  <si>
    <t>Kabum - teclado e mouse com fio Logitech MK120</t>
  </si>
  <si>
    <t>DAS - Simples Nacional - nenhuma nota fiscal emitida no periodo</t>
  </si>
  <si>
    <t>Shibata - Pão por metro feito em casa com pão francês</t>
  </si>
  <si>
    <t>iFood  - KFC - super balde de frango assado</t>
  </si>
  <si>
    <t>Galinha pintadinha</t>
  </si>
  <si>
    <t>Coaching / Psicologa - Candice Oliveira</t>
  </si>
  <si>
    <t>#Coaching #Fixo</t>
  </si>
  <si>
    <t>Multi Sabor SJC - Cidade Jardim</t>
  </si>
  <si>
    <t>Amazon - Livro: Os segredos da mente milionária</t>
  </si>
  <si>
    <t xml:space="preserve">#CartaoDeCredito #Cicero #Lazer #Fixo </t>
  </si>
  <si>
    <t>Amazon Music Unlimited</t>
  </si>
  <si>
    <t>Youtube Member - Denny Torres - Mineração de CriptoMoedas</t>
  </si>
  <si>
    <t>Prime Video - Paramount+</t>
  </si>
  <si>
    <t xml:space="preserve">#CartaoDeCredito #Cicero #Lazer #Roberta #Fixo </t>
  </si>
  <si>
    <t>Prime Video - Reembolso proporcional ao cancelamento</t>
  </si>
  <si>
    <t>FinClass - Thiago Nigro - Educação financeira (pagamento anual)</t>
  </si>
  <si>
    <t>#CartaoDeCredito #Cicero #Investimento #Roberta #Variavel</t>
  </si>
  <si>
    <t>Shoppe - 10 Pratos novos</t>
  </si>
  <si>
    <t>#Moradia #Cozinha #Variavel</t>
  </si>
  <si>
    <t>#Resgate #Nubank #Variavel #Obras #Itaquera</t>
  </si>
  <si>
    <t>Obras em Itaquera para alugar a casa</t>
  </si>
  <si>
    <t>#Variavel #Obras #Itaquera</t>
  </si>
  <si>
    <t>Mercado Livre - 2 Sonoff</t>
  </si>
  <si>
    <t>#Lazer #Cicero #Variavel</t>
  </si>
  <si>
    <t>JEQUITI SAUDE.OSASCO</t>
  </si>
  <si>
    <t>EBANX WISH VESTUARIO.CURITIBA</t>
  </si>
  <si>
    <t>ENCARGOS DE ATRASO</t>
  </si>
  <si>
    <t>#CartaoDeCredito #Roberta #Impostos #Variavel</t>
  </si>
  <si>
    <t>iFood - Nhoque</t>
  </si>
  <si>
    <t>Deposito Binance para investimentos em moedas digitais</t>
  </si>
  <si>
    <t>iFood - Habibs - Espihas e Pasteis</t>
  </si>
  <si>
    <t>Estacionamento - ValeSul - Entregar Notebook Dom Rock</t>
  </si>
  <si>
    <t>#Carro #Estacionamento #Variavel #DomRock</t>
  </si>
  <si>
    <t xml:space="preserve">Amazon - Fone Haylou GT1 Plus Xiaomi Tws Bluetooth 5.0 IPX5 </t>
  </si>
  <si>
    <t>Farma Conde - Cidade Jardim x Jacinto Gallo</t>
  </si>
  <si>
    <t>#Remedios #Carlos #Variavel</t>
  </si>
  <si>
    <t>Obras em Itaquera para alugar a casa - pedreiro (Cildo)</t>
  </si>
  <si>
    <t>Macarrão de Forno e Companhia - JD Portugal SJC</t>
  </si>
  <si>
    <t xml:space="preserve">iFood - Habibs - 25 Espihas </t>
  </si>
  <si>
    <t>Arena Toys online - Presentes Eduardo (aniversario) e Carlos</t>
  </si>
  <si>
    <t>#Lazer #Presentes #Eduardo #Carlos</t>
  </si>
  <si>
    <t>Shibata - Aniversário do Eduardo - 7 ANOS</t>
  </si>
  <si>
    <t>#Lazer #Mercado #Variavel #Alimentação #Eduardo</t>
  </si>
  <si>
    <t>Dory Edson Tavares - Cama Elastica</t>
  </si>
  <si>
    <t>#Lazer #Eduardo #Aniversario #Variavel</t>
  </si>
  <si>
    <t xml:space="preserve"> Magalu - Garrafa Térmica Mor Nobile - Ampola de reposição 1L</t>
  </si>
  <si>
    <t>iFood Agencia de restaurantes</t>
  </si>
  <si>
    <t>Mercado Livre - Adaptador USB Wifi para o desktop da Roberta</t>
  </si>
  <si>
    <t>#Lazer #Mineração #CriptoMoedas #Variavel</t>
  </si>
  <si>
    <t>Devolução Deposito Binance para investimentos em moedas digitais</t>
  </si>
  <si>
    <t>Aluguel de Itaquera - Joice</t>
  </si>
  <si>
    <t>#Recebimentos #Aluguel #Itaquera #Extra</t>
  </si>
  <si>
    <t>Transferencia via PIX - Roberta (aluguel)</t>
  </si>
  <si>
    <t>#Roberta #Aluguel #Itaquera #Extra</t>
  </si>
  <si>
    <t>SERVICOS CLA*119949911 DIVERSOS .RIO DE JANEIR</t>
  </si>
  <si>
    <t>IOF de financiamento (0,38% + 0,0082% a.d.)</t>
  </si>
  <si>
    <t>Elshaday SJC - Campos dos Alemães - Dia das Mães</t>
  </si>
  <si>
    <t>#CartaoDeCredito #Cicero #Lazer #Roberta #Presentes #Variavel</t>
  </si>
  <si>
    <t>Disco Rígido Interno Seagate Barracuda St2000dm008 2tb</t>
  </si>
  <si>
    <t>#CartaoDeCredito #Cicero #Lazer #Mineração #CriptoMoedas #Variavel #Desktop</t>
  </si>
  <si>
    <t>Disco Sólido Interno Western Digital Wds500g2b0a 500gb Azul</t>
  </si>
  <si>
    <t>2 Filtros De Linha 5 Tomadas Iclamper Energia 5 Preto Dps</t>
  </si>
  <si>
    <t>#CartaoDeCredito #Cicero #Lazer #Mineração #CriptoMoedas #Variavel</t>
  </si>
  <si>
    <t>#Resgate #Nubank #Variavel #AjudaAlmir</t>
  </si>
  <si>
    <t>Transferencia via PIX - Ajuda Almir</t>
  </si>
  <si>
    <t>#Nubank #Variavel #AjudaAlmir</t>
  </si>
  <si>
    <t>#Transferencia #PIX #Nubank #Santander</t>
  </si>
  <si>
    <t>#Recebimentos #PIX #Nubank #Santander</t>
  </si>
  <si>
    <t>Devolução/Transferência Resgate reserva de emergencia</t>
  </si>
  <si>
    <t xml:space="preserve">#Remedios #Carlos #Roberta #Variavel </t>
  </si>
  <si>
    <t>Transferencia via PIX - Roberta (hambúrgueres)</t>
  </si>
  <si>
    <t>#Roberta #Lazer #Comida #Variavel</t>
  </si>
  <si>
    <t>iFood - Krueger Lanchonete</t>
  </si>
  <si>
    <t>Agua - ITAQUERA - SERÁ PAGO PELA JOICE (CASA ALUGADA)</t>
  </si>
  <si>
    <t>Transferencia via PIX - Roberta (hambúrgueres, pedido do Eduardo)</t>
  </si>
  <si>
    <t>#Eduardo #Roberta #Lazer #Comida #Variavel</t>
  </si>
  <si>
    <t>Salario - IBM (com horas extras - trabalhos de fim de semana)</t>
  </si>
  <si>
    <t xml:space="preserve">TFE: Taxa de Fiscalização de Estabelecimento </t>
  </si>
  <si>
    <t>#Variavel  #PJ</t>
  </si>
  <si>
    <t>Transferencia via TED Agendada</t>
  </si>
  <si>
    <t>Recebimento via TED Agendada</t>
  </si>
  <si>
    <t>Recebimento via TED Caixa Economica Federal - FGTS Aniversário</t>
  </si>
  <si>
    <t>#Recebimentos #TED #Inter #Extra</t>
  </si>
  <si>
    <t>#Transferencia #Investimento #Extra #Nubank</t>
  </si>
  <si>
    <t>Resgate dividendos - Clear Corretora</t>
  </si>
  <si>
    <t>#Recebimentos #Investimento #Clear</t>
  </si>
  <si>
    <t>Recebimento via PIX - Ajuda do Adriano para o Jazigo - Cida saiu</t>
  </si>
  <si>
    <t>#Recebimentos #PIX #Nubank #Itau</t>
  </si>
  <si>
    <t>Transferi para investimento - PicPay (reserva de oportunidades)</t>
  </si>
  <si>
    <t>#Transferencia #PIX #Nubank #PicPay</t>
  </si>
  <si>
    <t>#Recebimentos #Aluguel #Itaquera #Variavel</t>
  </si>
  <si>
    <t>#Roberta #Aluguel #Itaquera #Variavel</t>
  </si>
  <si>
    <t>EBANX SHOPPE - VESTUARIO CURITIBA (pantufas)</t>
  </si>
  <si>
    <t>#CartaoDeCredito #Roberta #Variavel #Carlos #Eduardo</t>
  </si>
  <si>
    <t>Convenio Sr. Antonio - São Cristovão - não constava boleto no site</t>
  </si>
  <si>
    <t>Predileto Restaurante - 2 marmitas</t>
  </si>
  <si>
    <t>Colégio Evoluti SJC - valor aproximado 643,00</t>
  </si>
  <si>
    <t>#Cicero #Lazer #Comida #Variavel</t>
  </si>
  <si>
    <t>SALINAS AUTO POSTO - VEÍCULOS .SAO JOSE DOS</t>
  </si>
  <si>
    <t>#CartaoDeCredito #Cicero #Carro #Combustivel #Variavel</t>
  </si>
  <si>
    <t>DROGA QUINZE - CIDADE JARDIM SJC</t>
  </si>
  <si>
    <t xml:space="preserve">#CartaoDeCredito #Cicero #Remedios #Carlos #Eduardo #Variavel </t>
  </si>
  <si>
    <t>Multi Sabor SJC - Cidade Jardim - 100 bolinhos caipiras + Refri</t>
  </si>
  <si>
    <t xml:space="preserve">#CartaoDeCredito #Cicero #Moradia #Essencial #Mercado #Variavel #Alimentação </t>
  </si>
  <si>
    <t>#CartaoDeCredito #Cicero #Remedios #Carlos #Variavel</t>
  </si>
  <si>
    <t>Jazigo - Semestralidade - Cida saiu - Adriano ajudou com 450,00</t>
  </si>
  <si>
    <t xml:space="preserve">Resgate reserva de emergencia </t>
  </si>
  <si>
    <t>#Resgate #Nubank #Variavel #Boleto</t>
  </si>
  <si>
    <t>#Essencial #Saude #Convenio #Familia #Fixo #Carlos</t>
  </si>
  <si>
    <t>#Essencial #Saude #Convenio #Familia #Fixo #Eduardo</t>
  </si>
  <si>
    <t>NOBILIS CONTABILIDADE - CANCELAMENTO DA EMPRESA</t>
  </si>
  <si>
    <t>#Recebimentos #Prestação #Itaquera #Inter #Variavel</t>
  </si>
  <si>
    <t>Transferencia via PIX - Roberta (curso emagrecimento)</t>
  </si>
  <si>
    <t>#Roberta #Curso #Variavel</t>
  </si>
  <si>
    <t>Bowling Shibata</t>
  </si>
  <si>
    <t>#Lazer #Shopping #Variavel</t>
  </si>
  <si>
    <t>Balões Shibata</t>
  </si>
  <si>
    <t>Shibata - Aniversário Cicero</t>
  </si>
  <si>
    <t>#Lazer #Mercado #Variavel #Alimentação #Cicero</t>
  </si>
  <si>
    <t>Transferência via PIX - PNEUSTORE - Pneu Cinturato P1 - 175/70 R14 84T</t>
  </si>
  <si>
    <t>#Carro #Pneu #Variavel</t>
  </si>
  <si>
    <t>Transferência via PIX - Roberta - Material Uni - Colegio Evoluti</t>
  </si>
  <si>
    <t>#Escola #Eduardo #Variavel #MaterialEscolar #Roberta</t>
  </si>
  <si>
    <t>Casas Bahia - mesa de jantar 4 cadeiras</t>
  </si>
  <si>
    <t>#Variavel #Cicero #Moradia</t>
  </si>
  <si>
    <t>Recarga VIVO Cicero 11 984516551</t>
  </si>
  <si>
    <t>#Variavel #Recarga #VIVO</t>
  </si>
  <si>
    <t>Shibata - clique e retire</t>
  </si>
  <si>
    <t>#Recebimentos #PIX #Nubank #PicPay</t>
  </si>
  <si>
    <t>Restituição IRPF</t>
  </si>
  <si>
    <t>#Recebimentos #IRPF #Extra</t>
  </si>
  <si>
    <t>Salario - IBM  (com horas extras - trabalhos de fim de semana)</t>
  </si>
  <si>
    <t>Transferi para investimento - Clear HGLG11 IRDM11 Subscrição</t>
  </si>
  <si>
    <t>Pizza Hut - Vale Sul Shopping</t>
  </si>
  <si>
    <t>Kabum - 2 SSD 120GB, 2 HD Externo 2TB</t>
  </si>
  <si>
    <t>#Cicero #Lazer #Variavel</t>
  </si>
  <si>
    <t>Assaí Atacadista - valor aproximado 800,00</t>
  </si>
  <si>
    <t>COMBO 2 Refis Purificadores de Água Consul</t>
  </si>
  <si>
    <t xml:space="preserve">#Moradia #Cozinha #Variavel </t>
  </si>
  <si>
    <t>Shibata  - clique e retire</t>
  </si>
  <si>
    <t>Assaí Atacadista (compra do dia 07/08 = 809,68)</t>
  </si>
  <si>
    <t>EBANX SHOPPE - VESTUARIO CURITIBA</t>
  </si>
  <si>
    <t>Fatura VIVOFIBRA NETFLIX</t>
  </si>
  <si>
    <t xml:space="preserve">#Essencial #Streaming #Fixo </t>
  </si>
  <si>
    <t>Colégio Evoluti SJC</t>
  </si>
  <si>
    <t>Convenio Uniodonto - pagar ate outubro</t>
  </si>
  <si>
    <t>#Essencial #Saude #Convenio #Familia #Fixo</t>
  </si>
  <si>
    <t>Cancelamento - Convenio Uniodonto</t>
  </si>
  <si>
    <t>Marmita - C E M Delivery B Food</t>
  </si>
  <si>
    <t>Transferi para investimento - Clear Subscrição</t>
  </si>
  <si>
    <t>Habib's iFood - beirute e pizza</t>
  </si>
  <si>
    <t>Transferência via PIX - MAGALU - Pneu Cinturato P1 - 175/70 R14 84T</t>
  </si>
  <si>
    <t>Regiane Peixoto - Salgadinhos para sexta-feira (mesmo da cama elástica)</t>
  </si>
  <si>
    <t>Mercado Livre - Ugreen - Cabo Usb A Macho/macho 3.0 - 1m</t>
  </si>
  <si>
    <t>Reembolso - Pneustore - 20/07/2021: não entregaram</t>
  </si>
  <si>
    <t>#Recebimentos #Carro #Pneu #Variavel</t>
  </si>
  <si>
    <t>Spoleto - Vale Sul Shopping</t>
  </si>
  <si>
    <t>Doação Darlan Pereira de Araújo - Protetor de animais -Manaus - AM</t>
  </si>
  <si>
    <t>Frango Assado e Panceta - Cidade Jardim SJC</t>
  </si>
  <si>
    <t>Estacionamento - Espaço Andromeda - Oftalmologista</t>
  </si>
  <si>
    <t>Leroy: 8 mascaras PFF2</t>
  </si>
  <si>
    <t>#Saude #Familia #Variavel</t>
  </si>
  <si>
    <t>Combustivel - Posto Rede Nova</t>
  </si>
  <si>
    <t>Polyotica Shibata - 2 óculos 1,5 graus para perto</t>
  </si>
  <si>
    <t>#Saude #Variavel #Cicero</t>
  </si>
  <si>
    <t>Psicologa - Kelley Nascimento (para Roberta) PIX 31993029435</t>
  </si>
  <si>
    <t>#Psicologa #Fixo #Roberta</t>
  </si>
  <si>
    <t>Doação - Edilson F. Santos - desempregado - Linkedin</t>
  </si>
  <si>
    <t>iFood - Pizza Go (gigante 16 pedaços)</t>
  </si>
  <si>
    <t>LOJA VIRTUAL TORRAO - VESTUARIO 01/02</t>
  </si>
  <si>
    <t>CASA DAS LINHAS KIUKIM - DIVERSOS SAO JOSE DOS</t>
  </si>
  <si>
    <t>VITELA DE PRATA - ALIMENTAÇÃO SAO JOSE DOS</t>
  </si>
  <si>
    <t>DROGARIA SAO PAULO - SAUDE SAO JOSE DOS</t>
  </si>
  <si>
    <t>EBANX SHOPPE - DIVERSOS CURITIBA</t>
  </si>
  <si>
    <t>Facillita Passadoria - passar roupas - PIX para Roberta</t>
  </si>
  <si>
    <t>#Essencial #Roupas #Passar #Roberta #Variavel</t>
  </si>
  <si>
    <t>#Roberta #Variavel #Carlos #Eduardo</t>
  </si>
  <si>
    <t>Assaí Atacadista - bebidas (compra do dia 07/08 = 809,68)</t>
  </si>
  <si>
    <t>Uber - volta da oficina Fix Center - troca de pneus</t>
  </si>
  <si>
    <t>2 marmitas - edna de carvalho</t>
  </si>
  <si>
    <t>Assaí Atacadista - Amarula</t>
  </si>
  <si>
    <t>Márcia Uniforme - SJC</t>
  </si>
  <si>
    <t>#Eduardo #Uniforme #Variavel</t>
  </si>
  <si>
    <t>Murilo Cesar de Souza - 2 banquinhos de madeira - jacinto gallo</t>
  </si>
  <si>
    <t>#Eduardo #Carlos #Variavel #Moradia #Essencial</t>
  </si>
  <si>
    <t xml:space="preserve">#Remedios #Eduardo #Variavel </t>
  </si>
  <si>
    <t>Farmacia Pague Menos - Cidade Jardim</t>
  </si>
  <si>
    <t xml:space="preserve">#Lazer #Eduardo #Variavel </t>
  </si>
  <si>
    <t>Transferi para investimento - Nubank (reserva de oportunidades)</t>
  </si>
  <si>
    <t>Facillita Passadoria - passar roupas</t>
  </si>
  <si>
    <t>Drogaria São Paulo - Cidade Jardim</t>
  </si>
  <si>
    <t>Resgate reserva de oportunidade</t>
  </si>
  <si>
    <t>Deposito Binance para investimentos em criptomoedas ouro PAXG</t>
  </si>
  <si>
    <t>Farma Conde - Andromeda - Manipulação</t>
  </si>
  <si>
    <t>Leroy Merlin SJC - 2 suportes tipo deck para plantas</t>
  </si>
  <si>
    <t>Aniversario Sarah ITAU</t>
  </si>
  <si>
    <t>SERVICOS CLARO 11994991122</t>
  </si>
  <si>
    <t>FARMACONDE - SAUDE.SAUDE SAO JOSE DOS</t>
  </si>
  <si>
    <t>HAVANCOM 01/02 - VESTUARIO</t>
  </si>
  <si>
    <t>DROGARIA SAO-CT LO.SAUDE SAO JOSE DOS</t>
  </si>
  <si>
    <t>EFHolding - DIVERSOS SAO JOSE DOS</t>
  </si>
  <si>
    <t>LEVITAR SORVETES SJC - ALIMENTAÇÃO SAO JOSE DOS</t>
  </si>
  <si>
    <t>iFood - Yakisoba do Sensei (yakisoba gigante 1200g, shimeji 200g)</t>
  </si>
  <si>
    <t>Shopping Jd Oriente - Shibata - dia das crianças</t>
  </si>
  <si>
    <t>#Lazer #Presentes #Variavel</t>
  </si>
  <si>
    <t>Shibata - dia das crianças</t>
  </si>
  <si>
    <t>#Moradia #Essencial #Mercado #Alimentação #Lazer #Presentes #Variavel</t>
  </si>
  <si>
    <t>Havan Jacarei - lençol de cama e brinquedos</t>
  </si>
  <si>
    <t>#CartaoDeCredito #Cicero #Roberta #Eduardo #Carlos #Lazer #Variavel</t>
  </si>
  <si>
    <t>Decathlon SJC</t>
  </si>
  <si>
    <t>#CartaoDeCredito #Cicero #Eduardo #Carlos #Lazer #Variavel</t>
  </si>
  <si>
    <t xml:space="preserve">#CartaoDeCredito #Cicero #Fralda #Carlos #Variavel </t>
  </si>
  <si>
    <t>Google Play - Isolamento do Eduardo</t>
  </si>
  <si>
    <t>#CartaoDeCredito #Cicero #Lazer #Eduardo #Variavel</t>
  </si>
  <si>
    <t>Google Play</t>
  </si>
  <si>
    <t>Microsoft Game Pass Ultimate</t>
  </si>
  <si>
    <t>#CartaoDeCredito #Cicero #Lazer #Variavel</t>
  </si>
  <si>
    <t>iFood - Yakisoba do Sensei (yakisoba gigante 1200g)</t>
  </si>
  <si>
    <t>Supermercados Máximo</t>
  </si>
  <si>
    <t>Aniversario Davi ITAU</t>
  </si>
  <si>
    <t>FarmaConde - Cidade Jardim 4520 x Jacinto Gallo</t>
  </si>
  <si>
    <t xml:space="preserve">Vale-Sul Shopping - 2 balões </t>
  </si>
  <si>
    <t>#Lazer #Eduardo #Carlos #Shopping #Variavel</t>
  </si>
  <si>
    <t>Vale-Sul Shopping - Oscar Calçados</t>
  </si>
  <si>
    <t>#Carlos #Eduardo #Carlos #Essencial #Calçados #Variavel</t>
  </si>
  <si>
    <t>Vale-Sul Shopping - C&amp;A Modas</t>
  </si>
  <si>
    <t>#Cicero #Essencial #Roupas #Variavel</t>
  </si>
  <si>
    <t>Vale-Sul Shopping - C&amp;A Modas - CHIP TIM</t>
  </si>
  <si>
    <t>#Eduardo #Celular #Lazer #Variavel</t>
  </si>
  <si>
    <t>Vale-Sul Shopping - Estacionamento</t>
  </si>
  <si>
    <t>Extra Hipermercado</t>
  </si>
  <si>
    <t>Salario + PLR - IBM</t>
  </si>
  <si>
    <t>#Recebimentos #Salario #PLR #Fixo</t>
  </si>
  <si>
    <t>Mesada Eduardo</t>
  </si>
  <si>
    <t>#Mesada #Eduardo #Fixo</t>
  </si>
  <si>
    <t>Entrada PIX Roberta (mesada Eduardo para google play)</t>
  </si>
  <si>
    <t>#Recebimentos #Roberta #Eduardo #Inter #Variavel</t>
  </si>
  <si>
    <t>Google Play Gift Card</t>
  </si>
  <si>
    <t>Entrada CashBack Inter (google play)</t>
  </si>
  <si>
    <t>#Recebimentos #CashBack #Inter #Variavel</t>
  </si>
  <si>
    <t>Shibata - Whisky Ballantines</t>
  </si>
  <si>
    <t>ValeSul Shopping - Parks e Games (fliperama)</t>
  </si>
  <si>
    <t>Estacionamento - ValeSul</t>
  </si>
  <si>
    <t>Leroy Merlin SJC</t>
  </si>
  <si>
    <t>#Essencial #Moradia #Variavel</t>
  </si>
  <si>
    <t>Shopping Jd Oriente - Shibata - D e G Com Brinquedos</t>
  </si>
  <si>
    <t>#Lazer #Presentes #Eduardo #Carlos #Variavel</t>
  </si>
  <si>
    <t>Facillita Passadoria - passar roupas - PIX 09257416801</t>
  </si>
  <si>
    <t>Transferi para PicPay (google play gift card para o Eduardo)</t>
  </si>
  <si>
    <t>#Transferencia #PIX #Nubank #PicPay #Variavel</t>
  </si>
  <si>
    <t>Nota Fiscal Paulista</t>
  </si>
  <si>
    <t>#Recebimentos #NotaFiscalPaulista #Variavel</t>
  </si>
  <si>
    <t>HAVANCOM 02/02 - VESTUARIO</t>
  </si>
  <si>
    <t>SALINAS AUTO POSTO - VEICULO SAO JOSE DOS</t>
  </si>
  <si>
    <t>FARMA DELIVERY SITE M SAUDE.SANTO ANDRE</t>
  </si>
  <si>
    <t>#CartaoDeCredito #Roberta #Variavel #Carlos</t>
  </si>
  <si>
    <t>Limpeza do sofá pequeno</t>
  </si>
  <si>
    <t>#Moradia #Limpeza #Sofa #Variavel</t>
  </si>
  <si>
    <t>Americanas - Gift Card Google Play - Dias das crianças</t>
  </si>
  <si>
    <t>Google Play - Dias das crianças</t>
  </si>
  <si>
    <t>Americanas - Gift Card Google Play - Dias das crianças - ESTORNO</t>
  </si>
  <si>
    <t>Amazon.com.br digital Go Premium - Jogo do Rato - comprei por engano</t>
  </si>
  <si>
    <t>#CartaoDeCredito #Cicero #Lazer #Carlos #Variavel</t>
  </si>
  <si>
    <t>Google YouTube Premium</t>
  </si>
  <si>
    <t>iFood - Cura Gula</t>
  </si>
  <si>
    <t>Casamento Carolina ITAU</t>
  </si>
  <si>
    <t>#Lazer #Doação #Variavel</t>
  </si>
  <si>
    <t>iFood - Pizza Me</t>
  </si>
  <si>
    <t>Leroy Merlin SJC - vários itens</t>
  </si>
  <si>
    <t>#Lazer #Moradia #Variavel #Essencial</t>
  </si>
  <si>
    <t>Leroy Merlin SJC - tela mosquiteiro</t>
  </si>
  <si>
    <t>#Moradia #Variavel #Essencial</t>
  </si>
  <si>
    <t>Doação Natal dos Bugios - Chácara Morro dos Bugios</t>
  </si>
  <si>
    <t>#Natal #Doação #Variavel</t>
  </si>
  <si>
    <t>Compra no app Banco Inter x Casas Bahia - Air Flyer 12L Britania</t>
  </si>
  <si>
    <t>#Moradia #Cozinha #Lazer #Presentes #Variavel #BlackFriday</t>
  </si>
  <si>
    <t>Cashback - Compra no app Banco Inter - Air Flyer 12L Britania</t>
  </si>
  <si>
    <t>#Recebimentos #Cashback #Variavel #BlackFriday</t>
  </si>
  <si>
    <t>Cashback EXTRA - Compra no app Banco Inter - Air Flyer 12L Britania</t>
  </si>
  <si>
    <t>#Cicero #Variavel #Celular</t>
  </si>
  <si>
    <t>13o. Salario - IBM - parcela 1</t>
  </si>
  <si>
    <t>Transferi para investimento - Nubank (reserva de oportunidades 13o.)</t>
  </si>
  <si>
    <t>Colégio Evoluti SJC - MATRICULA 2o. ANO FUNDAMENTAL</t>
  </si>
  <si>
    <t>Material Uni 2022 - Colegio Evoluti - R$ 1.035,00 (Boleto 5% DESC.)</t>
  </si>
  <si>
    <t>Magalu - 2 capas p/ celular - DrKappa</t>
  </si>
  <si>
    <t>#Lazer #Presentes #Cicero #Variavel</t>
  </si>
  <si>
    <t>Compra no app Banco Inter x Ponto - Microondas Midea Grill 30L</t>
  </si>
  <si>
    <t>#Moradia #Cozinha #Lazer #Presentes #Variavel</t>
  </si>
  <si>
    <t>Cashback - Compra no app Banco Inter - Microondas Midea Grill 30L</t>
  </si>
  <si>
    <t>#Recebimentos #Cashback #Variavel</t>
  </si>
  <si>
    <t>INSTITUTO MIX SJC 01/10 EDUCACAO. CURSO DE CONFEITARIA 01/10</t>
  </si>
  <si>
    <t>#CartaoDeCredito #Roberta #Cursos #Variavel</t>
  </si>
  <si>
    <t>Material Escolar 2022 - Colegio Evoluti</t>
  </si>
  <si>
    <t>Matricula - Cartorio de Imoveis SJC</t>
  </si>
  <si>
    <t>#Moradia #Cartorio #Variavel</t>
  </si>
  <si>
    <t>PREVISTO</t>
  </si>
  <si>
    <t>Combustivel Posto Rede Nova - Andromeda</t>
  </si>
  <si>
    <t>Enfeites de Natal - Brinquedos</t>
  </si>
  <si>
    <t>#CartaoDeCredito #Cicero #Natal #Brinquedos #Lazer #Eduardo #Carlos #Variavel</t>
  </si>
  <si>
    <t>Fita magnética 10mts - Mercado Livre</t>
  </si>
  <si>
    <t>#CartaoDeCredito #Cicero #Moradia #Janela #Variavel</t>
  </si>
  <si>
    <t>Discovery+</t>
  </si>
  <si>
    <t>Disney+</t>
  </si>
  <si>
    <t xml:space="preserve">#CartaoDeCredito #Cicero #Streaming #Fixo #Anual </t>
  </si>
  <si>
    <t xml:space="preserve">Fita magnética 4mts - Mercado Livre </t>
  </si>
  <si>
    <t>Amazon.com.br - Livro (diario) para Roberta</t>
  </si>
  <si>
    <t>#CartaoDeCredito #Cicero #Roberta #Presentes #Variavel</t>
  </si>
  <si>
    <t>EBANX SHOPPE - Utensílios para confeitaria da Roberta</t>
  </si>
  <si>
    <t>#Roberta #Variavel #Curso #Confeitaria</t>
  </si>
  <si>
    <t>Salario - IBM (cobraram coparticipação do plano de saude)</t>
  </si>
  <si>
    <t>13o. Salario - IBM - parcela 2</t>
  </si>
  <si>
    <t>Devolução/Transferência Resgate reserva de oportunidade</t>
  </si>
  <si>
    <t>Aniversario Danilo / Helio - ITAU</t>
  </si>
  <si>
    <t>Supermercados Rosalina</t>
  </si>
  <si>
    <t>iFood - Pizza Hut</t>
  </si>
  <si>
    <t>Doação Natal - Vakinha</t>
  </si>
  <si>
    <t>Salario - IBM - Férias</t>
  </si>
  <si>
    <t>#Recebimentos #Salario #Férias #Fixo</t>
  </si>
  <si>
    <t>#Moradia #Essencial #Mercado #Variavel #Alimentação #Natal</t>
  </si>
  <si>
    <t>#Lazer #Eduardo #Variavel #Natal</t>
  </si>
  <si>
    <t>Cashback - Compra no app Banco Inter - Google Play Gift Card</t>
  </si>
  <si>
    <t>Mercado Livre - Ugreen - 2 Cabos Usb A Macho/macho 3.0 - 1m/50cm</t>
  </si>
  <si>
    <t>Immunovalle SJC (jd aquarios) - 4 vacinas da gripe</t>
  </si>
  <si>
    <t>#Roberta #Carlos #Eduardo #Cicero #Variavel #Vacina #Gripe</t>
  </si>
  <si>
    <t>4 espetos de churrasco - Av Ouro Fino X R Pedro Martins Ribeiro SJC</t>
  </si>
  <si>
    <t>#Moradia #Essencial #Mercado #Variavel #Alimentação  #AnoNovo</t>
  </si>
  <si>
    <t>Doação - Tragedia na Bahia causadas pela chuva</t>
  </si>
  <si>
    <t>Cobasi Shibata SJC - Brinquedos - Aquario</t>
  </si>
  <si>
    <t>#Lazer #Roberta #Aquario  #Eduardo #Carlos #Cicero</t>
  </si>
  <si>
    <t>2 Unidades Relé Srd-sl-c 5p 9v 10a - Mercado Livre</t>
  </si>
  <si>
    <t>#Roberta #Aquario #Lazer #Variavel</t>
  </si>
  <si>
    <t>Hotel Pousada Hipica Barao em Campinas - Entrada</t>
  </si>
  <si>
    <t>#Lazer #Ferias #Roberta #Carlos #Eduardo #Cicero #Variavel</t>
  </si>
  <si>
    <t>Cinépolis Shibata SJC  - Matrix Resurrections</t>
  </si>
  <si>
    <t>#Lazer #Cinema #Variavel #Cicero</t>
  </si>
  <si>
    <t>Hotel Pousada Hipica Barao em Campinas</t>
  </si>
  <si>
    <t>INSTITUTO MIX SJC 01/10 EDUCACAO. CURSO DE CONFEITARIA 02/10</t>
  </si>
  <si>
    <t>SHIBATA - ALIMENTAÇÃO.SÃO JOSE DOS</t>
  </si>
  <si>
    <t>#CartaoDeCredito #Roberta#Moradia #Essencial #Mercado #Variavel #Alimentação</t>
  </si>
  <si>
    <t>SUBMARINO MARKETPLACE BRINQUEDOS.RIO DE JANEIRO</t>
  </si>
  <si>
    <t>#CartaoDeCredito #Roberta #Lazer #Carlos #Variavel #Natal</t>
  </si>
  <si>
    <t>FARMA LESTE -CT ARIA</t>
  </si>
  <si>
    <t>BAZAR E PAPE-CT NDO</t>
  </si>
  <si>
    <t>ODONTO SATELITE</t>
  </si>
  <si>
    <t>#CartaoDeCredito #Roberta #Variavel #Eduardo #Saude</t>
  </si>
  <si>
    <t>ASSAÍ ATACADISTA</t>
  </si>
  <si>
    <t>PAG*Farmacon-CT</t>
  </si>
  <si>
    <t xml:space="preserve">#CartaoDeCredito #Cicero #Remedios #Eduardo #Variavel </t>
  </si>
  <si>
    <t xml:space="preserve">#CartaoDeCredito #Cicero #Lazer #Presentes #Variavel #Natal </t>
  </si>
  <si>
    <t>Google Play - Natal</t>
  </si>
  <si>
    <t xml:space="preserve">#CartaoDeCredito #Cicero #Lazer #Presentes #Eduardo #Variavel #Natal </t>
  </si>
  <si>
    <t>AZUL AUTO - SEGUROS - R$ 1.574,01 - 6x - 1/6</t>
  </si>
  <si>
    <t>#CartaoDeCredito #Cicero #Carro #Seguro #Variavel</t>
  </si>
  <si>
    <t xml:space="preserve">Megasena da virada </t>
  </si>
  <si>
    <t>#CartaoDeCredito #Cicero #Lazer #Loteria #Megasena #Variavel</t>
  </si>
  <si>
    <t>Pague Menos Av Cidade Jardim SJC</t>
  </si>
  <si>
    <t>Salario - IBM (cobraram coparticipação do plano de saude e odonto)</t>
  </si>
  <si>
    <t>Estacionamento - File Park - Tomovale (tomografia abdomen total)</t>
  </si>
  <si>
    <t>#Lazer #Saude #Familia #Moradia #Variavel</t>
  </si>
  <si>
    <t>Aniversario Ricardo - ITAU</t>
  </si>
  <si>
    <t>iFood - Balbinos Burguer</t>
  </si>
  <si>
    <t>Combustivel - Salinas Auto Posto</t>
  </si>
  <si>
    <t>Aniversario Gabriel - ITAU</t>
  </si>
  <si>
    <t>Prateleira para Congelador Consul - W10169459</t>
  </si>
  <si>
    <t>Psicologa - Kelley Nascimento (para Roberta) PIX (TEL) 31993029435</t>
  </si>
  <si>
    <t>Aniversario Luis - ITAU</t>
  </si>
  <si>
    <t>McDonald's Drive Thru Andromeda SJC</t>
  </si>
  <si>
    <t>EBANX - Shopee - 10 Mascaras PFF2 infantis</t>
  </si>
  <si>
    <t>#Essencial #Saude #Carlos #Eduardo #Variavel</t>
  </si>
  <si>
    <t>INSTITUTO MIX SJC 01/10 EDUCACAO. CURSO DE CONFEITARIA 03/10</t>
  </si>
  <si>
    <t>PAG*MerceariCT alina</t>
  </si>
  <si>
    <t>BOLICHE BOWL-CT</t>
  </si>
  <si>
    <t>#CartaoDeCredito #Roberta #Lazer #Carlos #Eduardo</t>
  </si>
  <si>
    <t>FRANGOLITO SAO JOSE DOS CAMPOS</t>
  </si>
  <si>
    <t>#CartaoDeCredito #Roberta #Lazer #Carlos #Eduardo #Comida</t>
  </si>
  <si>
    <t>SJC03 CIDJARDIM SP</t>
  </si>
  <si>
    <t>YAPAY *XERYUS</t>
  </si>
  <si>
    <t>#CartaoDeCredito #Roberta #Variavel #Eduardo #Escola #Mochila</t>
  </si>
  <si>
    <t>LOJA UNIVERSAL SJC</t>
  </si>
  <si>
    <t>#CartaoDeCredito #Roberta #Variavel #Eduardo #Escola #Uniforme</t>
  </si>
  <si>
    <t>MERCADO PAGO CONSULTAR REMEDIOS</t>
  </si>
  <si>
    <t>#CartaoDeCredito #Roberta #Variavel #Eduardo #Carlos #Remedios</t>
  </si>
  <si>
    <t>#CartaoDeCredito #Roberta #Lazer #Comida #Variavel</t>
  </si>
  <si>
    <t>SHIBATA CLIQUE E RETIRE - ALIMENTAÇÃO.SÃO JOSE DOS</t>
  </si>
  <si>
    <t>YAPAY PAGAMENTOS ONLINE - HIDRATANTE MENINOS</t>
  </si>
  <si>
    <t>Combustivel Salinas Auto Posto</t>
  </si>
  <si>
    <t>Uber - Volta da UPA em Campinas</t>
  </si>
  <si>
    <t>AZUL AUTO - SEGUROS - R$ 1.574,01 - 6x - 2/6</t>
  </si>
  <si>
    <t>Itapoã - embalagens para festas</t>
  </si>
  <si>
    <t>#Lazer #Cicero #Plantas #Variavel</t>
  </si>
  <si>
    <t>Casamento Jessica IBM</t>
  </si>
  <si>
    <t>Mercado Livre - Cabo HDMI 2.0 4K 19 pinos - 3 metros</t>
  </si>
  <si>
    <t>#Roberta #Lazer #Variavel</t>
  </si>
  <si>
    <t>Doação - Tragedia em Petropolis RJ pela chuva (Ação da Cidadania)</t>
  </si>
  <si>
    <t xml:space="preserve">#Saude #TesteCovid #Eduardo #Variavel </t>
  </si>
  <si>
    <t xml:space="preserve">#Saude #Oximetria #Cicero #Variavel </t>
  </si>
  <si>
    <t>Mercadolivre - Drogão Popular - Oximetro e Medidor de Pressão</t>
  </si>
  <si>
    <t xml:space="preserve">#Saude #Oximetro #MedidorPressao #Cicero #Variavel </t>
  </si>
  <si>
    <t>Aniversario Fabiano - IBM</t>
  </si>
  <si>
    <t>Aniversario Jessica - IBM</t>
  </si>
  <si>
    <t>Aniversario Alvaro - ITAU</t>
  </si>
  <si>
    <t>Vale-Sul Shopping - Burguer King</t>
  </si>
  <si>
    <t>#Lazer #Eduardo #Carlos #Roberta #Comida #Shopping #Variavel</t>
  </si>
  <si>
    <t>#Moradia #Essencial #Mercado #Variavel #Alimentação #Lazer #Carlos</t>
  </si>
  <si>
    <t>Multi Sabor SJC - Cidade Jardim - 100 salgadinhos</t>
  </si>
  <si>
    <t>Transferencia via PIX - Almir</t>
  </si>
  <si>
    <t>Assaí Atacadista - compra para fazer bolo</t>
  </si>
  <si>
    <t>INSTITUTO MIX SJC 01/10 EDUCACAO. CURSO DE CONFEITARIA 04/10</t>
  </si>
  <si>
    <t>PAG*Farmaconde</t>
  </si>
  <si>
    <t>Facillita Passadoria - passar roupas - PIX (12)982423502</t>
  </si>
  <si>
    <t>AZUL AUTO - SEGUROS - R$ 1.574,01 - 6x - 3/6</t>
  </si>
  <si>
    <t>29/02/2022</t>
  </si>
  <si>
    <t>Entrada prestação casa de Itaquera - dificuldades no pagamento</t>
  </si>
  <si>
    <t xml:space="preserve">Aluguel de garagem Itaquera - Arthur </t>
  </si>
  <si>
    <t>Transferencia via PIX - Roberta (aluguel garagem)</t>
  </si>
  <si>
    <t>Perua dos ovos - 30 ovos</t>
  </si>
  <si>
    <t xml:space="preserve">#Moradia #Essencial #Variavel #Alimentação </t>
  </si>
  <si>
    <t>Shibata - brinquedo camaleão</t>
  </si>
  <si>
    <t>#Mercado #Variavel #Lazer #Carlos</t>
  </si>
  <si>
    <t>Mercadolivre - Meu Canto Shop - Abridor De Latas Manivela</t>
  </si>
  <si>
    <t xml:space="preserve">#Moradia #Cozinha #Cicero #Variavel </t>
  </si>
  <si>
    <t>Mercadinho Piratininga - Cassiopéia prox Andromeda SJC</t>
  </si>
  <si>
    <t>iFood - Pizzaria Villas Boas - 1 pizza gigante 16 pedaços</t>
  </si>
  <si>
    <t>Kabum - Controle sem fio XBox Carbon Black (Series S/X)</t>
  </si>
  <si>
    <t>Padaria Edna Magali - PRONVAL Periodico IBM</t>
  </si>
  <si>
    <t>Estacionamento - PRONVAL Periodico IBM</t>
  </si>
  <si>
    <t>QualityCor - Ultrassonografia Abdome Total - Mega Estacionamento</t>
  </si>
  <si>
    <t>#Moradia #Essencial #Mercado #Variavel #Alimentação #Lazer #Eduardo #Carlos</t>
  </si>
  <si>
    <t>Conserto de bicicleta - Ciclomanos</t>
  </si>
  <si>
    <t>#Bike #Conserto #Cicero #Variavel</t>
  </si>
  <si>
    <t>Capa para mesa - Armarinhos Leudiceia CV Moura</t>
  </si>
  <si>
    <t>#Moradia #Cozinha #Cicero #Variavel</t>
  </si>
  <si>
    <t>Aluguel de Itaquera - Joice - Pagou 2 meses (em maio não vai pagar)</t>
  </si>
  <si>
    <t>Mercadolivre - BETANIA BENIS RIBEIRO - Patinete 3 Rodas Criança</t>
  </si>
  <si>
    <t>#Presentes #Carlos #Variavel #Aniversario</t>
  </si>
  <si>
    <t>Galinha pintadinha (cantão da roça)</t>
  </si>
  <si>
    <t>INSTITUTO MIX SJC EDUCACAO. CURSO DE CONFEITARIA 05/10</t>
  </si>
  <si>
    <t>FEST MANIA -CT DIVERSOS.SAO JOSE DOS</t>
  </si>
  <si>
    <t>MP *ELSHADAY-CT ALIMENTAÇÃO.SAO JOSE DOS</t>
  </si>
  <si>
    <t>PAGUE MENOS SJC03 CIDJARDIM SP SAUDE.SAO JOSE DOS</t>
  </si>
  <si>
    <t>#CartaoDeCredito #Roberta #Variavel #Remedios #Carlos #Eduardo</t>
  </si>
  <si>
    <t>M UCHINO FER-CT NS DIVERSOS.SAO JOSE DOS</t>
  </si>
  <si>
    <t>Supermercados Máximo - bebidas, doces</t>
  </si>
  <si>
    <t xml:space="preserve">#Moradia #Lazer #Aniversario #Carlos #Mercado #Variavel #Alimentação </t>
  </si>
  <si>
    <t>Supermercados Máximo - gelo, presentes, cesto para salgados</t>
  </si>
  <si>
    <t>Carrefour SJC Aquarius - Whisky Chivas</t>
  </si>
  <si>
    <t>Leroy SJC</t>
  </si>
  <si>
    <t>#CartaoDeCredito #Cicero #Lazer #Plantas #Moradia #Variavel</t>
  </si>
  <si>
    <t>Farma Direta</t>
  </si>
  <si>
    <t>#CartaoDeCredito #Cicero #Variavel #Carlos #Eduardo #Remedios</t>
  </si>
  <si>
    <t>McDonald's - Vale Sul Shopping</t>
  </si>
  <si>
    <t>Google Play - Roblox</t>
  </si>
  <si>
    <t>Console XBox Series S - Americanas online</t>
  </si>
  <si>
    <t>AZUL AUTO - SEGUROS - R$ 1.574,01 - 6x - 4/6</t>
  </si>
  <si>
    <t>Galinha pintadinha (cantão da roça) - ovos, doces, oregano</t>
  </si>
  <si>
    <t>Bake Cozinha Vegana SJC</t>
  </si>
  <si>
    <t>#Lazer #Comida #Carlos #Eduardo #Variavel</t>
  </si>
  <si>
    <t>Shibata - Shopping Jardim Oriente (carros eletricos infantis)</t>
  </si>
  <si>
    <t>#Lazer #Carlos #Variavel</t>
  </si>
  <si>
    <t>Shibata - Shopping Jardim Oriente (pula-pula)</t>
  </si>
  <si>
    <t>#Lazer #Eduardo #Variavel</t>
  </si>
  <si>
    <t>Shibata - Shopping Jardim Oriente (McDonald's 2 McLanche Feliz)</t>
  </si>
  <si>
    <t>Shibata - Shopping Jardim Oriente (Serranos Restaurante Self-Service)</t>
  </si>
  <si>
    <t>#Lazer #Comida #Cicero#Variavel</t>
  </si>
  <si>
    <t>#Lazer #Comida #Roberta #Variavel</t>
  </si>
  <si>
    <t>Shibata - Shopping Jardim Oriente (McDonald's - Batata / McFlury)</t>
  </si>
  <si>
    <t xml:space="preserve">#Saude #Remedio #Carlos #Variavel </t>
  </si>
  <si>
    <t xml:space="preserve">#Saude #Remedio #Eduardo #Variavel </t>
  </si>
  <si>
    <t xml:space="preserve">#Saude #Remedio #Carlos # Lazer #Comida #Variavel </t>
  </si>
  <si>
    <t>Devolução via TED - Almir</t>
  </si>
  <si>
    <t>#Recebimentos #Itau #Variavel #AjudaAlmir</t>
  </si>
  <si>
    <t>iFood - K&amp;k Burguer Delivery - Gourmet na caixa - 4pessoas</t>
  </si>
  <si>
    <t>Cinépolis Shibata SJC  - Sonic 2</t>
  </si>
  <si>
    <t>#Lazer #Cinema #Variavel #Eduardo #Carlos #Roberta #Cicero</t>
  </si>
  <si>
    <t>Cinépolis Shibata SJC  - 2 Baldes de pipoca e 4 refri 500ml</t>
  </si>
  <si>
    <t>#Lazer #Cinema #Comida #Variavel #Eduardo #Carlos #Roberta #Cicero</t>
  </si>
  <si>
    <t>Doação Walter Saxofonista de rua - Vakinha</t>
  </si>
  <si>
    <t>#Doação #Variavel</t>
  </si>
  <si>
    <t>iFood - Yakisoba do Sensei - Yakisoba Bacon + Shimeji na manteiga</t>
  </si>
  <si>
    <t>Shibata - Shopping Jardim Oriente (McDonald's 2 McLanche Feliz + batata)</t>
  </si>
  <si>
    <t>Shibata - Shopping Jardim Oriente (Chopp Heineken)</t>
  </si>
  <si>
    <t>Shibata - Shopping Jardim Oriente (Bowling Shibata)</t>
  </si>
  <si>
    <t>Cia das Guloseimas (Colégio Evoluti) PIX CPF 30357657829</t>
  </si>
  <si>
    <t>#Lazer #Comida #Eduardo #Cantina #Variavel</t>
  </si>
  <si>
    <t>Balada Fest - Decorações e eventos (Buffet Aniversário Eduardo) 1/2</t>
  </si>
  <si>
    <t>#Buffet #Eduardo #Variavel #Aniversario</t>
  </si>
  <si>
    <t>iFood  - KFC - combo balde frango assado + batata + 2 molhos</t>
  </si>
  <si>
    <t>INSTITUTO MIX SJC EDUCACAO. CURSO DE CONFEITARIA 06/10</t>
  </si>
  <si>
    <t>YASUDA E YASAWA - PAPELARIA (PROXIMO SHIBATA)</t>
  </si>
  <si>
    <t>#CartaoDeCredito #Roberta #Variavel #Eduardo #MaterialEscolar</t>
  </si>
  <si>
    <t xml:space="preserve">SUPERMERCADO </t>
  </si>
  <si>
    <t>#CartaoDeCredito #Roberta #Variavel #Alimentação #Lazer #Carlos</t>
  </si>
  <si>
    <t>#CartaoDeCredito #Roberta #Variavel #Carlos #Lazer</t>
  </si>
  <si>
    <t>iFood - Yakisoba do Sensei - Yakisoba Bacon</t>
  </si>
  <si>
    <t>Salão para festa do Eduardo 1/2</t>
  </si>
  <si>
    <t>#Salão #Eduardo #Variavel #Aniversario</t>
  </si>
  <si>
    <t>Nutren Just Protein - Pague Menos Sjc03-cidadejardim-SJC</t>
  </si>
  <si>
    <t>#CartaoDeCredito #Cicero #Saude #Nutrologo #Variavel</t>
  </si>
  <si>
    <t xml:space="preserve">2 Creafort pó 300g 30 saches de 3g cada - MercadoLivre - unibela </t>
  </si>
  <si>
    <t>Ativday Vitamina D 1000UI - Pague Menos Sjc03-cidadejardim-SJC</t>
  </si>
  <si>
    <t>Google Play - Eduardo (Aniversario do Carlos)</t>
  </si>
  <si>
    <t xml:space="preserve">#CartaoDeCredito #Cicero #Lazer #Presentes #Eduardo #Variavel </t>
  </si>
  <si>
    <t>Leroy Merlin - Material para Aniversario do Carlos (lonas)</t>
  </si>
  <si>
    <t xml:space="preserve">#CartaoDeCredito #Cicero #Lazer #Moradia #Aniversario #Carlos #Variavel </t>
  </si>
  <si>
    <t>Google Play - Eduardo (PK XD)</t>
  </si>
  <si>
    <t xml:space="preserve">#CartaoDeCredito #Cicero #Lazer #Eduardo #Variavel </t>
  </si>
  <si>
    <t>Google Play - Eduardo (Roblox)</t>
  </si>
  <si>
    <t>#CartaoDeCredito #Cicero #Lazer #Eduardo #Variavel #Presente #BoasNotas</t>
  </si>
  <si>
    <t>AZUL AUTO - SEGUROS - R$ 1.574,01 - 6x - 5/6</t>
  </si>
  <si>
    <t>TRANSFERINDO</t>
  </si>
  <si>
    <t>ENTRECONTAS</t>
  </si>
  <si>
    <t>CAIXA</t>
  </si>
  <si>
    <t>&gt;&gt;&gt;</t>
  </si>
  <si>
    <t>FILTRAR POR TAGS</t>
  </si>
  <si>
    <t>AGRUPAR</t>
  </si>
  <si>
    <t>RETIRAR</t>
  </si>
  <si>
    <t>#Escola</t>
  </si>
  <si>
    <t>FILTRAR POR MESES</t>
  </si>
  <si>
    <t>JANEIRO</t>
  </si>
  <si>
    <t>FEVEREIRO</t>
  </si>
  <si>
    <t>MARÇO</t>
  </si>
  <si>
    <t>ABRIL</t>
  </si>
  <si>
    <t>MAIO</t>
  </si>
  <si>
    <t>JUNHO</t>
  </si>
  <si>
    <t>JULHO</t>
  </si>
  <si>
    <t>AGOSTO</t>
  </si>
  <si>
    <t>SETEMBRO</t>
  </si>
  <si>
    <t>OUTUBRO</t>
  </si>
  <si>
    <t>NOVEMBRO</t>
  </si>
  <si>
    <t>DEZEMBRO</t>
  </si>
  <si>
    <t>GRAFICO MENSAL</t>
  </si>
  <si>
    <t>COMANDOS QUERY (SQL)</t>
  </si>
  <si>
    <t>DEVELOPMENT VIEW</t>
  </si>
  <si>
    <t>J contains '</t>
  </si>
  <si>
    <t>TODOS &gt;</t>
  </si>
  <si>
    <t>DESC. TODOS &gt;</t>
  </si>
  <si>
    <t>MENSAL &gt;</t>
  </si>
  <si>
    <t>DESC. MENSAL &gt;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</si>
</sst>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00"/>
    <numFmt numFmtId="166" formatCode="d/m/yyyy"/>
    <numFmt numFmtId="167" formatCode="dd/mm/yyyy"/>
  </numFmts>
  <fonts count="25">
    <font>
      <sz val="10.0"/>
      <color rgb="FF000000"/>
      <name val="Arial"/>
    </font>
    <font>
      <b/>
      <i/>
      <sz val="14.0"/>
      <color rgb="FF000000"/>
      <name val="Calibri"/>
    </font>
    <font>
      <b/>
      <sz val="8.0"/>
      <name val="Calibri"/>
    </font>
    <font>
      <b/>
      <sz val="8.0"/>
      <color rgb="FF000000"/>
      <name val="Calibri"/>
    </font>
    <font>
      <b/>
      <i/>
      <u/>
      <sz val="10.0"/>
      <color rgb="FF1155CC"/>
      <name val="Calibri"/>
    </font>
    <font>
      <sz val="8.0"/>
      <name val="Calibri"/>
    </font>
    <font>
      <sz val="8.0"/>
      <color rgb="FF000000"/>
      <name val="Calibri"/>
    </font>
    <font>
      <name val="Arial"/>
    </font>
    <font>
      <b/>
      <sz val="8.0"/>
      <color rgb="FF666666"/>
      <name val="Calibri"/>
    </font>
    <font>
      <b/>
      <i/>
      <u/>
      <sz val="10.0"/>
      <color rgb="FF1155CC"/>
      <name val="Calibri"/>
    </font>
    <font/>
    <font>
      <sz val="11.0"/>
      <color rgb="FF000000"/>
      <name val="Inconsolata"/>
    </font>
    <font>
      <color rgb="FF000000"/>
      <name val="Roboto"/>
    </font>
    <font>
      <sz val="11.0"/>
      <color rgb="FF008000"/>
      <name val="Inconsolata"/>
    </font>
    <font>
      <b/>
      <sz val="9.0"/>
      <color rgb="FF1C4587"/>
      <name val="Inconsolata"/>
    </font>
    <font>
      <sz val="11.0"/>
      <color rgb="FF5B95F9"/>
      <name val="Inconsolata"/>
    </font>
    <font>
      <sz val="9.0"/>
    </font>
    <font>
      <sz val="9.0"/>
      <color rgb="FF76A5AF"/>
      <name val="Inconsolata"/>
    </font>
    <font>
      <sz val="9.0"/>
      <color rgb="FF073763"/>
      <name val="Inconsolata"/>
    </font>
    <font>
      <sz val="9.0"/>
      <color rgb="FF073763"/>
    </font>
    <font>
      <sz val="9.0"/>
      <color rgb="FF5B95F9"/>
      <name val="Inconsolata"/>
    </font>
    <font>
      <b/>
      <sz val="9.0"/>
      <color rgb="FFFF0000"/>
      <name val="Inconsolata"/>
    </font>
    <font>
      <b/>
      <sz val="11.0"/>
      <color rgb="FF1C4587"/>
      <name val="Inconsolata"/>
    </font>
    <font>
      <b/>
      <sz val="9.0"/>
      <color rgb="FFFFFFFF"/>
    </font>
    <font>
      <b/>
      <sz val="9.0"/>
      <color rgb="FFFFFFFF"/>
      <name val="Inconsolata"/>
    </font>
  </fonts>
  <fills count="10">
    <fill>
      <patternFill patternType="none"/>
    </fill>
    <fill>
      <patternFill patternType="lightGray"/>
    </fill>
    <fill>
      <patternFill patternType="solid">
        <fgColor rgb="FFC9DAF8"/>
        <bgColor rgb="FFC9DAF8"/>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D0E0E3"/>
        <bgColor rgb="FFD0E0E3"/>
      </patternFill>
    </fill>
    <fill>
      <patternFill patternType="solid">
        <fgColor rgb="FFA2C4C9"/>
        <bgColor rgb="FFA2C4C9"/>
      </patternFill>
    </fill>
    <fill>
      <patternFill patternType="solid">
        <fgColor rgb="FFE06666"/>
        <bgColor rgb="FFE06666"/>
      </patternFill>
    </fill>
    <fill>
      <patternFill patternType="solid">
        <fgColor rgb="FF0C343D"/>
        <bgColor rgb="FF0C343D"/>
      </patternFill>
    </fill>
  </fills>
  <borders count="2">
    <border/>
    <border>
      <right/>
    </border>
  </borders>
  <cellStyleXfs count="1">
    <xf borderId="0" fillId="0" fontId="0" numFmtId="0" applyAlignment="1" applyFont="1"/>
  </cellStyleXfs>
  <cellXfs count="275">
    <xf borderId="0" fillId="0" fontId="0" numFmtId="0" xfId="0" applyAlignment="1" applyFont="1">
      <alignment readingOrder="0" shrinkToFit="0" vertical="bottom" wrapText="0"/>
    </xf>
    <xf borderId="0" fillId="2" fontId="1" numFmtId="0" xfId="0" applyAlignment="1" applyFill="1" applyFont="1">
      <alignment horizontal="right" readingOrder="0" vertical="center"/>
    </xf>
    <xf borderId="0" fillId="2" fontId="2" numFmtId="0" xfId="0" applyAlignment="1" applyFont="1">
      <alignment horizontal="center" readingOrder="0"/>
    </xf>
    <xf borderId="0" fillId="2" fontId="3" numFmtId="0" xfId="0" applyAlignment="1" applyFont="1">
      <alignment horizontal="center" readingOrder="0"/>
    </xf>
    <xf borderId="0" fillId="2" fontId="2" numFmtId="1" xfId="0" applyAlignment="1" applyFont="1" applyNumberFormat="1">
      <alignment horizontal="center" readingOrder="0"/>
    </xf>
    <xf borderId="0" fillId="2" fontId="4" numFmtId="0" xfId="0" applyAlignment="1" applyFont="1">
      <alignment horizontal="center" readingOrder="0" vertical="center"/>
    </xf>
    <xf borderId="0" fillId="3" fontId="3" numFmtId="0" xfId="0" applyAlignment="1" applyFill="1" applyFont="1">
      <alignment horizontal="center" readingOrder="0"/>
    </xf>
    <xf borderId="0" fillId="3" fontId="2" numFmtId="0" xfId="0" applyAlignment="1" applyFont="1">
      <alignment horizontal="center" readingOrder="0"/>
    </xf>
    <xf borderId="0" fillId="3" fontId="2" numFmtId="1" xfId="0" applyAlignment="1" applyFont="1" applyNumberFormat="1">
      <alignment horizontal="center" readingOrder="0"/>
    </xf>
    <xf borderId="0" fillId="3" fontId="2" numFmtId="164" xfId="0" applyAlignment="1" applyFont="1" applyNumberFormat="1">
      <alignment horizontal="center" readingOrder="0"/>
    </xf>
    <xf borderId="0" fillId="3" fontId="2" numFmtId="2" xfId="0" applyAlignment="1" applyFont="1" applyNumberFormat="1">
      <alignment horizontal="center" readingOrder="0"/>
    </xf>
    <xf borderId="0" fillId="4" fontId="5" numFmtId="0" xfId="0" applyAlignment="1" applyFill="1" applyFont="1">
      <alignment horizontal="center" readingOrder="0" vertical="center"/>
    </xf>
    <xf borderId="0" fillId="0" fontId="5" numFmtId="0" xfId="0" applyAlignment="1" applyFont="1">
      <alignment horizontal="right" readingOrder="0" vertical="bottom"/>
    </xf>
    <xf borderId="0" fillId="0" fontId="5" numFmtId="165" xfId="0" applyAlignment="1" applyFont="1" applyNumberFormat="1">
      <alignment horizontal="center" readingOrder="0" vertical="bottom"/>
    </xf>
    <xf borderId="0" fillId="5" fontId="6" numFmtId="1" xfId="0" applyAlignment="1" applyFill="1" applyFont="1" applyNumberFormat="1">
      <alignment horizontal="center" vertical="bottom"/>
    </xf>
    <xf borderId="0" fillId="0" fontId="5" numFmtId="164" xfId="0" applyAlignment="1" applyFont="1" applyNumberFormat="1">
      <alignment horizontal="right" readingOrder="0" vertical="bottom"/>
    </xf>
    <xf borderId="0" fillId="0" fontId="5" numFmtId="2" xfId="0" applyAlignment="1" applyFont="1" applyNumberFormat="1">
      <alignment horizontal="right" readingOrder="0" vertical="bottom"/>
    </xf>
    <xf borderId="0" fillId="0" fontId="5" numFmtId="2" xfId="0" applyAlignment="1" applyFont="1" applyNumberFormat="1">
      <alignment vertical="bottom"/>
    </xf>
    <xf borderId="0" fillId="0" fontId="5" numFmtId="0" xfId="0" applyAlignment="1" applyFont="1">
      <alignment horizontal="center" readingOrder="0" vertical="bottom"/>
    </xf>
    <xf borderId="0" fillId="5" fontId="6" numFmtId="0" xfId="0" applyAlignment="1" applyFont="1">
      <alignment horizontal="right" vertical="bottom"/>
    </xf>
    <xf borderId="0" fillId="0" fontId="5" numFmtId="0" xfId="0" applyAlignment="1" applyFont="1">
      <alignment readingOrder="0"/>
    </xf>
    <xf borderId="0" fillId="0" fontId="5" numFmtId="0" xfId="0" applyAlignment="1" applyFont="1">
      <alignment readingOrder="0" vertical="bottom"/>
    </xf>
    <xf borderId="0" fillId="0" fontId="5" numFmtId="0" xfId="0" applyFont="1"/>
    <xf borderId="0" fillId="4" fontId="6" numFmtId="0" xfId="0" applyAlignment="1" applyFont="1">
      <alignment horizontal="center" vertical="bottom"/>
    </xf>
    <xf borderId="0" fillId="4" fontId="5" numFmtId="2" xfId="0" applyAlignment="1" applyFont="1" applyNumberFormat="1">
      <alignment readingOrder="0" vertical="bottom"/>
    </xf>
    <xf borderId="0" fillId="4" fontId="6" numFmtId="1" xfId="0" applyAlignment="1" applyFont="1" applyNumberFormat="1">
      <alignment horizontal="center" vertical="bottom"/>
    </xf>
    <xf borderId="0" fillId="4" fontId="7" numFmtId="164" xfId="0" applyAlignment="1" applyFont="1" applyNumberFormat="1">
      <alignment vertical="bottom"/>
    </xf>
    <xf borderId="0" fillId="4" fontId="5" numFmtId="2" xfId="0" applyAlignment="1" applyFont="1" applyNumberFormat="1">
      <alignment horizontal="right" vertical="bottom"/>
    </xf>
    <xf borderId="0" fillId="4" fontId="5" numFmtId="2" xfId="0" applyAlignment="1" applyFont="1" applyNumberFormat="1">
      <alignment vertical="bottom"/>
    </xf>
    <xf borderId="0" fillId="5" fontId="6" numFmtId="2" xfId="0" applyAlignment="1" applyFont="1" applyNumberFormat="1">
      <alignment vertical="bottom"/>
    </xf>
    <xf borderId="0" fillId="5" fontId="7" numFmtId="164" xfId="0" applyAlignment="1" applyFont="1" applyNumberFormat="1">
      <alignment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5" numFmtId="0" xfId="0" applyAlignment="1" applyFont="1">
      <alignment horizontal="center" readingOrder="0" vertical="bottom"/>
    </xf>
    <xf borderId="0" fillId="4" fontId="6" numFmtId="0" xfId="0" applyAlignment="1" applyFont="1">
      <alignment readingOrder="0" vertical="bottom"/>
    </xf>
    <xf borderId="0" fillId="4" fontId="7" numFmtId="164" xfId="0" applyAlignment="1" applyFont="1" applyNumberFormat="1">
      <alignment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readingOrder="0" vertical="bottom"/>
    </xf>
    <xf borderId="0" fillId="4" fontId="5" numFmtId="0" xfId="0" applyAlignment="1" applyFont="1">
      <alignment readingOrder="0"/>
    </xf>
    <xf borderId="0" fillId="5" fontId="6" numFmtId="0" xfId="0" applyAlignment="1" applyFont="1">
      <alignment vertical="bottom"/>
    </xf>
    <xf borderId="0" fillId="4" fontId="6" numFmtId="0" xfId="0" applyAlignment="1" applyFont="1">
      <alignment vertical="bottom"/>
    </xf>
    <xf borderId="0" fillId="5" fontId="6" numFmtId="0" xfId="0" applyAlignment="1" applyFont="1">
      <alignment horizontal="center" readingOrder="0" vertical="bottom"/>
    </xf>
    <xf borderId="0" fillId="5" fontId="6" numFmtId="0" xfId="0" applyAlignment="1" applyFont="1">
      <alignment vertical="bottom"/>
    </xf>
    <xf borderId="0" fillId="5" fontId="7" numFmtId="164" xfId="0" applyAlignment="1" applyFont="1" applyNumberFormat="1">
      <alignment vertical="bottom"/>
    </xf>
    <xf borderId="0" fillId="5" fontId="6" numFmtId="0" xfId="0" applyAlignment="1" applyFont="1">
      <alignment readingOrder="0" vertical="bottom"/>
    </xf>
    <xf borderId="0" fillId="5" fontId="7" numFmtId="2" xfId="0" applyAlignment="1" applyFont="1" applyNumberFormat="1">
      <alignment vertical="bottom"/>
    </xf>
    <xf borderId="0" fillId="5" fontId="6" numFmtId="2" xfId="0" applyAlignment="1" applyFont="1" applyNumberFormat="1">
      <alignment horizontal="right" readingOrder="0" vertical="bottom"/>
    </xf>
    <xf borderId="0" fillId="4" fontId="6" numFmtId="0" xfId="0" applyAlignment="1" applyFont="1">
      <alignment horizontal="center" readingOrder="0"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2" xfId="0" applyAlignment="1" applyFont="1" applyNumberFormat="1">
      <alignment vertical="bottom"/>
    </xf>
    <xf borderId="0" fillId="0" fontId="5" numFmtId="2" xfId="0" applyAlignment="1" applyFont="1" applyNumberFormat="1">
      <alignment horizontal="right" readingOrder="0" vertical="bottom"/>
    </xf>
    <xf borderId="0" fillId="0" fontId="5" numFmtId="0" xfId="0" applyAlignment="1" applyFont="1">
      <alignment vertical="bottom"/>
    </xf>
    <xf borderId="0" fillId="5" fontId="6" numFmtId="2" xfId="0" applyAlignment="1" applyFont="1" applyNumberFormat="1">
      <alignment horizontal="right" vertical="bottom"/>
    </xf>
    <xf borderId="0" fillId="5" fontId="6" numFmtId="164" xfId="0" applyAlignment="1" applyFont="1" applyNumberFormat="1">
      <alignment horizontal="right" readingOrder="0" vertical="bottom"/>
    </xf>
    <xf borderId="0" fillId="4" fontId="5" numFmtId="0" xfId="0" applyAlignment="1" applyFont="1">
      <alignment vertical="bottom"/>
    </xf>
    <xf borderId="0" fillId="4" fontId="7" numFmtId="2" xfId="0" applyAlignment="1" applyFont="1" applyNumberFormat="1">
      <alignment vertical="bottom"/>
    </xf>
    <xf borderId="0" fillId="4" fontId="5" numFmtId="2" xfId="0" applyAlignment="1" applyFont="1" applyNumberFormat="1">
      <alignment horizontal="right" vertical="bottom"/>
    </xf>
    <xf borderId="0" fillId="5" fontId="6" numFmtId="0" xfId="0" applyAlignment="1" applyFont="1">
      <alignment horizontal="center" readingOrder="0" vertical="bottom"/>
    </xf>
    <xf borderId="0" fillId="4" fontId="7" numFmtId="0" xfId="0" applyAlignment="1" applyFont="1">
      <alignment vertical="bottom"/>
    </xf>
    <xf borderId="0" fillId="4" fontId="5"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2" xfId="0" applyAlignment="1" applyFont="1" applyNumberFormat="1">
      <alignment horizontal="right" readingOrder="0" vertical="bottom"/>
    </xf>
    <xf borderId="0" fillId="4" fontId="6" numFmtId="2" xfId="0" applyAlignment="1" applyFont="1" applyNumberFormat="1">
      <alignment horizontal="center" vertical="bottom"/>
    </xf>
    <xf borderId="0" fillId="5" fontId="6" numFmtId="0" xfId="0" applyAlignment="1" applyFont="1">
      <alignment horizontal="center" vertical="bottom"/>
    </xf>
    <xf borderId="0" fillId="5" fontId="6" numFmtId="165" xfId="0" applyAlignment="1" applyFont="1" applyNumberFormat="1">
      <alignment horizontal="center" readingOrder="0" vertical="bottom"/>
    </xf>
    <xf borderId="0" fillId="5" fontId="6" numFmtId="2" xfId="0" applyAlignment="1" applyFont="1" applyNumberFormat="1">
      <alignment horizontal="center" vertical="bottom"/>
    </xf>
    <xf borderId="0" fillId="5" fontId="7" numFmtId="0" xfId="0" applyAlignment="1" applyFont="1">
      <alignment vertical="bottom"/>
    </xf>
    <xf borderId="0" fillId="4" fontId="6" numFmtId="2" xfId="0" applyAlignment="1" applyFont="1" applyNumberFormat="1">
      <alignment readingOrder="0" vertical="bottom"/>
    </xf>
    <xf borderId="0" fillId="4" fontId="7" numFmtId="2" xfId="0" applyAlignment="1" applyFont="1" applyNumberFormat="1">
      <alignment vertical="bottom"/>
    </xf>
    <xf borderId="0" fillId="5" fontId="6" numFmtId="0" xfId="0" applyAlignment="1" applyFont="1">
      <alignment horizontal="center" vertical="bottom"/>
    </xf>
    <xf borderId="0" fillId="5" fontId="6" numFmtId="0" xfId="0" applyAlignment="1" applyFont="1">
      <alignment vertical="bottom"/>
    </xf>
    <xf borderId="0" fillId="5" fontId="6" numFmtId="165" xfId="0" applyAlignment="1" applyFont="1" applyNumberFormat="1">
      <alignment horizontal="center" readingOrder="0" vertical="bottom"/>
    </xf>
    <xf borderId="0" fillId="5" fontId="6" numFmtId="1" xfId="0" applyAlignment="1" applyFont="1" applyNumberFormat="1">
      <alignment horizontal="center" vertical="bottom"/>
    </xf>
    <xf borderId="0" fillId="5" fontId="6" numFmtId="2" xfId="0" applyAlignment="1" applyFont="1" applyNumberFormat="1">
      <alignment horizontal="center" readingOrder="0" vertical="bottom"/>
    </xf>
    <xf borderId="0" fillId="5" fontId="6" numFmtId="0" xfId="0" applyAlignment="1" applyFont="1">
      <alignment readingOrder="0" vertical="bottom"/>
    </xf>
    <xf borderId="0" fillId="5" fontId="7" numFmtId="0" xfId="0" applyAlignment="1" applyFont="1">
      <alignment vertical="bottom"/>
    </xf>
    <xf borderId="0" fillId="4" fontId="6" numFmtId="0" xfId="0" applyAlignment="1" applyFont="1">
      <alignment horizontal="center" vertical="bottom"/>
    </xf>
    <xf borderId="0" fillId="4" fontId="6" numFmtId="0" xfId="0" applyAlignment="1" applyFont="1">
      <alignment vertical="bottom"/>
    </xf>
    <xf borderId="0" fillId="4" fontId="5" numFmtId="165" xfId="0" applyAlignment="1" applyFont="1" applyNumberFormat="1">
      <alignment horizontal="center" readingOrder="0" vertical="bottom"/>
    </xf>
    <xf borderId="0" fillId="4" fontId="6" numFmtId="1" xfId="0" applyAlignment="1" applyFont="1" applyNumberFormat="1">
      <alignment horizontal="center" vertical="bottom"/>
    </xf>
    <xf borderId="0" fillId="4" fontId="6" numFmtId="2" xfId="0" applyAlignment="1" applyFont="1" applyNumberFormat="1">
      <alignment horizontal="center" readingOrder="0" vertical="bottom"/>
    </xf>
    <xf borderId="0" fillId="4" fontId="6" numFmtId="0" xfId="0" applyAlignment="1" applyFont="1">
      <alignment readingOrder="0" vertical="bottom"/>
    </xf>
    <xf borderId="0" fillId="4" fontId="7" numFmtId="0" xfId="0" applyAlignment="1" applyFont="1">
      <alignment vertical="bottom"/>
    </xf>
    <xf borderId="0" fillId="5" fontId="6" numFmtId="164" xfId="0" applyAlignment="1" applyFont="1" applyNumberFormat="1">
      <alignment horizontal="right" vertical="bottom"/>
    </xf>
    <xf borderId="0" fillId="4" fontId="5" numFmtId="2" xfId="0" applyAlignment="1" applyFont="1" applyNumberFormat="1">
      <alignment horizontal="right" readingOrder="0" vertical="bottom"/>
    </xf>
    <xf borderId="0" fillId="5" fontId="6" numFmtId="164" xfId="0" applyAlignment="1" applyFont="1" applyNumberFormat="1">
      <alignment readingOrder="0" vertical="bottom"/>
    </xf>
    <xf borderId="0" fillId="4" fontId="5" numFmtId="2" xfId="0" applyAlignment="1" applyFont="1" applyNumberFormat="1">
      <alignment horizontal="right" readingOrder="0" vertical="bottom"/>
    </xf>
    <xf borderId="0" fillId="4" fontId="5" numFmtId="0" xfId="0" applyAlignment="1" applyFont="1">
      <alignment horizontal="center" readingOrder="0" vertical="center"/>
    </xf>
    <xf borderId="0" fillId="4" fontId="5" numFmtId="0" xfId="0" applyAlignment="1" applyFont="1">
      <alignment readingOrder="0" vertical="bottom"/>
    </xf>
    <xf borderId="0" fillId="4" fontId="5" numFmtId="164" xfId="0" applyAlignment="1" applyFont="1" applyNumberFormat="1">
      <alignment horizontal="right" readingOrder="0" vertical="bottom"/>
    </xf>
    <xf borderId="0" fillId="4" fontId="5" numFmtId="2" xfId="0" applyAlignment="1" applyFont="1" applyNumberFormat="1">
      <alignment vertical="bottom"/>
    </xf>
    <xf borderId="0" fillId="4" fontId="5" numFmtId="0" xfId="0" applyFont="1"/>
    <xf borderId="0" fillId="4" fontId="6" numFmtId="164" xfId="0" applyAlignment="1" applyFont="1" applyNumberFormat="1">
      <alignment horizontal="right" readingOrder="0" vertical="bottom"/>
    </xf>
    <xf borderId="0" fillId="5" fontId="6" numFmtId="0" xfId="0" applyAlignment="1" applyFont="1">
      <alignment horizontal="center"/>
    </xf>
    <xf borderId="0" fillId="5" fontId="7" numFmtId="0" xfId="0" applyAlignment="1" applyFont="1">
      <alignment vertical="bottom"/>
    </xf>
    <xf borderId="0" fillId="5" fontId="6" numFmtId="0" xfId="0" applyAlignment="1" applyFont="1">
      <alignment horizontal="center"/>
    </xf>
    <xf borderId="0" fillId="5" fontId="6" numFmtId="0" xfId="0" applyAlignment="1" applyFont="1">
      <alignment vertical="bottom"/>
    </xf>
    <xf borderId="0" fillId="4" fontId="6" numFmtId="0" xfId="0" applyAlignment="1" applyFont="1">
      <alignment vertical="bottom"/>
    </xf>
    <xf borderId="0" fillId="5" fontId="6" numFmtId="164" xfId="0" applyAlignment="1" applyFont="1" applyNumberFormat="1">
      <alignment horizontal="right" readingOrder="0" vertical="bottom"/>
    </xf>
    <xf borderId="0" fillId="4" fontId="6" numFmtId="2" xfId="0" applyAlignment="1" applyFont="1" applyNumberFormat="1">
      <alignment horizontal="right" vertical="bottom"/>
    </xf>
    <xf borderId="0" fillId="4" fontId="5" numFmtId="0" xfId="0" applyAlignment="1" applyFont="1">
      <alignment horizontal="center"/>
    </xf>
    <xf borderId="0" fillId="4" fontId="5" numFmtId="0" xfId="0" applyAlignment="1" applyFont="1">
      <alignment readingOrder="0" vertical="bottom"/>
    </xf>
    <xf borderId="0" fillId="4" fontId="7" numFmtId="166" xfId="0" applyAlignment="1" applyFont="1" applyNumberFormat="1">
      <alignment vertical="bottom"/>
    </xf>
    <xf borderId="0" fillId="4" fontId="5" numFmtId="0" xfId="0" applyAlignment="1" applyFont="1">
      <alignment horizontal="center" readingOrder="0" vertical="bottom"/>
    </xf>
    <xf borderId="0" fillId="4" fontId="5" numFmtId="0" xfId="0" applyAlignment="1" applyFont="1">
      <alignment vertical="bottom"/>
    </xf>
    <xf borderId="0" fillId="4" fontId="7" numFmtId="1" xfId="0" applyAlignment="1" applyFont="1" applyNumberFormat="1">
      <alignment vertical="bottom"/>
    </xf>
    <xf borderId="0" fillId="5" fontId="7" numFmtId="1" xfId="0" applyAlignment="1" applyFont="1" applyNumberFormat="1">
      <alignment vertical="bottom"/>
    </xf>
    <xf borderId="0" fillId="5" fontId="5" numFmtId="0" xfId="0" applyAlignment="1" applyFont="1">
      <alignment horizontal="center" vertical="center"/>
    </xf>
    <xf borderId="0" fillId="5" fontId="5" numFmtId="0" xfId="0" applyFont="1"/>
    <xf borderId="0" fillId="5" fontId="5" numFmtId="164" xfId="0" applyFont="1" applyNumberFormat="1"/>
    <xf borderId="0" fillId="5" fontId="5" numFmtId="1" xfId="0" applyAlignment="1" applyFont="1" applyNumberFormat="1">
      <alignment horizontal="center" vertical="bottom"/>
    </xf>
    <xf borderId="0" fillId="5" fontId="5" numFmtId="2" xfId="0" applyFont="1" applyNumberFormat="1"/>
    <xf borderId="0" fillId="5" fontId="5" numFmtId="0" xfId="0" applyAlignment="1" applyFont="1">
      <alignment horizontal="center"/>
    </xf>
    <xf borderId="0" fillId="4" fontId="5" numFmtId="0" xfId="0" applyAlignment="1" applyFont="1">
      <alignment horizontal="center" vertical="center"/>
    </xf>
    <xf borderId="0" fillId="4" fontId="2" numFmtId="0" xfId="0" applyAlignment="1" applyFont="1">
      <alignment horizontal="right" readingOrder="0" vertical="center"/>
    </xf>
    <xf borderId="0" fillId="4" fontId="5" numFmtId="0" xfId="0" applyFont="1"/>
    <xf borderId="0" fillId="4" fontId="2" numFmtId="1" xfId="0" applyAlignment="1" applyFont="1" applyNumberFormat="1">
      <alignment horizontal="center"/>
    </xf>
    <xf borderId="0" fillId="4" fontId="2" numFmtId="164" xfId="0" applyFont="1" applyNumberFormat="1"/>
    <xf borderId="0" fillId="4" fontId="2" numFmtId="4" xfId="0" applyFont="1" applyNumberFormat="1"/>
    <xf borderId="0" fillId="4" fontId="5" numFmtId="0" xfId="0" applyAlignment="1" applyFont="1">
      <alignment horizontal="center"/>
    </xf>
    <xf borderId="0" fillId="4" fontId="8" numFmtId="0" xfId="0" applyAlignment="1" applyFont="1">
      <alignment horizontal="right" readingOrder="0" vertical="center"/>
    </xf>
    <xf borderId="0" fillId="4" fontId="8" numFmtId="1" xfId="0" applyAlignment="1" applyFont="1" applyNumberFormat="1">
      <alignment horizontal="center"/>
    </xf>
    <xf borderId="0" fillId="4" fontId="8" numFmtId="164" xfId="0" applyFont="1" applyNumberFormat="1"/>
    <xf borderId="0" fillId="4" fontId="8" numFmtId="4" xfId="0" applyFont="1" applyNumberFormat="1"/>
    <xf borderId="0" fillId="4" fontId="2" numFmtId="0" xfId="0" applyAlignment="1" applyFont="1">
      <alignment horizontal="center" readingOrder="0" vertical="center"/>
    </xf>
    <xf borderId="0" fillId="4" fontId="6" numFmtId="0" xfId="0" applyFont="1"/>
    <xf borderId="0" fillId="4" fontId="8" numFmtId="1" xfId="0" applyAlignment="1" applyFont="1" applyNumberFormat="1">
      <alignment horizontal="center"/>
    </xf>
    <xf borderId="0" fillId="4" fontId="8" numFmtId="164" xfId="0" applyFont="1" applyNumberFormat="1"/>
    <xf borderId="0" fillId="4" fontId="8" numFmtId="2" xfId="0" applyFont="1" applyNumberFormat="1"/>
    <xf borderId="0" fillId="4" fontId="5" numFmtId="0" xfId="0" applyAlignment="1" applyFont="1">
      <alignment horizontal="center"/>
    </xf>
    <xf borderId="0" fillId="4" fontId="2" numFmtId="0" xfId="0" applyAlignment="1" applyFont="1">
      <alignment horizontal="right" readingOrder="0"/>
    </xf>
    <xf borderId="0" fillId="4" fontId="3" numFmtId="4" xfId="0" applyFont="1" applyNumberFormat="1"/>
    <xf borderId="0" fillId="4" fontId="5" numFmtId="0" xfId="0" applyAlignment="1" applyFont="1">
      <alignment horizontal="center" vertical="center"/>
    </xf>
    <xf borderId="0" fillId="4" fontId="8" numFmtId="0" xfId="0" applyAlignment="1" applyFont="1">
      <alignment horizontal="right" readingOrder="0" vertical="center"/>
    </xf>
    <xf borderId="0" fillId="4" fontId="8" numFmtId="0" xfId="0" applyAlignment="1" applyFont="1">
      <alignment horizontal="right" readingOrder="0" vertical="center"/>
    </xf>
    <xf borderId="0" fillId="4" fontId="5" numFmtId="0" xfId="0" applyAlignment="1" applyFont="1">
      <alignment readingOrder="0"/>
    </xf>
    <xf borderId="0" fillId="4" fontId="5" numFmtId="1" xfId="0" applyAlignment="1" applyFont="1" applyNumberFormat="1">
      <alignment horizontal="center"/>
    </xf>
    <xf borderId="0" fillId="4" fontId="5" numFmtId="164" xfId="0" applyFont="1" applyNumberFormat="1"/>
    <xf borderId="0" fillId="4" fontId="5" numFmtId="2" xfId="0" applyFont="1" applyNumberFormat="1"/>
    <xf borderId="0" fillId="4" fontId="5" numFmtId="2" xfId="0" applyAlignment="1" applyFont="1" applyNumberFormat="1">
      <alignment readingOrder="0" vertical="bottom"/>
    </xf>
    <xf borderId="0" fillId="4" fontId="5" numFmtId="0" xfId="0" applyAlignment="1" applyFont="1">
      <alignment horizontal="center" vertical="bottom"/>
    </xf>
    <xf borderId="0" fillId="4" fontId="6" numFmtId="165" xfId="0" applyAlignment="1" applyFont="1" applyNumberFormat="1">
      <alignment horizontal="center" vertical="bottom"/>
    </xf>
    <xf borderId="0" fillId="5" fontId="6" numFmtId="165" xfId="0" applyAlignment="1" applyFont="1" applyNumberFormat="1">
      <alignment horizontal="center" vertical="bottom"/>
    </xf>
    <xf borderId="0" fillId="5" fontId="7" numFmtId="164" xfId="0" applyAlignment="1" applyFont="1" applyNumberFormat="1">
      <alignment vertical="bottom"/>
    </xf>
    <xf borderId="0" fillId="4" fontId="5" numFmtId="1" xfId="0" applyAlignment="1" applyFont="1" applyNumberFormat="1">
      <alignment horizontal="center" vertical="bottom"/>
    </xf>
    <xf borderId="0" fillId="4" fontId="7" numFmtId="166" xfId="0" applyAlignment="1" applyFont="1" applyNumberFormat="1">
      <alignment vertical="bottom"/>
    </xf>
    <xf borderId="0" fillId="4" fontId="6" numFmtId="165" xfId="0" applyAlignment="1" applyFont="1" applyNumberFormat="1">
      <alignment horizontal="center" readingOrder="0" vertical="bottom"/>
    </xf>
    <xf borderId="0" fillId="5" fontId="6" numFmtId="2" xfId="0" applyAlignment="1" applyFont="1" applyNumberFormat="1">
      <alignment horizontal="center" readingOrder="0" vertical="bottom"/>
    </xf>
    <xf borderId="0" fillId="4" fontId="6" numFmtId="165" xfId="0" applyAlignment="1" applyFont="1" applyNumberFormat="1">
      <alignment horizontal="center" readingOrder="0" vertical="bottom"/>
    </xf>
    <xf borderId="0" fillId="4" fontId="6" numFmtId="2" xfId="0" applyAlignment="1" applyFont="1" applyNumberFormat="1">
      <alignment horizontal="right" vertical="bottom"/>
    </xf>
    <xf borderId="0" fillId="4" fontId="6" numFmtId="2" xfId="0" applyAlignment="1" applyFont="1" applyNumberFormat="1">
      <alignment horizontal="center" vertical="bottom"/>
    </xf>
    <xf borderId="0" fillId="5" fontId="6" numFmtId="2" xfId="0" applyAlignment="1" applyFont="1" applyNumberFormat="1">
      <alignment horizontal="right" vertical="bottom"/>
    </xf>
    <xf borderId="0" fillId="5" fontId="6" numFmtId="2" xfId="0" applyAlignment="1" applyFont="1" applyNumberFormat="1">
      <alignment horizontal="center" vertical="bottom"/>
    </xf>
    <xf borderId="0" fillId="5" fontId="7" numFmtId="165" xfId="0" applyAlignment="1" applyFont="1" applyNumberFormat="1">
      <alignment vertical="bottom"/>
    </xf>
    <xf borderId="0" fillId="5" fontId="7" numFmtId="1" xfId="0" applyAlignment="1" applyFont="1" applyNumberFormat="1">
      <alignment vertical="bottom"/>
    </xf>
    <xf borderId="0" fillId="5" fontId="7" numFmtId="0" xfId="0" applyAlignment="1" applyFont="1">
      <alignment vertical="bottom"/>
    </xf>
    <xf borderId="0" fillId="4" fontId="5" numFmtId="0" xfId="0" applyAlignment="1" applyFont="1">
      <alignment horizontal="center"/>
    </xf>
    <xf borderId="0" fillId="5" fontId="6" numFmtId="2" xfId="0" applyAlignment="1" applyFont="1" applyNumberFormat="1">
      <alignment readingOrder="0" vertical="bottom"/>
    </xf>
    <xf borderId="0" fillId="3" fontId="9" numFmtId="0" xfId="0" applyAlignment="1" applyFont="1">
      <alignment horizontal="center" readingOrder="0" vertical="center"/>
    </xf>
    <xf borderId="0" fillId="5" fontId="5" numFmtId="0" xfId="0" applyAlignment="1" applyFont="1">
      <alignment horizontal="center" readingOrder="0" vertical="center"/>
    </xf>
    <xf borderId="0" fillId="5" fontId="5" numFmtId="0" xfId="0" applyAlignment="1" applyFont="1">
      <alignment horizontal="right" readingOrder="0" vertical="bottom"/>
    </xf>
    <xf borderId="0" fillId="5" fontId="5" numFmtId="165" xfId="0" applyAlignment="1" applyFont="1" applyNumberFormat="1">
      <alignment horizontal="center" readingOrder="0" vertical="bottom"/>
    </xf>
    <xf borderId="0" fillId="5" fontId="5" numFmtId="164" xfId="0" applyAlignment="1" applyFont="1" applyNumberFormat="1">
      <alignment horizontal="right" readingOrder="0" vertical="bottom"/>
    </xf>
    <xf borderId="0" fillId="5" fontId="5" numFmtId="2" xfId="0" applyAlignment="1" applyFont="1" applyNumberFormat="1">
      <alignment horizontal="right" readingOrder="0" vertical="bottom"/>
    </xf>
    <xf borderId="0" fillId="5" fontId="5" numFmtId="2" xfId="0" applyAlignment="1" applyFont="1" applyNumberFormat="1">
      <alignment vertical="bottom"/>
    </xf>
    <xf borderId="0" fillId="5" fontId="5" numFmtId="0" xfId="0" applyAlignment="1" applyFont="1">
      <alignment horizontal="center" readingOrder="0" vertical="bottom"/>
    </xf>
    <xf borderId="0" fillId="5" fontId="5" numFmtId="0" xfId="0" applyAlignment="1" applyFont="1">
      <alignment readingOrder="0"/>
    </xf>
    <xf borderId="0" fillId="5" fontId="5" numFmtId="0" xfId="0" applyAlignment="1" applyFont="1">
      <alignment readingOrder="0" vertical="bottom"/>
    </xf>
    <xf borderId="0" fillId="5" fontId="5" numFmtId="2" xfId="0" applyAlignment="1" applyFont="1" applyNumberFormat="1">
      <alignment horizontal="right" vertical="bottom"/>
    </xf>
    <xf borderId="0" fillId="5" fontId="5" numFmtId="0" xfId="0" applyAlignment="1" applyFont="1">
      <alignment horizontal="center" vertical="bottom"/>
    </xf>
    <xf borderId="0" fillId="4" fontId="5" numFmtId="0" xfId="0" applyAlignment="1" applyFont="1">
      <alignment horizontal="center" readingOrder="0"/>
    </xf>
    <xf borderId="0" fillId="4" fontId="5" numFmtId="0" xfId="0" applyAlignment="1" applyFont="1">
      <alignment vertical="bottom"/>
    </xf>
    <xf borderId="0" fillId="5" fontId="5" numFmtId="0" xfId="0" applyAlignment="1" applyFont="1">
      <alignment horizontal="center" readingOrder="0"/>
    </xf>
    <xf borderId="0" fillId="5" fontId="5" numFmtId="2" xfId="0" applyAlignment="1" applyFont="1" applyNumberFormat="1">
      <alignment readingOrder="0" vertical="bottom"/>
    </xf>
    <xf borderId="0" fillId="5" fontId="5" numFmtId="0" xfId="0" applyAlignment="1" applyFont="1">
      <alignment vertical="bottom"/>
    </xf>
    <xf borderId="0" fillId="4" fontId="6" numFmtId="2" xfId="0" applyAlignment="1" applyFont="1" applyNumberFormat="1">
      <alignment vertical="bottom"/>
    </xf>
    <xf borderId="0" fillId="5" fontId="6" numFmtId="2" xfId="0" applyAlignment="1" applyFont="1" applyNumberFormat="1">
      <alignment readingOrder="0" vertical="bottom"/>
    </xf>
    <xf borderId="0" fillId="4" fontId="6" numFmtId="2" xfId="0" applyAlignment="1" applyFont="1" applyNumberFormat="1">
      <alignment readingOrder="0" vertical="bottom"/>
    </xf>
    <xf borderId="0" fillId="4" fontId="6" numFmtId="0" xfId="0" applyAlignment="1" applyFont="1">
      <alignment horizontal="center" readingOrder="0" vertical="bottom"/>
    </xf>
    <xf borderId="0" fillId="5" fontId="6" numFmtId="0" xfId="0" applyAlignment="1" applyFont="1">
      <alignment horizontal="center" readingOrder="0"/>
    </xf>
    <xf borderId="0" fillId="4" fontId="2" numFmtId="0" xfId="0" applyAlignment="1" applyFont="1">
      <alignment horizontal="right" vertical="bottom"/>
    </xf>
    <xf borderId="0" fillId="4" fontId="2" numFmtId="0" xfId="0" applyAlignment="1" applyFont="1">
      <alignment horizontal="right" readingOrder="0" vertical="bottom"/>
    </xf>
    <xf borderId="0" fillId="4" fontId="5" numFmtId="165" xfId="0" applyAlignment="1" applyFont="1" applyNumberFormat="1">
      <alignment horizontal="center" vertical="bottom"/>
    </xf>
    <xf borderId="0" fillId="5" fontId="6" numFmtId="2" xfId="0" applyAlignment="1" applyFont="1" applyNumberFormat="1">
      <alignment vertical="bottom"/>
    </xf>
    <xf borderId="0" fillId="5" fontId="5" numFmtId="0" xfId="0" applyAlignment="1" applyFont="1">
      <alignment horizontal="center"/>
    </xf>
    <xf borderId="0" fillId="5" fontId="7" numFmtId="165" xfId="0" applyAlignment="1" applyFont="1" applyNumberFormat="1">
      <alignment vertical="bottom"/>
    </xf>
    <xf borderId="0" fillId="5" fontId="7" numFmtId="0" xfId="0" applyAlignment="1" applyFont="1">
      <alignment vertical="bottom"/>
    </xf>
    <xf borderId="0" fillId="5" fontId="5" numFmtId="165" xfId="0" applyAlignment="1" applyFont="1" applyNumberFormat="1">
      <alignment horizontal="center" vertical="bottom"/>
    </xf>
    <xf borderId="0" fillId="5" fontId="7" numFmtId="166" xfId="0" applyAlignment="1" applyFont="1" applyNumberFormat="1">
      <alignment vertical="bottom"/>
    </xf>
    <xf borderId="0" fillId="5" fontId="7" numFmtId="0" xfId="0" applyAlignment="1" applyFont="1">
      <alignment vertical="bottom"/>
    </xf>
    <xf borderId="0" fillId="5" fontId="6" numFmtId="0" xfId="0" applyAlignment="1" applyFont="1">
      <alignment horizontal="center" readingOrder="0"/>
    </xf>
    <xf borderId="0" fillId="5" fontId="6" numFmtId="165" xfId="0" applyAlignment="1" applyFont="1" applyNumberFormat="1">
      <alignment horizontal="center" vertical="bottom"/>
    </xf>
    <xf borderId="0" fillId="4" fontId="7" numFmtId="165" xfId="0" applyAlignment="1" applyFont="1" applyNumberFormat="1">
      <alignment vertical="bottom"/>
    </xf>
    <xf borderId="0" fillId="4" fontId="7" numFmtId="1" xfId="0" applyAlignment="1" applyFont="1" applyNumberFormat="1">
      <alignment vertical="bottom"/>
    </xf>
    <xf borderId="0" fillId="4" fontId="6" numFmtId="164" xfId="0" applyAlignment="1" applyFont="1" applyNumberFormat="1">
      <alignment horizontal="right" readingOrder="0" vertical="bottom"/>
    </xf>
    <xf borderId="0" fillId="4" fontId="7" numFmtId="0" xfId="0" applyAlignment="1" applyFont="1">
      <alignment vertical="bottom"/>
    </xf>
    <xf borderId="0" fillId="4" fontId="6" numFmtId="2" xfId="0" applyAlignment="1" applyFont="1" applyNumberFormat="1">
      <alignment vertical="bottom"/>
    </xf>
    <xf borderId="0" fillId="4" fontId="5" numFmtId="0" xfId="0" applyAlignment="1" applyFont="1">
      <alignment vertical="bottom"/>
    </xf>
    <xf borderId="0" fillId="4" fontId="7" numFmtId="165" xfId="0" applyAlignment="1" applyFont="1" applyNumberFormat="1">
      <alignment vertical="bottom"/>
    </xf>
    <xf borderId="0" fillId="4" fontId="7" numFmtId="1" xfId="0" applyAlignment="1" applyFont="1" applyNumberFormat="1">
      <alignment vertical="bottom"/>
    </xf>
    <xf borderId="0" fillId="4" fontId="6" numFmtId="164" xfId="0" applyAlignment="1" applyFont="1" applyNumberFormat="1">
      <alignment horizontal="right" vertical="bottom"/>
    </xf>
    <xf borderId="0" fillId="4" fontId="7" numFmtId="2" xfId="0" applyAlignment="1" applyFont="1" applyNumberFormat="1">
      <alignment vertical="bottom"/>
    </xf>
    <xf borderId="0" fillId="5" fontId="7" numFmtId="165" xfId="0" applyAlignment="1" applyFont="1" applyNumberFormat="1">
      <alignment vertical="bottom"/>
    </xf>
    <xf borderId="0" fillId="5" fontId="7" numFmtId="1" xfId="0" applyAlignment="1" applyFont="1" applyNumberFormat="1">
      <alignment vertical="bottom"/>
    </xf>
    <xf borderId="0" fillId="5" fontId="7" numFmtId="2" xfId="0" applyAlignment="1" applyFont="1" applyNumberFormat="1">
      <alignment vertical="bottom"/>
    </xf>
    <xf borderId="0" fillId="4" fontId="5" numFmtId="165" xfId="0" applyAlignment="1" applyFont="1" applyNumberFormat="1">
      <alignment horizontal="center" vertical="bottom"/>
    </xf>
    <xf borderId="0" fillId="4" fontId="7" numFmtId="166" xfId="0" applyAlignment="1" applyFont="1" applyNumberFormat="1">
      <alignment vertical="bottom"/>
    </xf>
    <xf borderId="0" fillId="5" fontId="6" numFmtId="0" xfId="0" applyAlignment="1" applyFont="1">
      <alignment horizontal="left" readingOrder="0" vertical="bottom"/>
    </xf>
    <xf borderId="0" fillId="4" fontId="6" numFmtId="165" xfId="0" applyAlignment="1" applyFont="1" applyNumberFormat="1">
      <alignment horizontal="center" vertical="bottom"/>
    </xf>
    <xf borderId="0" fillId="4" fontId="6" numFmtId="164" xfId="0" applyAlignment="1" applyFont="1" applyNumberFormat="1">
      <alignment horizontal="right" vertical="bottom"/>
    </xf>
    <xf borderId="0" fillId="4" fontId="7" numFmtId="164" xfId="0" applyAlignment="1" applyFont="1" applyNumberFormat="1">
      <alignment vertical="bottom"/>
    </xf>
    <xf borderId="0" fillId="4" fontId="5" numFmtId="2" xfId="0" applyAlignment="1" applyFont="1" applyNumberFormat="1">
      <alignment horizontal="center" readingOrder="0" vertical="bottom"/>
    </xf>
    <xf borderId="0" fillId="4" fontId="7" numFmtId="0" xfId="0" applyAlignment="1" applyFont="1">
      <alignment vertical="bottom"/>
    </xf>
    <xf borderId="0" fillId="4" fontId="5" numFmtId="0" xfId="0" applyAlignment="1" applyFont="1">
      <alignment horizontal="center" readingOrder="0"/>
    </xf>
    <xf borderId="0" fillId="0" fontId="10" numFmtId="0" xfId="0" applyFont="1"/>
    <xf borderId="0" fillId="5" fontId="6" numFmtId="164" xfId="0" applyAlignment="1" applyFont="1" applyNumberFormat="1">
      <alignment horizontal="right" vertical="bottom"/>
    </xf>
    <xf borderId="0" fillId="4" fontId="7" numFmtId="0" xfId="0" applyAlignment="1" applyFont="1">
      <alignment vertical="bottom"/>
    </xf>
    <xf borderId="0" fillId="4" fontId="2" numFmtId="0" xfId="0" applyFont="1"/>
    <xf borderId="0" fillId="4" fontId="6" numFmtId="0" xfId="0" applyAlignment="1" applyFont="1">
      <alignment readingOrder="0"/>
    </xf>
    <xf borderId="0" fillId="4" fontId="5" numFmtId="2" xfId="0" applyAlignment="1" applyFont="1" applyNumberFormat="1">
      <alignment horizontal="center" vertical="bottom"/>
    </xf>
    <xf borderId="1" fillId="5" fontId="6" numFmtId="0" xfId="0" applyAlignment="1" applyBorder="1" applyFont="1">
      <alignment shrinkToFit="0" vertical="bottom" wrapText="0"/>
    </xf>
    <xf borderId="1" fillId="4" fontId="6" numFmtId="0" xfId="0" applyAlignment="1" applyBorder="1" applyFont="1">
      <alignment shrinkToFit="0" vertical="bottom" wrapText="0"/>
    </xf>
    <xf borderId="0" fillId="4" fontId="6" numFmtId="0" xfId="0" applyAlignment="1" applyFont="1">
      <alignment horizontal="right" readingOrder="0" vertical="bottom"/>
    </xf>
    <xf borderId="0" fillId="5" fontId="6" numFmtId="167" xfId="0" applyAlignment="1" applyFont="1" applyNumberFormat="1">
      <alignment horizontal="right" readingOrder="0" vertical="bottom"/>
    </xf>
    <xf borderId="0" fillId="4" fontId="6" numFmtId="167" xfId="0" applyAlignment="1" applyFont="1" applyNumberFormat="1">
      <alignment horizontal="right" readingOrder="0" vertical="bottom"/>
    </xf>
    <xf borderId="0" fillId="0" fontId="5" numFmtId="2" xfId="0" applyAlignment="1" applyFont="1" applyNumberFormat="1">
      <alignment horizontal="center" readingOrder="0" vertical="bottom"/>
    </xf>
    <xf borderId="0" fillId="5" fontId="10" numFmtId="0" xfId="0" applyFont="1"/>
    <xf borderId="0" fillId="0" fontId="10" numFmtId="0" xfId="0" applyAlignment="1" applyFont="1">
      <alignment readingOrder="0"/>
    </xf>
    <xf borderId="0" fillId="4" fontId="11" numFmtId="0" xfId="0" applyFont="1"/>
    <xf borderId="0" fillId="4" fontId="12" numFmtId="0" xfId="0" applyAlignment="1" applyFont="1">
      <alignment readingOrder="0"/>
    </xf>
    <xf borderId="0" fillId="4" fontId="11" numFmtId="0" xfId="0" applyAlignment="1" applyFont="1">
      <alignment readingOrder="0"/>
    </xf>
    <xf borderId="0" fillId="4" fontId="13" numFmtId="0" xfId="0" applyAlignment="1" applyFont="1">
      <alignment readingOrder="0"/>
    </xf>
    <xf borderId="0" fillId="6" fontId="14" numFmtId="0" xfId="0" applyAlignment="1" applyFill="1" applyFont="1">
      <alignment horizontal="center" readingOrder="0" vertical="center"/>
    </xf>
    <xf borderId="0" fillId="7" fontId="15" numFmtId="0" xfId="0" applyAlignment="1" applyFill="1" applyFont="1">
      <alignment readingOrder="0"/>
    </xf>
    <xf borderId="0" fillId="7" fontId="15" numFmtId="0" xfId="0" applyAlignment="1" applyFont="1">
      <alignment horizontal="center" readingOrder="0"/>
    </xf>
    <xf borderId="0" fillId="7" fontId="11" numFmtId="0" xfId="0" applyFont="1"/>
    <xf borderId="0" fillId="7" fontId="11" numFmtId="0" xfId="0" applyAlignment="1" applyFont="1">
      <alignment horizontal="center"/>
    </xf>
    <xf borderId="0" fillId="0" fontId="16" numFmtId="0" xfId="0" applyFont="1"/>
    <xf borderId="0" fillId="5" fontId="2" numFmtId="0" xfId="0" applyAlignment="1" applyFont="1">
      <alignment horizontal="right" readingOrder="0"/>
    </xf>
    <xf borderId="0" fillId="5" fontId="2" numFmtId="0" xfId="0" applyAlignment="1" applyFont="1">
      <alignment readingOrder="0"/>
    </xf>
    <xf borderId="0" fillId="7" fontId="17" numFmtId="0" xfId="0" applyAlignment="1" applyFont="1">
      <alignment readingOrder="0"/>
    </xf>
    <xf borderId="0" fillId="7" fontId="18" numFmtId="0" xfId="0" applyAlignment="1" applyFont="1">
      <alignment readingOrder="0"/>
    </xf>
    <xf borderId="0" fillId="7" fontId="18" numFmtId="0" xfId="0" applyAlignment="1" applyFont="1">
      <alignment horizontal="center" readingOrder="0"/>
    </xf>
    <xf borderId="0" fillId="7" fontId="19" numFmtId="0" xfId="0" applyFont="1"/>
    <xf borderId="0" fillId="7" fontId="19" numFmtId="0" xfId="0" applyAlignment="1" applyFont="1">
      <alignment horizontal="center"/>
    </xf>
    <xf borderId="0" fillId="4" fontId="20" numFmtId="0" xfId="0" applyAlignment="1" applyFont="1">
      <alignment readingOrder="0"/>
    </xf>
    <xf borderId="0" fillId="7" fontId="19" numFmtId="0" xfId="0" applyAlignment="1" applyFont="1">
      <alignment readingOrder="0"/>
    </xf>
    <xf borderId="1" fillId="7" fontId="18" numFmtId="0" xfId="0" applyAlignment="1" applyBorder="1" applyFont="1">
      <alignment horizontal="center" shrinkToFit="0" vertical="bottom" wrapText="0"/>
    </xf>
    <xf borderId="0" fillId="7" fontId="21" numFmtId="0" xfId="0" applyAlignment="1" applyFont="1">
      <alignment horizontal="center" readingOrder="0"/>
    </xf>
    <xf borderId="0" fillId="7" fontId="21" numFmtId="0" xfId="0" applyAlignment="1" applyFont="1">
      <alignment readingOrder="0"/>
    </xf>
    <xf borderId="0" fillId="7" fontId="18" numFmtId="0" xfId="0" applyAlignment="1" applyFont="1">
      <alignment horizontal="center" shrinkToFit="0" vertical="bottom" wrapText="0"/>
    </xf>
    <xf borderId="0" fillId="6" fontId="22" numFmtId="0" xfId="0" applyAlignment="1" applyFont="1">
      <alignment horizontal="center" readingOrder="0" vertical="center"/>
    </xf>
    <xf borderId="0" fillId="5" fontId="2" numFmtId="0" xfId="0" applyAlignment="1" applyFont="1">
      <alignment horizontal="center" readingOrder="0"/>
    </xf>
    <xf borderId="0" fillId="0" fontId="16" numFmtId="0" xfId="0" applyAlignment="1" applyFont="1">
      <alignment horizontal="center"/>
    </xf>
    <xf borderId="0" fillId="0" fontId="16" numFmtId="0" xfId="0" applyAlignment="1" applyFont="1">
      <alignment horizontal="center" readingOrder="0"/>
    </xf>
    <xf borderId="0" fillId="3" fontId="23" numFmtId="4" xfId="0" applyAlignment="1" applyFont="1" applyNumberFormat="1">
      <alignment horizontal="right"/>
    </xf>
    <xf borderId="0" fillId="3" fontId="24" numFmtId="4" xfId="0" applyAlignment="1" applyFont="1" applyNumberFormat="1">
      <alignment horizontal="right"/>
    </xf>
    <xf borderId="0" fillId="8" fontId="24" numFmtId="4" xfId="0" applyAlignment="1" applyFill="1" applyFont="1" applyNumberFormat="1">
      <alignment horizontal="center" readingOrder="0"/>
    </xf>
    <xf borderId="0" fillId="3" fontId="24" numFmtId="0" xfId="0" applyAlignment="1" applyFont="1">
      <alignment horizontal="center"/>
    </xf>
    <xf borderId="0" fillId="8" fontId="24" numFmtId="0" xfId="0" applyAlignment="1" applyFont="1">
      <alignment horizontal="center" readingOrder="0"/>
    </xf>
    <xf borderId="0" fillId="8" fontId="24" numFmtId="0" xfId="0" applyAlignment="1" applyFont="1">
      <alignment horizontal="center"/>
    </xf>
    <xf borderId="0" fillId="0" fontId="5" numFmtId="0" xfId="0" applyAlignment="1" applyFont="1">
      <alignment readingOrder="0"/>
    </xf>
    <xf borderId="0" fillId="0" fontId="5" numFmtId="4" xfId="0" applyFont="1" applyNumberFormat="1"/>
    <xf borderId="0" fillId="0" fontId="5" numFmtId="0" xfId="0" applyAlignment="1" applyFont="1">
      <alignment horizontal="center"/>
    </xf>
    <xf borderId="0" fillId="0" fontId="5" numFmtId="0" xfId="0" applyFont="1"/>
    <xf borderId="0" fillId="0" fontId="5" numFmtId="4" xfId="0" applyAlignment="1" applyFont="1" applyNumberFormat="1">
      <alignment readingOrder="0"/>
    </xf>
    <xf borderId="0" fillId="0" fontId="16" numFmtId="4" xfId="0" applyFont="1" applyNumberFormat="1"/>
    <xf borderId="0" fillId="9" fontId="16" numFmtId="0" xfId="0" applyFill="1" applyFont="1"/>
    <xf borderId="0" fillId="0" fontId="5" numFmtId="165" xfId="0" applyAlignment="1" applyFont="1" applyNumberFormat="1">
      <alignment horizontal="center"/>
    </xf>
    <xf borderId="0" fillId="9" fontId="16" numFmtId="0" xfId="0" applyAlignment="1" applyFont="1">
      <alignment horizontal="center"/>
    </xf>
    <xf borderId="0" fillId="7" fontId="14" numFmtId="0" xfId="0" applyAlignment="1" applyFont="1">
      <alignment horizontal="center" readingOrder="0" vertical="center"/>
    </xf>
    <xf borderId="0" fillId="7" fontId="18" numFmtId="0" xfId="0" applyAlignment="1" applyFont="1">
      <alignment horizontal="right" readingOrder="0"/>
    </xf>
    <xf borderId="0" fillId="0" fontId="16" numFmtId="0" xfId="0" applyAlignment="1" applyFont="1">
      <alignment readingOrder="0"/>
    </xf>
  </cellXfs>
  <cellStyles count="1">
    <cellStyle xfId="0" name="Normal" builtinId="0"/>
  </cellStyles>
  <dxfs count="9">
    <dxf>
      <font>
        <color rgb="FF000000"/>
      </font>
      <fill>
        <patternFill patternType="solid">
          <fgColor rgb="FFE8F0FE"/>
          <bgColor rgb="FFE8F0FE"/>
        </patternFill>
      </fill>
      <border/>
    </dxf>
    <dxf>
      <font/>
      <fill>
        <patternFill patternType="solid">
          <fgColor rgb="FFFFFFFF"/>
          <bgColor rgb="FFFFFFFF"/>
        </patternFill>
      </fill>
      <border/>
    </dxf>
    <dxf>
      <font/>
      <fill>
        <patternFill patternType="none"/>
      </fill>
      <border/>
    </dxf>
    <dxf>
      <font/>
      <fill>
        <patternFill patternType="solid">
          <fgColor rgb="FF8BC34A"/>
          <bgColor rgb="FF8BC34A"/>
        </patternFill>
      </fill>
      <border/>
    </dxf>
    <dxf>
      <font/>
      <fill>
        <patternFill patternType="solid">
          <fgColor rgb="FFF6B26B"/>
          <bgColor rgb="FFF6B26B"/>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3">
    <tableStyle count="3" pivot="0" name="janeiro-style">
      <tableStyleElement dxfId="3" type="headerRow"/>
      <tableStyleElement dxfId="4" type="firstRowStripe"/>
      <tableStyleElement dxfId="5" type="secondRowStripe"/>
    </tableStyle>
    <tableStyle count="3" pivot="0" name="janeiro-style 2">
      <tableStyleElement dxfId="6" type="headerRow"/>
      <tableStyleElement dxfId="7" type="firstRowStripe"/>
      <tableStyleElement dxfId="8" type="secondRowStripe"/>
    </tableStyle>
    <tableStyle count="3" pivot="0" name="fevereiro-style">
      <tableStyleElement dxfId="3" type="headerRow"/>
      <tableStyleElement dxfId="4" type="firstRowStripe"/>
      <tableStyleElement dxfId="5" type="secondRowStripe"/>
    </tableStyle>
    <tableStyle count="3" pivot="0" name="fevereiro-style 2">
      <tableStyleElement dxfId="6" type="headerRow"/>
      <tableStyleElement dxfId="7" type="firstRowStripe"/>
      <tableStyleElement dxfId="8" type="secondRowStripe"/>
    </tableStyle>
    <tableStyle count="3" pivot="0" name="março-style">
      <tableStyleElement dxfId="3" type="headerRow"/>
      <tableStyleElement dxfId="4" type="firstRowStripe"/>
      <tableStyleElement dxfId="5" type="secondRowStripe"/>
    </tableStyle>
    <tableStyle count="3" pivot="0" name="abril-style">
      <tableStyleElement dxfId="3" type="headerRow"/>
      <tableStyleElement dxfId="4" type="firstRowStripe"/>
      <tableStyleElement dxfId="5" type="secondRowStripe"/>
    </tableStyle>
    <tableStyle count="3" pivot="0" name="maio-style">
      <tableStyleElement dxfId="6" type="headerRow"/>
      <tableStyleElement dxfId="7" type="firstRowStripe"/>
      <tableStyleElement dxfId="8" type="secondRowStripe"/>
    </tableStyle>
    <tableStyle count="3" pivot="0" name="maio-style 2">
      <tableStyleElement dxfId="3" type="headerRow"/>
      <tableStyleElement dxfId="4" type="firstRowStripe"/>
      <tableStyleElement dxfId="5" type="secondRowStripe"/>
    </tableStyle>
    <tableStyle count="3" pivot="0" name="junho-style">
      <tableStyleElement dxfId="6" type="headerRow"/>
      <tableStyleElement dxfId="7" type="firstRowStripe"/>
      <tableStyleElement dxfId="8" type="secondRowStripe"/>
    </tableStyle>
    <tableStyle count="3" pivot="0" name="junho-style 2">
      <tableStyleElement dxfId="3" type="headerRow"/>
      <tableStyleElement dxfId="4" type="firstRowStripe"/>
      <tableStyleElement dxfId="5" type="secondRowStripe"/>
    </tableStyle>
    <tableStyle count="3" pivot="0" name="julho-style">
      <tableStyleElement dxfId="3" type="headerRow"/>
      <tableStyleElement dxfId="4" type="firstRowStripe"/>
      <tableStyleElement dxfId="5" type="secondRowStripe"/>
    </tableStyle>
    <tableStyle count="3" pivot="0" name="julho-style 2">
      <tableStyleElement dxfId="6" type="headerRow"/>
      <tableStyleElement dxfId="7" type="firstRowStripe"/>
      <tableStyleElement dxfId="8" type="secondRowStripe"/>
    </tableStyle>
    <tableStyle count="3" pivot="0" name="agosto-style">
      <tableStyleElement dxfId="6" type="headerRow"/>
      <tableStyleElement dxfId="7" type="firstRowStripe"/>
      <tableStyleElement dxfId="8" type="secondRowStripe"/>
    </tableStyle>
    <tableStyle count="3" pivot="0" name="agosto-style 2">
      <tableStyleElement dxfId="3" type="headerRow"/>
      <tableStyleElement dxfId="4" type="firstRowStripe"/>
      <tableStyleElement dxfId="5" type="secondRowStripe"/>
    </tableStyle>
    <tableStyle count="3" pivot="0" name="setembro-style">
      <tableStyleElement dxfId="3" type="headerRow"/>
      <tableStyleElement dxfId="4" type="firstRowStripe"/>
      <tableStyleElement dxfId="5" type="secondRowStripe"/>
    </tableStyle>
    <tableStyle count="3" pivot="0" name="setembro-style 2">
      <tableStyleElement dxfId="6" type="headerRow"/>
      <tableStyleElement dxfId="7" type="firstRowStripe"/>
      <tableStyleElement dxfId="8" type="secondRowStripe"/>
    </tableStyle>
    <tableStyle count="3" pivot="0" name="outubro-style">
      <tableStyleElement dxfId="3" type="headerRow"/>
      <tableStyleElement dxfId="4" type="firstRowStripe"/>
      <tableStyleElement dxfId="5" type="secondRowStripe"/>
    </tableStyle>
    <tableStyle count="3" pivot="0" name="outubro-style 2">
      <tableStyleElement dxfId="6" type="headerRow"/>
      <tableStyleElement dxfId="7" type="firstRowStripe"/>
      <tableStyleElement dxfId="8" type="secondRowStripe"/>
    </tableStyle>
    <tableStyle count="3" pivot="0" name="novembro-style">
      <tableStyleElement dxfId="3" type="headerRow"/>
      <tableStyleElement dxfId="4" type="firstRowStripe"/>
      <tableStyleElement dxfId="5" type="secondRowStripe"/>
    </tableStyle>
    <tableStyle count="3" pivot="0" name="novembro-style 2">
      <tableStyleElement dxfId="6" type="headerRow"/>
      <tableStyleElement dxfId="7" type="firstRowStripe"/>
      <tableStyleElement dxfId="8" type="secondRowStripe"/>
    </tableStyle>
    <tableStyle count="3" pivot="0" name="dezembro-style">
      <tableStyleElement dxfId="3" type="headerRow"/>
      <tableStyleElement dxfId="4" type="firstRowStripe"/>
      <tableStyleElement dxfId="5" type="secondRowStripe"/>
    </tableStyle>
    <tableStyle count="3" pivot="0" name="dezembro-style 2">
      <tableStyleElement dxfId="6" type="headerRow"/>
      <tableStyleElement dxfId="7" type="firstRowStripe"/>
      <tableStyleElement dxfId="8" type="secondRowStripe"/>
    </tableStyle>
    <tableStyle count="3" pivot="0" name="janeiro 2022-style">
      <tableStyleElement dxfId="3" type="headerRow"/>
      <tableStyleElement dxfId="4" type="firstRowStripe"/>
      <tableStyleElement dxfId="5" type="secondRowStripe"/>
    </tableStyle>
    <tableStyle count="3" pivot="0" name="janeiro 2022-style 2">
      <tableStyleElement dxfId="6" type="headerRow"/>
      <tableStyleElement dxfId="7" type="firstRowStripe"/>
      <tableStyleElement dxfId="8" type="secondRowStripe"/>
    </tableStyle>
    <tableStyle count="3" pivot="0" name="fevereiro 2022-style">
      <tableStyleElement dxfId="6" type="headerRow"/>
      <tableStyleElement dxfId="7" type="firstRowStripe"/>
      <tableStyleElement dxfId="8" type="secondRowStripe"/>
    </tableStyle>
    <tableStyle count="3" pivot="0" name="fevereiro 2022-style 2">
      <tableStyleElement dxfId="3" type="headerRow"/>
      <tableStyleElement dxfId="4" type="firstRowStripe"/>
      <tableStyleElement dxfId="5" type="secondRowStripe"/>
    </tableStyle>
    <tableStyle count="3" pivot="0" name="março 2022-style">
      <tableStyleElement dxfId="3" type="headerRow"/>
      <tableStyleElement dxfId="4" type="firstRowStripe"/>
      <tableStyleElement dxfId="5" type="secondRowStripe"/>
    </tableStyle>
    <tableStyle count="3" pivot="0" name="março 2022-style 2">
      <tableStyleElement dxfId="6" type="headerRow"/>
      <tableStyleElement dxfId="7" type="firstRowStripe"/>
      <tableStyleElement dxfId="8" type="secondRowStripe"/>
    </tableStyle>
    <tableStyle count="3" pivot="0" name="abril 2022-style">
      <tableStyleElement dxfId="6" type="headerRow"/>
      <tableStyleElement dxfId="7" type="firstRowStripe"/>
      <tableStyleElement dxfId="8" type="secondRowStripe"/>
    </tableStyle>
    <tableStyle count="3" pivot="0" name="abril 2022-style 2">
      <tableStyleElement dxfId="3" type="headerRow"/>
      <tableStyleElement dxfId="4" type="firstRowStripe"/>
      <tableStyleElement dxfId="5" type="secondRowStripe"/>
    </tableStyle>
    <tableStyle count="3" pivot="0" name="maio 2022-style">
      <tableStyleElement dxfId="6" type="headerRow"/>
      <tableStyleElement dxfId="7" type="firstRowStripe"/>
      <tableStyleElement dxfId="8" type="secondRowStripe"/>
    </tableStyle>
    <tableStyle count="3" pivot="0" name="maio 2022-style 2">
      <tableStyleElement dxfId="3" type="headerRow"/>
      <tableStyleElement dxfId="4" type="firstRowStripe"/>
      <tableStyleElement dxfId="5" type="secondRowStripe"/>
    </tableStyle>
    <tableStyle count="3" pivot="0" name="todos-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TENDÊNCIA</a:t>
            </a:r>
          </a:p>
        </c:rich>
      </c:tx>
      <c:overlay val="0"/>
    </c:title>
    <c:view3D>
      <c:rotX val="15"/>
      <c:rotY val="20"/>
      <c:depthPercent val="100"/>
      <c:rAngAx val="1"/>
    </c:view3D>
    <c:plotArea>
      <c:layout/>
      <c:bar3DChart>
        <c:barDir val="col"/>
        <c:grouping val="stacked"/>
        <c:ser>
          <c:idx val="0"/>
          <c:order val="0"/>
          <c:tx>
            <c:strRef>
              <c:f>query!$E$13</c:f>
            </c:strRef>
          </c:tx>
          <c:spPr>
            <a:solidFill>
              <a:srgbClr val="4285F4"/>
            </a:solidFill>
            <a:ln cmpd="sng">
              <a:solidFill>
                <a:srgbClr val="000000"/>
              </a:solidFill>
            </a:ln>
          </c:spPr>
          <c:trendline>
            <c:name/>
            <c:spPr>
              <a:ln w="38100">
                <a:solidFill>
                  <a:srgbClr val="CC0000"/>
                </a:solidFill>
              </a:ln>
            </c:spPr>
            <c:trendlineType val="linear"/>
            <c:dispRSqr val="0"/>
            <c:dispEq val="0"/>
          </c:trendline>
          <c:val>
            <c:numRef>
              <c:f>query!$E$14:$E$499</c:f>
              <c:numCache/>
            </c:numRef>
          </c:val>
        </c:ser>
        <c:ser>
          <c:idx val="1"/>
          <c:order val="1"/>
          <c:tx>
            <c:strRef>
              <c:f>query!$F$13</c:f>
            </c:strRef>
          </c:tx>
          <c:val>
            <c:numRef>
              <c:f>query!$F$14:$F$499</c:f>
              <c:numCache/>
            </c:numRef>
          </c:val>
        </c:ser>
        <c:axId val="526662736"/>
        <c:axId val="2134823112"/>
      </c:bar3DChart>
      <c:catAx>
        <c:axId val="526662736"/>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134823112"/>
      </c:catAx>
      <c:valAx>
        <c:axId val="2134823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26662736"/>
      </c:valAx>
    </c:plotArea>
    <c:legend>
      <c:legendPos val="r"/>
      <c:overlay val="0"/>
      <c:txPr>
        <a:bodyPr/>
        <a:lstStyle/>
        <a:p>
          <a:pPr lvl="0">
            <a:defRPr b="0">
              <a:solidFill>
                <a:srgbClr val="000000"/>
              </a:solidFill>
              <a:latin typeface="Roboto"/>
            </a:defRPr>
          </a:pPr>
        </a:p>
      </c:txPr>
    </c:legend>
    <c:plotVisOnly val="1"/>
  </c:chart>
</c:chartSpace>
</file>

<file path=xl/drawings/_rels/drawing20.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552450</xdr:colOff>
      <xdr:row>0</xdr:row>
      <xdr:rowOff>0</xdr:rowOff>
    </xdr:from>
    <xdr:ext cx="3781425" cy="23526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01:Q106"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Q100" displayName="Table_2"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16:Q121" displayName="Table_3" id="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Q115" displayName="Table_4" id="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0:Q85" displayName="Table_5" id="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89:Q94" displayName="Table_6" id="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Q93" display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94:Q99" displayName="Table_8" id="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Q94" displayName="Table_9" id="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95:Q100" displayName="Table_10" id="1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nho-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16:Q121" display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A1:Q115" displayName="Table_12" id="1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ulho-style 2"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A1:Q81" displayName="Table_13" id="1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82:Q87"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gosto-style 2"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A99:Q104" displayName="Table_15" id="1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1:Q98" display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setembro-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A118:Q123" display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A1:Q117" displayName="Table_18" id="1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outubro-style 2"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110:Q115" displayName="Table_19" id="1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A1:Q109" displayName="Table_20" id="2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novembro-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111:Q116" displayName="Table_21" id="2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Q110" displayName="Table_22" id="2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dezembro-style 2"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07:Q111" displayName="Table_23" id="2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A1:Q106"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janeiro 2022-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A1:Q113" display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A114:Q118" displayName="Table_26" id="2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fevereiro 2022-style 2"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A84:Q88" displayName="Table_27" id="2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A1:Q83" display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rço 2022-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1:Q102" displayName="Table_29" id="29">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A103:Q107" displayName="Table_30" id="30">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bril 2022-style 2"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Q81" displayName="Table_31" id="3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A82:Q86" displayName="Table_32" id="3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maio 2022-style 2"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A2:Q1582" displayName="Table_33" id="33">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todo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6" Type="http://schemas.openxmlformats.org/officeDocument/2006/relationships/table" Target="../tables/table7.xml"/><Relationship Id="rId7"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6" Type="http://schemas.openxmlformats.org/officeDocument/2006/relationships/table" Target="../tables/table9.x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6" Type="http://schemas.openxmlformats.org/officeDocument/2006/relationships/table" Target="../tables/table11.xml"/><Relationship Id="rId7"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6" Type="http://schemas.openxmlformats.org/officeDocument/2006/relationships/table" Target="../tables/table13.xml"/><Relationship Id="rId7"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6" Type="http://schemas.openxmlformats.org/officeDocument/2006/relationships/table" Target="../tables/table15.xml"/><Relationship Id="rId7"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6" Type="http://schemas.openxmlformats.org/officeDocument/2006/relationships/table" Target="../tables/table17.xml"/><Relationship Id="rId7"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 Id="rId6" Type="http://schemas.openxmlformats.org/officeDocument/2006/relationships/table" Target="../tables/table19.xml"/><Relationship Id="rId7"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 Id="rId6" Type="http://schemas.openxmlformats.org/officeDocument/2006/relationships/table" Target="../tables/table21.xml"/><Relationship Id="rId7"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 Id="rId6" Type="http://schemas.openxmlformats.org/officeDocument/2006/relationships/table" Target="../tables/table23.xml"/><Relationship Id="rId7" Type="http://schemas.openxmlformats.org/officeDocument/2006/relationships/table" Target="../tables/table24.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 Id="rId6" Type="http://schemas.openxmlformats.org/officeDocument/2006/relationships/table" Target="../tables/table25.xml"/><Relationship Id="rId7" Type="http://schemas.openxmlformats.org/officeDocument/2006/relationships/table" Target="../tables/table26.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5.xml"/><Relationship Id="rId3" Type="http://schemas.openxmlformats.org/officeDocument/2006/relationships/vmlDrawing" Target="../drawings/vmlDrawing15.vml"/><Relationship Id="rId6" Type="http://schemas.openxmlformats.org/officeDocument/2006/relationships/table" Target="../tables/table27.xml"/><Relationship Id="rId7" Type="http://schemas.openxmlformats.org/officeDocument/2006/relationships/table" Target="../tables/table28.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6.xml"/><Relationship Id="rId3" Type="http://schemas.openxmlformats.org/officeDocument/2006/relationships/vmlDrawing" Target="../drawings/vmlDrawing16.vml"/><Relationship Id="rId6" Type="http://schemas.openxmlformats.org/officeDocument/2006/relationships/table" Target="../tables/table29.xml"/><Relationship Id="rId7" Type="http://schemas.openxmlformats.org/officeDocument/2006/relationships/table" Target="../tables/table30.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7.xml"/><Relationship Id="rId3" Type="http://schemas.openxmlformats.org/officeDocument/2006/relationships/vmlDrawing" Target="../drawings/vmlDrawing17.vml"/><Relationship Id="rId6" Type="http://schemas.openxmlformats.org/officeDocument/2006/relationships/table" Target="../tables/table31.xml"/><Relationship Id="rId7" Type="http://schemas.openxmlformats.org/officeDocument/2006/relationships/table" Target="../tables/table3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0.xml"/><Relationship Id="rId3"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9" width="8.88"/>
    <col customWidth="1" min="10" max="10" width="45.5"/>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12</v>
      </c>
      <c r="C4" s="13">
        <v>1.0</v>
      </c>
      <c r="D4" s="14" t="str">
        <f t="shared" ref="D4:D20" si="1">UPPER(TEXT(WEEKDAY(DATEVALUE(CONCATENATE(C4,"/",$C$3,"/",$A$1))),"DDD"))</f>
        <v>SEX.</v>
      </c>
      <c r="E4" s="13">
        <f t="shared" ref="E4:E97" si="2">$C$3</f>
        <v>1</v>
      </c>
      <c r="F4" s="15"/>
      <c r="G4" s="16">
        <v>26.78</v>
      </c>
      <c r="H4" s="17"/>
      <c r="I4" s="18" t="s">
        <v>13</v>
      </c>
      <c r="J4" s="21" t="s">
        <v>14</v>
      </c>
      <c r="K4" s="22"/>
      <c r="L4" s="22"/>
      <c r="M4" s="22"/>
      <c r="N4" s="22"/>
      <c r="O4" s="22"/>
      <c r="P4" s="22"/>
      <c r="Q4" s="22"/>
    </row>
    <row r="5">
      <c r="A5" s="11" t="s">
        <v>5</v>
      </c>
      <c r="B5" s="21" t="s">
        <v>12</v>
      </c>
      <c r="C5" s="13">
        <v>1.0</v>
      </c>
      <c r="D5" s="14" t="str">
        <f t="shared" si="1"/>
        <v>SEX.</v>
      </c>
      <c r="E5" s="13">
        <f t="shared" si="2"/>
        <v>1</v>
      </c>
      <c r="F5" s="15"/>
      <c r="G5" s="16">
        <v>2.85</v>
      </c>
      <c r="H5" s="17"/>
      <c r="I5" s="18" t="s">
        <v>15</v>
      </c>
      <c r="J5" s="21" t="s">
        <v>14</v>
      </c>
      <c r="K5" s="22"/>
      <c r="L5" s="22"/>
      <c r="M5" s="22"/>
      <c r="N5" s="22"/>
      <c r="O5" s="22"/>
      <c r="P5" s="22"/>
      <c r="Q5" s="22"/>
    </row>
    <row r="6">
      <c r="A6" s="11" t="s">
        <v>5</v>
      </c>
      <c r="B6" s="21" t="s">
        <v>12</v>
      </c>
      <c r="C6" s="13">
        <v>1.0</v>
      </c>
      <c r="D6" s="14" t="str">
        <f t="shared" si="1"/>
        <v>SEX.</v>
      </c>
      <c r="E6" s="13">
        <f t="shared" si="2"/>
        <v>1</v>
      </c>
      <c r="F6" s="15"/>
      <c r="G6" s="16">
        <v>46.14</v>
      </c>
      <c r="H6" s="17"/>
      <c r="I6" s="18" t="s">
        <v>16</v>
      </c>
      <c r="J6" s="21" t="s">
        <v>14</v>
      </c>
      <c r="K6" s="22"/>
      <c r="L6" s="22"/>
      <c r="M6" s="22"/>
      <c r="N6" s="22"/>
      <c r="O6" s="22"/>
      <c r="P6" s="22"/>
      <c r="Q6" s="22"/>
    </row>
    <row r="7">
      <c r="A7" s="11" t="s">
        <v>5</v>
      </c>
      <c r="B7" s="21" t="s">
        <v>12</v>
      </c>
      <c r="C7" s="13">
        <v>1.0</v>
      </c>
      <c r="D7" s="14" t="str">
        <f t="shared" si="1"/>
        <v>SEX.</v>
      </c>
      <c r="E7" s="13">
        <f t="shared" si="2"/>
        <v>1</v>
      </c>
      <c r="F7" s="15"/>
      <c r="G7" s="16">
        <v>223.4</v>
      </c>
      <c r="H7" s="17"/>
      <c r="I7" s="18" t="s">
        <v>17</v>
      </c>
      <c r="J7" s="21" t="s">
        <v>14</v>
      </c>
      <c r="K7" s="22"/>
      <c r="L7" s="22"/>
      <c r="M7" s="22"/>
      <c r="N7" s="22"/>
      <c r="O7" s="22"/>
      <c r="P7" s="22"/>
      <c r="Q7" s="22"/>
    </row>
    <row r="8">
      <c r="A8" s="11" t="s">
        <v>5</v>
      </c>
      <c r="B8" s="21" t="s">
        <v>12</v>
      </c>
      <c r="C8" s="13">
        <v>1.0</v>
      </c>
      <c r="D8" s="14" t="str">
        <f t="shared" si="1"/>
        <v>SEX.</v>
      </c>
      <c r="E8" s="13">
        <f t="shared" si="2"/>
        <v>1</v>
      </c>
      <c r="F8" s="15"/>
      <c r="G8" s="16">
        <v>9.52</v>
      </c>
      <c r="H8" s="17"/>
      <c r="I8" s="18" t="s">
        <v>18</v>
      </c>
      <c r="J8" s="21" t="s">
        <v>14</v>
      </c>
      <c r="K8" s="22"/>
      <c r="L8" s="22"/>
      <c r="M8" s="22"/>
      <c r="N8" s="22"/>
      <c r="O8" s="22"/>
      <c r="P8" s="22"/>
      <c r="Q8" s="22"/>
    </row>
    <row r="9">
      <c r="A9" s="23" t="s">
        <v>5</v>
      </c>
      <c r="B9" s="24" t="s">
        <v>19</v>
      </c>
      <c r="C9" s="13">
        <v>2.0</v>
      </c>
      <c r="D9" s="14" t="str">
        <f t="shared" si="1"/>
        <v>SÁB.</v>
      </c>
      <c r="E9" s="13">
        <f t="shared" si="2"/>
        <v>1</v>
      </c>
      <c r="F9" s="25"/>
      <c r="G9" s="26"/>
      <c r="H9" s="27">
        <v>61.8</v>
      </c>
      <c r="I9" s="18" t="s">
        <v>17</v>
      </c>
      <c r="J9" s="21" t="s">
        <v>20</v>
      </c>
      <c r="K9" s="28"/>
      <c r="L9" s="28"/>
      <c r="M9" s="28"/>
      <c r="N9" s="28"/>
      <c r="O9" s="28"/>
      <c r="P9" s="28"/>
      <c r="Q9" s="28"/>
    </row>
    <row r="10">
      <c r="A10" s="11" t="s">
        <v>5</v>
      </c>
      <c r="B10" s="29" t="s">
        <v>21</v>
      </c>
      <c r="C10" s="13">
        <v>4.0</v>
      </c>
      <c r="D10" s="14" t="str">
        <f t="shared" si="1"/>
        <v>SEG.</v>
      </c>
      <c r="E10" s="13">
        <f t="shared" si="2"/>
        <v>1</v>
      </c>
      <c r="F10" s="30"/>
      <c r="G10" s="31"/>
      <c r="H10" s="32">
        <v>241.22</v>
      </c>
      <c r="I10" s="33" t="s">
        <v>13</v>
      </c>
      <c r="J10" s="21" t="s">
        <v>22</v>
      </c>
      <c r="K10" s="31"/>
      <c r="L10" s="31"/>
      <c r="M10" s="31"/>
      <c r="N10" s="31"/>
      <c r="O10" s="31"/>
      <c r="P10" s="31"/>
      <c r="Q10" s="31"/>
    </row>
    <row r="11">
      <c r="A11" s="33" t="s">
        <v>5</v>
      </c>
      <c r="B11" s="34" t="s">
        <v>23</v>
      </c>
      <c r="C11" s="13">
        <v>4.0</v>
      </c>
      <c r="D11" s="14" t="str">
        <f t="shared" si="1"/>
        <v>SEG.</v>
      </c>
      <c r="E11" s="13">
        <f t="shared" si="2"/>
        <v>1</v>
      </c>
      <c r="F11" s="35"/>
      <c r="G11" s="26"/>
      <c r="H11" s="36">
        <v>9.17</v>
      </c>
      <c r="I11" s="37" t="s">
        <v>13</v>
      </c>
      <c r="J11" s="38" t="s">
        <v>24</v>
      </c>
      <c r="K11" s="39"/>
      <c r="L11" s="39"/>
      <c r="M11" s="39"/>
      <c r="N11" s="39"/>
      <c r="O11" s="39"/>
      <c r="P11" s="39"/>
      <c r="Q11" s="39"/>
    </row>
    <row r="12">
      <c r="A12" s="33" t="s">
        <v>25</v>
      </c>
      <c r="B12" s="40" t="s">
        <v>26</v>
      </c>
      <c r="C12" s="13">
        <v>4.0</v>
      </c>
      <c r="D12" s="14" t="str">
        <f t="shared" si="1"/>
        <v>SEG.</v>
      </c>
      <c r="E12" s="13">
        <f t="shared" si="2"/>
        <v>1</v>
      </c>
      <c r="F12" s="35"/>
      <c r="G12" s="26"/>
      <c r="H12" s="36">
        <v>160.0</v>
      </c>
      <c r="I12" s="37" t="s">
        <v>17</v>
      </c>
      <c r="J12" s="34"/>
      <c r="K12" s="39"/>
      <c r="L12" s="39"/>
      <c r="M12" s="39"/>
      <c r="N12" s="39"/>
      <c r="O12" s="39"/>
      <c r="P12" s="39"/>
      <c r="Q12" s="39"/>
    </row>
    <row r="13">
      <c r="A13" s="41" t="s">
        <v>25</v>
      </c>
      <c r="B13" s="42" t="s">
        <v>27</v>
      </c>
      <c r="C13" s="13">
        <v>4.0</v>
      </c>
      <c r="D13" s="14" t="str">
        <f t="shared" si="1"/>
        <v>SEG.</v>
      </c>
      <c r="E13" s="13">
        <f t="shared" si="2"/>
        <v>1</v>
      </c>
      <c r="F13" s="35"/>
      <c r="G13" s="36">
        <v>160.0</v>
      </c>
      <c r="H13" s="43"/>
      <c r="I13" s="37" t="s">
        <v>13</v>
      </c>
      <c r="J13" s="44"/>
      <c r="K13" s="39"/>
      <c r="L13" s="39"/>
      <c r="M13" s="39"/>
      <c r="N13" s="39"/>
      <c r="O13" s="39"/>
      <c r="P13" s="39"/>
      <c r="Q13" s="39"/>
    </row>
    <row r="14">
      <c r="A14" s="11" t="s">
        <v>5</v>
      </c>
      <c r="B14" s="44" t="s">
        <v>28</v>
      </c>
      <c r="C14" s="13">
        <v>6.0</v>
      </c>
      <c r="D14" s="14" t="str">
        <f t="shared" si="1"/>
        <v>QUA.</v>
      </c>
      <c r="E14" s="13">
        <f t="shared" si="2"/>
        <v>1</v>
      </c>
      <c r="F14" s="43"/>
      <c r="G14" s="45"/>
      <c r="H14" s="46">
        <v>8.0</v>
      </c>
      <c r="I14" s="47" t="s">
        <v>13</v>
      </c>
      <c r="J14" s="44" t="s">
        <v>29</v>
      </c>
      <c r="K14" s="39"/>
      <c r="L14" s="39"/>
      <c r="M14" s="39"/>
      <c r="N14" s="39"/>
      <c r="O14" s="39"/>
      <c r="P14" s="39"/>
      <c r="Q14" s="39"/>
    </row>
    <row r="15">
      <c r="A15" s="11" t="s">
        <v>5</v>
      </c>
      <c r="B15" s="48" t="s">
        <v>30</v>
      </c>
      <c r="C15" s="13">
        <v>6.0</v>
      </c>
      <c r="D15" s="14" t="str">
        <f t="shared" si="1"/>
        <v>QUA.</v>
      </c>
      <c r="E15" s="13">
        <f t="shared" si="2"/>
        <v>1</v>
      </c>
      <c r="F15" s="49"/>
      <c r="G15" s="50"/>
      <c r="H15" s="51">
        <v>60.0</v>
      </c>
      <c r="I15" s="18" t="s">
        <v>13</v>
      </c>
      <c r="J15" s="21" t="s">
        <v>31</v>
      </c>
      <c r="K15" s="52"/>
      <c r="L15" s="52"/>
      <c r="M15" s="52"/>
      <c r="N15" s="52"/>
      <c r="O15" s="52"/>
      <c r="P15" s="52"/>
      <c r="Q15" s="52"/>
    </row>
    <row r="16">
      <c r="A16" s="11" t="s">
        <v>5</v>
      </c>
      <c r="B16" s="44" t="s">
        <v>32</v>
      </c>
      <c r="C16" s="13">
        <v>7.0</v>
      </c>
      <c r="D16" s="14" t="str">
        <f t="shared" si="1"/>
        <v>QUI.</v>
      </c>
      <c r="E16" s="13">
        <f t="shared" si="2"/>
        <v>1</v>
      </c>
      <c r="F16" s="43"/>
      <c r="G16" s="46"/>
      <c r="H16" s="46">
        <v>55.0</v>
      </c>
      <c r="I16" s="47" t="s">
        <v>13</v>
      </c>
      <c r="J16" s="21" t="s">
        <v>33</v>
      </c>
      <c r="K16" s="39"/>
      <c r="L16" s="39"/>
      <c r="M16" s="39"/>
      <c r="N16" s="39"/>
      <c r="O16" s="39"/>
      <c r="P16" s="39"/>
      <c r="Q16" s="39"/>
    </row>
    <row r="17">
      <c r="A17" s="11" t="s">
        <v>5</v>
      </c>
      <c r="B17" s="44" t="s">
        <v>34</v>
      </c>
      <c r="C17" s="13">
        <v>7.0</v>
      </c>
      <c r="D17" s="14" t="str">
        <f t="shared" si="1"/>
        <v>QUI.</v>
      </c>
      <c r="E17" s="13">
        <f t="shared" si="2"/>
        <v>1</v>
      </c>
      <c r="F17" s="43"/>
      <c r="G17" s="46"/>
      <c r="H17" s="46">
        <v>3.0</v>
      </c>
      <c r="I17" s="47" t="s">
        <v>13</v>
      </c>
      <c r="J17" s="44" t="s">
        <v>29</v>
      </c>
      <c r="K17" s="39"/>
      <c r="L17" s="39"/>
      <c r="M17" s="39"/>
      <c r="N17" s="39"/>
      <c r="O17" s="39"/>
      <c r="P17" s="39"/>
      <c r="Q17" s="39"/>
    </row>
    <row r="18">
      <c r="A18" s="11" t="s">
        <v>5</v>
      </c>
      <c r="B18" s="44" t="s">
        <v>35</v>
      </c>
      <c r="C18" s="13">
        <v>7.0</v>
      </c>
      <c r="D18" s="14" t="str">
        <f t="shared" si="1"/>
        <v>QUI.</v>
      </c>
      <c r="E18" s="13">
        <f t="shared" si="2"/>
        <v>1</v>
      </c>
      <c r="F18" s="43"/>
      <c r="G18" s="46"/>
      <c r="H18" s="46">
        <v>131.18</v>
      </c>
      <c r="I18" s="47" t="s">
        <v>13</v>
      </c>
      <c r="J18" s="21" t="s">
        <v>36</v>
      </c>
      <c r="K18" s="39"/>
      <c r="L18" s="39"/>
      <c r="M18" s="39"/>
      <c r="N18" s="39"/>
      <c r="O18" s="39"/>
      <c r="P18" s="39"/>
      <c r="Q18" s="39"/>
    </row>
    <row r="19">
      <c r="A19" s="11" t="s">
        <v>5</v>
      </c>
      <c r="B19" s="44" t="s">
        <v>37</v>
      </c>
      <c r="C19" s="13">
        <v>8.0</v>
      </c>
      <c r="D19" s="14" t="str">
        <f t="shared" si="1"/>
        <v>SEX.</v>
      </c>
      <c r="E19" s="13">
        <f t="shared" si="2"/>
        <v>1</v>
      </c>
      <c r="F19" s="43"/>
      <c r="G19" s="46">
        <v>4200.0</v>
      </c>
      <c r="H19" s="46"/>
      <c r="I19" s="47" t="s">
        <v>17</v>
      </c>
      <c r="J19" s="21" t="s">
        <v>38</v>
      </c>
      <c r="K19" s="39"/>
      <c r="L19" s="39"/>
      <c r="M19" s="39"/>
      <c r="N19" s="39"/>
      <c r="O19" s="39"/>
      <c r="P19" s="39"/>
      <c r="Q19" s="39"/>
    </row>
    <row r="20">
      <c r="A20" s="11" t="s">
        <v>5</v>
      </c>
      <c r="B20" s="44" t="s">
        <v>39</v>
      </c>
      <c r="C20" s="13">
        <v>8.0</v>
      </c>
      <c r="D20" s="14" t="str">
        <f t="shared" si="1"/>
        <v>SEX.</v>
      </c>
      <c r="E20" s="13">
        <f t="shared" si="2"/>
        <v>1</v>
      </c>
      <c r="F20" s="43"/>
      <c r="G20" s="45"/>
      <c r="H20" s="53">
        <f>SUM(H21:Q31)</f>
        <v>576.25</v>
      </c>
      <c r="I20" s="47" t="s">
        <v>17</v>
      </c>
      <c r="J20" s="21"/>
      <c r="K20" s="39"/>
      <c r="L20" s="39"/>
      <c r="M20" s="39"/>
      <c r="N20" s="39"/>
      <c r="O20" s="39"/>
      <c r="P20" s="39"/>
      <c r="Q20" s="39"/>
    </row>
    <row r="21" outlineLevel="1">
      <c r="A21" s="11" t="s">
        <v>40</v>
      </c>
      <c r="B21" s="44" t="s">
        <v>41</v>
      </c>
      <c r="C21" s="13"/>
      <c r="D21" s="14"/>
      <c r="E21" s="13">
        <f t="shared" si="2"/>
        <v>1</v>
      </c>
      <c r="F21" s="54">
        <v>44165.0</v>
      </c>
      <c r="G21" s="45"/>
      <c r="H21" s="46">
        <v>1.0</v>
      </c>
      <c r="I21" s="47"/>
      <c r="J21" s="21" t="s">
        <v>42</v>
      </c>
      <c r="K21" s="39"/>
      <c r="L21" s="39"/>
      <c r="M21" s="39"/>
      <c r="N21" s="39"/>
      <c r="O21" s="39"/>
      <c r="P21" s="39"/>
      <c r="Q21" s="39"/>
    </row>
    <row r="22" outlineLevel="1">
      <c r="A22" s="11" t="s">
        <v>40</v>
      </c>
      <c r="B22" s="44" t="s">
        <v>43</v>
      </c>
      <c r="C22" s="13"/>
      <c r="D22" s="14"/>
      <c r="E22" s="13">
        <f t="shared" si="2"/>
        <v>1</v>
      </c>
      <c r="F22" s="54">
        <v>44175.0</v>
      </c>
      <c r="G22" s="45"/>
      <c r="H22" s="46">
        <v>30.34</v>
      </c>
      <c r="I22" s="47"/>
      <c r="J22" s="21" t="s">
        <v>44</v>
      </c>
      <c r="K22" s="39"/>
      <c r="L22" s="39"/>
      <c r="M22" s="39"/>
      <c r="N22" s="39"/>
      <c r="O22" s="39"/>
      <c r="P22" s="39"/>
      <c r="Q22" s="39"/>
    </row>
    <row r="23" outlineLevel="1">
      <c r="A23" s="11" t="s">
        <v>40</v>
      </c>
      <c r="B23" s="44" t="s">
        <v>45</v>
      </c>
      <c r="C23" s="13"/>
      <c r="D23" s="14"/>
      <c r="E23" s="13">
        <f t="shared" si="2"/>
        <v>1</v>
      </c>
      <c r="F23" s="54">
        <v>44176.0</v>
      </c>
      <c r="G23" s="45"/>
      <c r="H23" s="46">
        <v>204.48</v>
      </c>
      <c r="I23" s="47"/>
      <c r="J23" s="21" t="s">
        <v>46</v>
      </c>
      <c r="K23" s="39"/>
      <c r="L23" s="39"/>
      <c r="M23" s="39"/>
      <c r="N23" s="39"/>
      <c r="O23" s="39"/>
      <c r="P23" s="39"/>
      <c r="Q23" s="39"/>
    </row>
    <row r="24" outlineLevel="1">
      <c r="A24" s="11" t="s">
        <v>40</v>
      </c>
      <c r="B24" s="44" t="s">
        <v>43</v>
      </c>
      <c r="C24" s="13"/>
      <c r="D24" s="14"/>
      <c r="E24" s="13">
        <f t="shared" si="2"/>
        <v>1</v>
      </c>
      <c r="F24" s="54">
        <v>44179.0</v>
      </c>
      <c r="G24" s="45"/>
      <c r="H24" s="46">
        <v>-2.49</v>
      </c>
      <c r="I24" s="47"/>
      <c r="J24" s="21" t="s">
        <v>44</v>
      </c>
      <c r="K24" s="39"/>
      <c r="L24" s="39"/>
      <c r="M24" s="39"/>
      <c r="N24" s="39"/>
      <c r="O24" s="39"/>
      <c r="P24" s="39"/>
      <c r="Q24" s="39"/>
    </row>
    <row r="25" outlineLevel="1">
      <c r="A25" s="11" t="s">
        <v>40</v>
      </c>
      <c r="B25" s="44" t="s">
        <v>47</v>
      </c>
      <c r="C25" s="13"/>
      <c r="D25" s="14"/>
      <c r="E25" s="13">
        <f t="shared" si="2"/>
        <v>1</v>
      </c>
      <c r="F25" s="54">
        <v>44182.0</v>
      </c>
      <c r="G25" s="45"/>
      <c r="H25" s="46">
        <v>13.7</v>
      </c>
      <c r="I25" s="47"/>
      <c r="J25" s="21" t="s">
        <v>48</v>
      </c>
      <c r="K25" s="39"/>
      <c r="L25" s="39"/>
      <c r="M25" s="39"/>
      <c r="N25" s="39"/>
      <c r="O25" s="39"/>
      <c r="P25" s="39"/>
      <c r="Q25" s="39"/>
    </row>
    <row r="26" outlineLevel="1">
      <c r="A26" s="11" t="s">
        <v>40</v>
      </c>
      <c r="B26" s="44" t="s">
        <v>49</v>
      </c>
      <c r="C26" s="13"/>
      <c r="D26" s="14"/>
      <c r="E26" s="13">
        <f t="shared" si="2"/>
        <v>1</v>
      </c>
      <c r="F26" s="54">
        <v>44183.0</v>
      </c>
      <c r="G26" s="45"/>
      <c r="H26" s="46">
        <v>57.8</v>
      </c>
      <c r="I26" s="47"/>
      <c r="J26" s="44" t="s">
        <v>50</v>
      </c>
      <c r="K26" s="39"/>
      <c r="L26" s="39"/>
      <c r="M26" s="39"/>
      <c r="N26" s="39"/>
      <c r="O26" s="39"/>
      <c r="P26" s="39"/>
      <c r="Q26" s="39"/>
    </row>
    <row r="27" outlineLevel="1">
      <c r="A27" s="11" t="s">
        <v>40</v>
      </c>
      <c r="B27" s="44" t="s">
        <v>51</v>
      </c>
      <c r="C27" s="13"/>
      <c r="D27" s="14"/>
      <c r="E27" s="13">
        <f t="shared" si="2"/>
        <v>1</v>
      </c>
      <c r="F27" s="54">
        <v>44183.0</v>
      </c>
      <c r="G27" s="45"/>
      <c r="H27" s="46">
        <v>89.89</v>
      </c>
      <c r="I27" s="47"/>
      <c r="J27" s="21" t="s">
        <v>52</v>
      </c>
      <c r="K27" s="39"/>
      <c r="L27" s="39"/>
      <c r="M27" s="39"/>
      <c r="N27" s="39"/>
      <c r="O27" s="39"/>
      <c r="P27" s="39"/>
      <c r="Q27" s="39"/>
    </row>
    <row r="28" outlineLevel="1">
      <c r="A28" s="11" t="s">
        <v>40</v>
      </c>
      <c r="B28" s="44" t="s">
        <v>53</v>
      </c>
      <c r="C28" s="13"/>
      <c r="D28" s="14"/>
      <c r="E28" s="13">
        <f t="shared" si="2"/>
        <v>1</v>
      </c>
      <c r="F28" s="54">
        <v>44186.0</v>
      </c>
      <c r="G28" s="45"/>
      <c r="H28" s="46">
        <v>4.0</v>
      </c>
      <c r="I28" s="47"/>
      <c r="J28" s="21" t="s">
        <v>54</v>
      </c>
      <c r="K28" s="39"/>
      <c r="L28" s="39"/>
      <c r="M28" s="39"/>
      <c r="N28" s="39"/>
      <c r="O28" s="39"/>
      <c r="P28" s="39"/>
      <c r="Q28" s="39"/>
    </row>
    <row r="29" outlineLevel="1">
      <c r="A29" s="11" t="s">
        <v>40</v>
      </c>
      <c r="B29" s="44" t="s">
        <v>55</v>
      </c>
      <c r="C29" s="13"/>
      <c r="D29" s="14"/>
      <c r="E29" s="13">
        <f t="shared" si="2"/>
        <v>1</v>
      </c>
      <c r="F29" s="54">
        <v>44186.0</v>
      </c>
      <c r="G29" s="45"/>
      <c r="H29" s="46">
        <v>144.63</v>
      </c>
      <c r="I29" s="47"/>
      <c r="J29" s="21" t="s">
        <v>56</v>
      </c>
      <c r="K29" s="39"/>
      <c r="L29" s="39"/>
      <c r="M29" s="39"/>
      <c r="N29" s="39"/>
      <c r="O29" s="39"/>
      <c r="P29" s="39"/>
      <c r="Q29" s="39"/>
    </row>
    <row r="30" outlineLevel="1">
      <c r="A30" s="11" t="s">
        <v>40</v>
      </c>
      <c r="B30" s="44" t="s">
        <v>57</v>
      </c>
      <c r="C30" s="13"/>
      <c r="D30" s="14"/>
      <c r="E30" s="13">
        <f t="shared" si="2"/>
        <v>1</v>
      </c>
      <c r="F30" s="54">
        <v>44186.0</v>
      </c>
      <c r="G30" s="45"/>
      <c r="H30" s="46">
        <v>32.9</v>
      </c>
      <c r="I30" s="47"/>
      <c r="J30" s="21" t="s">
        <v>58</v>
      </c>
      <c r="K30" s="39"/>
      <c r="L30" s="39"/>
      <c r="M30" s="39"/>
      <c r="N30" s="39"/>
      <c r="O30" s="39"/>
      <c r="P30" s="39"/>
      <c r="Q30" s="39"/>
    </row>
    <row r="31" outlineLevel="1">
      <c r="A31" s="11"/>
      <c r="B31" s="44"/>
      <c r="C31" s="13"/>
      <c r="D31" s="14"/>
      <c r="E31" s="13">
        <f t="shared" si="2"/>
        <v>1</v>
      </c>
      <c r="F31" s="54"/>
      <c r="G31" s="45"/>
      <c r="H31" s="46"/>
      <c r="I31" s="47"/>
      <c r="J31" s="21"/>
      <c r="K31" s="39"/>
      <c r="L31" s="39"/>
      <c r="M31" s="39"/>
      <c r="N31" s="39"/>
      <c r="O31" s="39"/>
      <c r="P31" s="39"/>
      <c r="Q31" s="39"/>
    </row>
    <row r="32">
      <c r="A32" s="11" t="s">
        <v>5</v>
      </c>
      <c r="B32" s="55" t="s">
        <v>59</v>
      </c>
      <c r="C32" s="13">
        <v>8.0</v>
      </c>
      <c r="D32" s="14" t="str">
        <f t="shared" ref="D32:D54" si="3">UPPER(TEXT(WEEKDAY(DATEVALUE(CONCATENATE(C32,"/",$C$3,"/",$A$1))),"DDD"))</f>
        <v>SEX.</v>
      </c>
      <c r="E32" s="13">
        <f t="shared" si="2"/>
        <v>1</v>
      </c>
      <c r="F32" s="26"/>
      <c r="G32" s="56"/>
      <c r="H32" s="57">
        <v>539.99</v>
      </c>
      <c r="I32" s="58" t="s">
        <v>17</v>
      </c>
      <c r="J32" s="21" t="s">
        <v>60</v>
      </c>
      <c r="K32" s="59"/>
      <c r="L32" s="59"/>
      <c r="M32" s="59"/>
      <c r="N32" s="59"/>
      <c r="O32" s="59"/>
      <c r="P32" s="59"/>
      <c r="Q32" s="59"/>
    </row>
    <row r="33">
      <c r="A33" s="11" t="s">
        <v>5</v>
      </c>
      <c r="B33" s="39" t="s">
        <v>61</v>
      </c>
      <c r="C33" s="13">
        <v>8.0</v>
      </c>
      <c r="D33" s="14" t="str">
        <f t="shared" si="3"/>
        <v>SEX.</v>
      </c>
      <c r="E33" s="13">
        <f t="shared" si="2"/>
        <v>1</v>
      </c>
      <c r="F33" s="43"/>
      <c r="G33" s="45"/>
      <c r="H33" s="53">
        <v>134.99</v>
      </c>
      <c r="I33" s="58" t="s">
        <v>17</v>
      </c>
      <c r="J33" s="21" t="s">
        <v>62</v>
      </c>
      <c r="K33" s="39"/>
      <c r="L33" s="39"/>
      <c r="M33" s="39"/>
      <c r="N33" s="39"/>
      <c r="O33" s="39"/>
      <c r="P33" s="39"/>
      <c r="Q33" s="39"/>
    </row>
    <row r="34">
      <c r="A34" s="60" t="s">
        <v>25</v>
      </c>
      <c r="B34" s="61" t="s">
        <v>26</v>
      </c>
      <c r="C34" s="62">
        <v>8.0</v>
      </c>
      <c r="D34" s="25" t="str">
        <f t="shared" si="3"/>
        <v>SEX.</v>
      </c>
      <c r="E34" s="13">
        <f t="shared" si="2"/>
        <v>1</v>
      </c>
      <c r="F34" s="26"/>
      <c r="G34" s="26"/>
      <c r="H34" s="63">
        <v>1700.0</v>
      </c>
      <c r="I34" s="64" t="s">
        <v>17</v>
      </c>
      <c r="J34" s="40"/>
      <c r="K34" s="59"/>
      <c r="L34" s="59"/>
      <c r="M34" s="59"/>
      <c r="N34" s="59"/>
      <c r="O34" s="59"/>
      <c r="P34" s="59"/>
      <c r="Q34" s="59"/>
    </row>
    <row r="35">
      <c r="A35" s="65" t="s">
        <v>25</v>
      </c>
      <c r="B35" s="39" t="s">
        <v>27</v>
      </c>
      <c r="C35" s="66">
        <v>8.0</v>
      </c>
      <c r="D35" s="14" t="str">
        <f t="shared" si="3"/>
        <v>SEX.</v>
      </c>
      <c r="E35" s="13">
        <f t="shared" si="2"/>
        <v>1</v>
      </c>
      <c r="F35" s="43"/>
      <c r="G35" s="46">
        <v>1700.0</v>
      </c>
      <c r="H35" s="43"/>
      <c r="I35" s="67" t="s">
        <v>13</v>
      </c>
      <c r="J35" s="42"/>
      <c r="K35" s="68"/>
      <c r="L35" s="68"/>
      <c r="M35" s="68"/>
      <c r="N35" s="68"/>
      <c r="O35" s="68"/>
      <c r="P35" s="68"/>
      <c r="Q35" s="68"/>
    </row>
    <row r="36">
      <c r="A36" s="11" t="s">
        <v>5</v>
      </c>
      <c r="B36" s="69" t="s">
        <v>63</v>
      </c>
      <c r="C36" s="13">
        <v>8.0</v>
      </c>
      <c r="D36" s="14" t="str">
        <f t="shared" si="3"/>
        <v>SEX.</v>
      </c>
      <c r="E36" s="13">
        <f t="shared" si="2"/>
        <v>1</v>
      </c>
      <c r="F36" s="54"/>
      <c r="G36" s="36">
        <v>12000.0</v>
      </c>
      <c r="H36" s="70"/>
      <c r="I36" s="47" t="s">
        <v>16</v>
      </c>
      <c r="J36" s="21" t="s">
        <v>64</v>
      </c>
      <c r="K36" s="70"/>
      <c r="L36" s="70"/>
      <c r="M36" s="70"/>
      <c r="N36" s="70"/>
      <c r="O36" s="70"/>
      <c r="P36" s="70"/>
      <c r="Q36" s="70"/>
    </row>
    <row r="37">
      <c r="A37" s="71" t="s">
        <v>25</v>
      </c>
      <c r="B37" s="72" t="s">
        <v>26</v>
      </c>
      <c r="C37" s="73">
        <v>8.0</v>
      </c>
      <c r="D37" s="74" t="str">
        <f t="shared" si="3"/>
        <v>SEX.</v>
      </c>
      <c r="E37" s="13">
        <f t="shared" si="2"/>
        <v>1</v>
      </c>
      <c r="F37" s="30"/>
      <c r="G37" s="32"/>
      <c r="H37" s="32">
        <v>4200.0</v>
      </c>
      <c r="I37" s="75" t="s">
        <v>16</v>
      </c>
      <c r="J37" s="76"/>
      <c r="K37" s="77"/>
      <c r="L37" s="77"/>
      <c r="M37" s="77"/>
      <c r="N37" s="77"/>
      <c r="O37" s="77"/>
      <c r="P37" s="77"/>
      <c r="Q37" s="77"/>
    </row>
    <row r="38">
      <c r="A38" s="78" t="s">
        <v>25</v>
      </c>
      <c r="B38" s="79" t="s">
        <v>27</v>
      </c>
      <c r="C38" s="80">
        <v>8.0</v>
      </c>
      <c r="D38" s="81" t="str">
        <f t="shared" si="3"/>
        <v>SEX.</v>
      </c>
      <c r="E38" s="13">
        <f t="shared" si="2"/>
        <v>1</v>
      </c>
      <c r="F38" s="35"/>
      <c r="G38" s="36">
        <v>4200.0</v>
      </c>
      <c r="H38" s="36"/>
      <c r="I38" s="82" t="s">
        <v>17</v>
      </c>
      <c r="J38" s="83"/>
      <c r="K38" s="84"/>
      <c r="L38" s="84"/>
      <c r="M38" s="84"/>
      <c r="N38" s="84"/>
      <c r="O38" s="84"/>
      <c r="P38" s="84"/>
      <c r="Q38" s="84"/>
    </row>
    <row r="39">
      <c r="A39" s="11" t="s">
        <v>5</v>
      </c>
      <c r="B39" s="44" t="s">
        <v>65</v>
      </c>
      <c r="C39" s="13">
        <v>8.0</v>
      </c>
      <c r="D39" s="14" t="str">
        <f t="shared" si="3"/>
        <v>SEX.</v>
      </c>
      <c r="E39" s="13">
        <f t="shared" si="2"/>
        <v>1</v>
      </c>
      <c r="F39" s="43"/>
      <c r="G39" s="46"/>
      <c r="H39" s="46">
        <v>4200.0</v>
      </c>
      <c r="I39" s="47" t="s">
        <v>17</v>
      </c>
      <c r="J39" s="21" t="s">
        <v>38</v>
      </c>
      <c r="K39" s="39"/>
      <c r="L39" s="39"/>
      <c r="M39" s="39"/>
      <c r="N39" s="39"/>
      <c r="O39" s="39"/>
      <c r="P39" s="39"/>
      <c r="Q39" s="39"/>
    </row>
    <row r="40">
      <c r="A40" s="11" t="s">
        <v>5</v>
      </c>
      <c r="B40" s="34" t="s">
        <v>66</v>
      </c>
      <c r="C40" s="13">
        <v>8.0</v>
      </c>
      <c r="D40" s="14" t="str">
        <f t="shared" si="3"/>
        <v>SEX.</v>
      </c>
      <c r="E40" s="13">
        <f t="shared" si="2"/>
        <v>1</v>
      </c>
      <c r="F40" s="26"/>
      <c r="G40" s="56"/>
      <c r="H40" s="63">
        <v>1196.0</v>
      </c>
      <c r="I40" s="58" t="s">
        <v>16</v>
      </c>
      <c r="J40" s="21" t="s">
        <v>67</v>
      </c>
      <c r="K40" s="59"/>
      <c r="L40" s="59"/>
      <c r="M40" s="59"/>
      <c r="N40" s="59"/>
      <c r="O40" s="59"/>
      <c r="P40" s="59"/>
      <c r="Q40" s="59"/>
    </row>
    <row r="41">
      <c r="A41" s="11" t="s">
        <v>5</v>
      </c>
      <c r="B41" s="34" t="s">
        <v>68</v>
      </c>
      <c r="C41" s="13">
        <v>8.0</v>
      </c>
      <c r="D41" s="14" t="str">
        <f t="shared" si="3"/>
        <v>SEX.</v>
      </c>
      <c r="E41" s="13">
        <f t="shared" si="2"/>
        <v>1</v>
      </c>
      <c r="F41" s="26"/>
      <c r="G41" s="56"/>
      <c r="H41" s="63">
        <v>20.9</v>
      </c>
      <c r="I41" s="58" t="s">
        <v>16</v>
      </c>
      <c r="J41" s="21" t="s">
        <v>69</v>
      </c>
      <c r="K41" s="59"/>
      <c r="L41" s="59"/>
      <c r="M41" s="59"/>
      <c r="N41" s="59"/>
      <c r="O41" s="59"/>
      <c r="P41" s="59"/>
      <c r="Q41" s="59"/>
    </row>
    <row r="42">
      <c r="A42" s="11" t="s">
        <v>5</v>
      </c>
      <c r="B42" s="34" t="s">
        <v>70</v>
      </c>
      <c r="C42" s="13">
        <v>8.0</v>
      </c>
      <c r="D42" s="14" t="str">
        <f t="shared" si="3"/>
        <v>SEX.</v>
      </c>
      <c r="E42" s="13">
        <f t="shared" si="2"/>
        <v>1</v>
      </c>
      <c r="F42" s="26"/>
      <c r="G42" s="56"/>
      <c r="H42" s="63">
        <v>28.54</v>
      </c>
      <c r="I42" s="58" t="s">
        <v>16</v>
      </c>
      <c r="J42" s="21" t="s">
        <v>22</v>
      </c>
      <c r="K42" s="59"/>
      <c r="L42" s="59"/>
      <c r="M42" s="59"/>
      <c r="N42" s="59"/>
      <c r="O42" s="59"/>
      <c r="P42" s="59"/>
      <c r="Q42" s="59"/>
    </row>
    <row r="43">
      <c r="A43" s="11" t="s">
        <v>5</v>
      </c>
      <c r="B43" s="44" t="s">
        <v>71</v>
      </c>
      <c r="C43" s="13">
        <v>8.0</v>
      </c>
      <c r="D43" s="14" t="str">
        <f t="shared" si="3"/>
        <v>SEX.</v>
      </c>
      <c r="E43" s="13">
        <f t="shared" si="2"/>
        <v>1</v>
      </c>
      <c r="F43" s="85"/>
      <c r="G43" s="45"/>
      <c r="H43" s="46">
        <v>70.0</v>
      </c>
      <c r="I43" s="58" t="s">
        <v>16</v>
      </c>
      <c r="J43" s="21" t="s">
        <v>72</v>
      </c>
      <c r="K43" s="39"/>
      <c r="L43" s="39"/>
      <c r="M43" s="39"/>
      <c r="N43" s="39"/>
      <c r="O43" s="39"/>
      <c r="P43" s="39"/>
      <c r="Q43" s="39"/>
    </row>
    <row r="44">
      <c r="A44" s="11" t="s">
        <v>5</v>
      </c>
      <c r="B44" s="44" t="s">
        <v>73</v>
      </c>
      <c r="C44" s="13">
        <v>9.0</v>
      </c>
      <c r="D44" s="14" t="str">
        <f t="shared" si="3"/>
        <v>SÁB.</v>
      </c>
      <c r="E44" s="13">
        <f t="shared" si="2"/>
        <v>1</v>
      </c>
      <c r="F44" s="85"/>
      <c r="G44" s="45"/>
      <c r="H44" s="46">
        <v>36.75</v>
      </c>
      <c r="I44" s="58" t="s">
        <v>13</v>
      </c>
      <c r="J44" s="21" t="s">
        <v>20</v>
      </c>
      <c r="K44" s="39"/>
      <c r="L44" s="39"/>
      <c r="M44" s="39"/>
      <c r="N44" s="39"/>
      <c r="O44" s="39"/>
      <c r="P44" s="39"/>
      <c r="Q44" s="39"/>
    </row>
    <row r="45">
      <c r="A45" s="71" t="s">
        <v>25</v>
      </c>
      <c r="B45" s="72" t="s">
        <v>26</v>
      </c>
      <c r="C45" s="73">
        <v>9.0</v>
      </c>
      <c r="D45" s="74" t="str">
        <f t="shared" si="3"/>
        <v>SÁB.</v>
      </c>
      <c r="E45" s="13">
        <f t="shared" si="2"/>
        <v>1</v>
      </c>
      <c r="F45" s="30"/>
      <c r="G45" s="32"/>
      <c r="H45" s="32">
        <v>300.0</v>
      </c>
      <c r="I45" s="75" t="s">
        <v>16</v>
      </c>
      <c r="J45" s="76"/>
      <c r="K45" s="77"/>
      <c r="L45" s="77"/>
      <c r="M45" s="77"/>
      <c r="N45" s="77"/>
      <c r="O45" s="77"/>
      <c r="P45" s="77"/>
      <c r="Q45" s="77"/>
    </row>
    <row r="46">
      <c r="A46" s="78" t="s">
        <v>25</v>
      </c>
      <c r="B46" s="79" t="s">
        <v>27</v>
      </c>
      <c r="C46" s="80">
        <v>9.0</v>
      </c>
      <c r="D46" s="81" t="str">
        <f t="shared" si="3"/>
        <v>SÁB.</v>
      </c>
      <c r="E46" s="13">
        <f t="shared" si="2"/>
        <v>1</v>
      </c>
      <c r="F46" s="35"/>
      <c r="G46" s="36">
        <v>300.0</v>
      </c>
      <c r="H46" s="36"/>
      <c r="I46" s="82" t="s">
        <v>13</v>
      </c>
      <c r="J46" s="83"/>
      <c r="K46" s="84"/>
      <c r="L46" s="84"/>
      <c r="M46" s="84"/>
      <c r="N46" s="84"/>
      <c r="O46" s="84"/>
      <c r="P46" s="84"/>
      <c r="Q46" s="84"/>
    </row>
    <row r="47">
      <c r="A47" s="11" t="s">
        <v>5</v>
      </c>
      <c r="B47" s="44" t="s">
        <v>74</v>
      </c>
      <c r="C47" s="13">
        <v>10.0</v>
      </c>
      <c r="D47" s="14" t="str">
        <f t="shared" si="3"/>
        <v>DOM.</v>
      </c>
      <c r="E47" s="13">
        <f t="shared" si="2"/>
        <v>1</v>
      </c>
      <c r="F47" s="85"/>
      <c r="G47" s="45"/>
      <c r="H47" s="46">
        <v>102.0</v>
      </c>
      <c r="I47" s="58" t="s">
        <v>16</v>
      </c>
      <c r="J47" s="21" t="s">
        <v>75</v>
      </c>
      <c r="K47" s="39"/>
      <c r="L47" s="39"/>
      <c r="M47" s="39"/>
      <c r="N47" s="39"/>
      <c r="O47" s="39"/>
      <c r="P47" s="39"/>
      <c r="Q47" s="39"/>
    </row>
    <row r="48">
      <c r="A48" s="23" t="s">
        <v>5</v>
      </c>
      <c r="B48" s="24" t="s">
        <v>76</v>
      </c>
      <c r="C48" s="13">
        <v>10.0</v>
      </c>
      <c r="D48" s="14" t="str">
        <f t="shared" si="3"/>
        <v>DOM.</v>
      </c>
      <c r="E48" s="13">
        <f t="shared" si="2"/>
        <v>1</v>
      </c>
      <c r="F48" s="25"/>
      <c r="G48" s="26"/>
      <c r="H48" s="86">
        <v>60.4</v>
      </c>
      <c r="I48" s="18" t="s">
        <v>17</v>
      </c>
      <c r="J48" s="21" t="s">
        <v>20</v>
      </c>
      <c r="K48" s="28"/>
      <c r="L48" s="28"/>
      <c r="M48" s="28"/>
      <c r="N48" s="28"/>
      <c r="O48" s="28"/>
      <c r="P48" s="28"/>
      <c r="Q48" s="28"/>
    </row>
    <row r="49">
      <c r="A49" s="11" t="s">
        <v>5</v>
      </c>
      <c r="B49" s="44" t="s">
        <v>77</v>
      </c>
      <c r="C49" s="13">
        <v>11.0</v>
      </c>
      <c r="D49" s="14" t="str">
        <f t="shared" si="3"/>
        <v>SEG.</v>
      </c>
      <c r="E49" s="13">
        <f t="shared" si="2"/>
        <v>1</v>
      </c>
      <c r="F49" s="43"/>
      <c r="G49" s="46"/>
      <c r="H49" s="46">
        <v>10.0</v>
      </c>
      <c r="I49" s="47" t="s">
        <v>16</v>
      </c>
      <c r="J49" s="44" t="s">
        <v>29</v>
      </c>
      <c r="K49" s="39"/>
      <c r="L49" s="39"/>
      <c r="M49" s="39"/>
      <c r="N49" s="39"/>
      <c r="O49" s="39"/>
      <c r="P49" s="39"/>
      <c r="Q49" s="39"/>
    </row>
    <row r="50">
      <c r="A50" s="11" t="s">
        <v>5</v>
      </c>
      <c r="B50" s="44" t="s">
        <v>78</v>
      </c>
      <c r="C50" s="13">
        <v>11.0</v>
      </c>
      <c r="D50" s="14" t="str">
        <f t="shared" si="3"/>
        <v>SEG.</v>
      </c>
      <c r="E50" s="13">
        <f t="shared" si="2"/>
        <v>1</v>
      </c>
      <c r="F50" s="43"/>
      <c r="G50" s="46"/>
      <c r="H50" s="46">
        <v>47.0</v>
      </c>
      <c r="I50" s="47" t="s">
        <v>16</v>
      </c>
      <c r="J50" s="44" t="s">
        <v>79</v>
      </c>
      <c r="K50" s="39"/>
      <c r="L50" s="39"/>
      <c r="M50" s="39"/>
      <c r="N50" s="39"/>
      <c r="O50" s="39"/>
      <c r="P50" s="39"/>
      <c r="Q50" s="39"/>
    </row>
    <row r="51">
      <c r="A51" s="11" t="s">
        <v>5</v>
      </c>
      <c r="B51" s="44" t="s">
        <v>21</v>
      </c>
      <c r="C51" s="13">
        <v>11.0</v>
      </c>
      <c r="D51" s="14" t="str">
        <f t="shared" si="3"/>
        <v>SEG.</v>
      </c>
      <c r="E51" s="13">
        <f t="shared" si="2"/>
        <v>1</v>
      </c>
      <c r="F51" s="43"/>
      <c r="G51" s="46"/>
      <c r="H51" s="46">
        <v>45.47</v>
      </c>
      <c r="I51" s="47" t="s">
        <v>16</v>
      </c>
      <c r="J51" s="21" t="s">
        <v>22</v>
      </c>
      <c r="K51" s="39"/>
      <c r="L51" s="39"/>
      <c r="M51" s="39"/>
      <c r="N51" s="39"/>
      <c r="O51" s="39"/>
      <c r="P51" s="39"/>
      <c r="Q51" s="39"/>
    </row>
    <row r="52">
      <c r="A52" s="11" t="s">
        <v>5</v>
      </c>
      <c r="B52" s="34" t="s">
        <v>80</v>
      </c>
      <c r="C52" s="13">
        <v>11.0</v>
      </c>
      <c r="D52" s="14" t="str">
        <f t="shared" si="3"/>
        <v>SEG.</v>
      </c>
      <c r="E52" s="13">
        <f t="shared" si="2"/>
        <v>1</v>
      </c>
      <c r="F52" s="26"/>
      <c r="G52" s="56"/>
      <c r="H52" s="63">
        <v>16.9</v>
      </c>
      <c r="I52" s="58" t="s">
        <v>16</v>
      </c>
      <c r="J52" s="21" t="s">
        <v>81</v>
      </c>
      <c r="K52" s="59"/>
      <c r="L52" s="59"/>
      <c r="M52" s="59"/>
      <c r="N52" s="59"/>
      <c r="O52" s="59"/>
      <c r="P52" s="59"/>
      <c r="Q52" s="59"/>
    </row>
    <row r="53">
      <c r="A53" s="11" t="s">
        <v>5</v>
      </c>
      <c r="B53" s="44" t="s">
        <v>82</v>
      </c>
      <c r="C53" s="13">
        <v>11.0</v>
      </c>
      <c r="D53" s="14" t="str">
        <f t="shared" si="3"/>
        <v>SEG.</v>
      </c>
      <c r="E53" s="13">
        <f t="shared" si="2"/>
        <v>1</v>
      </c>
      <c r="F53" s="87">
        <v>44143.0</v>
      </c>
      <c r="G53" s="45"/>
      <c r="H53" s="46">
        <v>789.51</v>
      </c>
      <c r="I53" s="58" t="s">
        <v>16</v>
      </c>
      <c r="J53" s="21" t="s">
        <v>83</v>
      </c>
      <c r="K53" s="39"/>
      <c r="L53" s="39"/>
      <c r="M53" s="39"/>
      <c r="N53" s="39"/>
      <c r="O53" s="39"/>
      <c r="P53" s="39"/>
      <c r="Q53" s="39"/>
    </row>
    <row r="54">
      <c r="A54" s="11" t="s">
        <v>5</v>
      </c>
      <c r="B54" s="39" t="s">
        <v>84</v>
      </c>
      <c r="C54" s="13">
        <v>11.0</v>
      </c>
      <c r="D54" s="14" t="str">
        <f t="shared" si="3"/>
        <v>SEG.</v>
      </c>
      <c r="E54" s="13">
        <f t="shared" si="2"/>
        <v>1</v>
      </c>
      <c r="F54" s="87">
        <v>44143.0</v>
      </c>
      <c r="G54" s="45"/>
      <c r="H54" s="53">
        <f>SUM(H55:H58)</f>
        <v>99.8</v>
      </c>
      <c r="I54" s="58" t="s">
        <v>17</v>
      </c>
      <c r="J54" s="21"/>
      <c r="K54" s="39"/>
      <c r="L54" s="39"/>
      <c r="M54" s="39"/>
      <c r="N54" s="39"/>
      <c r="O54" s="39"/>
      <c r="P54" s="39"/>
      <c r="Q54" s="39"/>
    </row>
    <row r="55" outlineLevel="1">
      <c r="A55" s="11" t="s">
        <v>40</v>
      </c>
      <c r="B55" s="44" t="s">
        <v>85</v>
      </c>
      <c r="C55" s="13"/>
      <c r="D55" s="14"/>
      <c r="E55" s="13">
        <f t="shared" si="2"/>
        <v>1</v>
      </c>
      <c r="F55" s="54">
        <v>44178.0</v>
      </c>
      <c r="G55" s="45"/>
      <c r="H55" s="46">
        <v>74.9</v>
      </c>
      <c r="I55" s="58"/>
      <c r="J55" s="21" t="s">
        <v>86</v>
      </c>
      <c r="K55" s="39"/>
      <c r="L55" s="39"/>
      <c r="M55" s="39"/>
      <c r="N55" s="39"/>
      <c r="O55" s="39"/>
      <c r="P55" s="39"/>
      <c r="Q55" s="39"/>
    </row>
    <row r="56" outlineLevel="1">
      <c r="A56" s="11" t="s">
        <v>40</v>
      </c>
      <c r="B56" s="44" t="s">
        <v>87</v>
      </c>
      <c r="C56" s="13"/>
      <c r="D56" s="14"/>
      <c r="E56" s="13">
        <f t="shared" si="2"/>
        <v>1</v>
      </c>
      <c r="F56" s="54">
        <v>44178.0</v>
      </c>
      <c r="G56" s="45"/>
      <c r="H56" s="46">
        <v>9.9</v>
      </c>
      <c r="I56" s="58"/>
      <c r="J56" s="21" t="s">
        <v>88</v>
      </c>
      <c r="K56" s="39"/>
      <c r="L56" s="39"/>
      <c r="M56" s="39"/>
      <c r="N56" s="39"/>
      <c r="O56" s="39"/>
      <c r="P56" s="39"/>
      <c r="Q56" s="39"/>
    </row>
    <row r="57" outlineLevel="1">
      <c r="A57" s="11" t="s">
        <v>40</v>
      </c>
      <c r="B57" s="44" t="s">
        <v>89</v>
      </c>
      <c r="C57" s="13"/>
      <c r="D57" s="14"/>
      <c r="E57" s="13">
        <f t="shared" si="2"/>
        <v>1</v>
      </c>
      <c r="F57" s="54">
        <v>44187.0</v>
      </c>
      <c r="G57" s="45"/>
      <c r="H57" s="46">
        <v>15.0</v>
      </c>
      <c r="I57" s="58"/>
      <c r="J57" s="21" t="s">
        <v>90</v>
      </c>
      <c r="K57" s="39"/>
      <c r="L57" s="39"/>
      <c r="M57" s="39"/>
      <c r="N57" s="39"/>
      <c r="O57" s="39"/>
      <c r="P57" s="39"/>
      <c r="Q57" s="39"/>
    </row>
    <row r="58" outlineLevel="1">
      <c r="A58" s="11"/>
      <c r="B58" s="44"/>
      <c r="C58" s="13"/>
      <c r="D58" s="14"/>
      <c r="E58" s="13">
        <f t="shared" si="2"/>
        <v>1</v>
      </c>
      <c r="F58" s="54"/>
      <c r="G58" s="45"/>
      <c r="H58" s="46"/>
      <c r="I58" s="58"/>
      <c r="J58" s="21"/>
      <c r="K58" s="39"/>
      <c r="L58" s="39"/>
      <c r="M58" s="39"/>
      <c r="N58" s="39"/>
      <c r="O58" s="39"/>
      <c r="P58" s="39"/>
      <c r="Q58" s="39"/>
    </row>
    <row r="59">
      <c r="A59" s="11" t="s">
        <v>5</v>
      </c>
      <c r="B59" s="55" t="s">
        <v>91</v>
      </c>
      <c r="C59" s="13">
        <v>13.0</v>
      </c>
      <c r="D59" s="14" t="str">
        <f t="shared" ref="D59:D97" si="4">UPPER(TEXT(WEEKDAY(DATEVALUE(CONCATENATE(C59,"/",$C$3,"/",$A$1))),"DDD"))</f>
        <v>QUA.</v>
      </c>
      <c r="E59" s="13">
        <f t="shared" si="2"/>
        <v>1</v>
      </c>
      <c r="F59" s="26"/>
      <c r="G59" s="56"/>
      <c r="H59" s="88">
        <v>561.29</v>
      </c>
      <c r="I59" s="58" t="s">
        <v>16</v>
      </c>
      <c r="J59" s="21" t="s">
        <v>92</v>
      </c>
      <c r="K59" s="55"/>
      <c r="L59" s="55"/>
      <c r="M59" s="55"/>
      <c r="N59" s="55"/>
      <c r="O59" s="55"/>
      <c r="P59" s="55"/>
      <c r="Q59" s="55"/>
    </row>
    <row r="60">
      <c r="A60" s="89" t="s">
        <v>5</v>
      </c>
      <c r="B60" s="90" t="s">
        <v>93</v>
      </c>
      <c r="C60" s="13">
        <v>13.0</v>
      </c>
      <c r="D60" s="14" t="str">
        <f t="shared" si="4"/>
        <v>QUA.</v>
      </c>
      <c r="E60" s="13">
        <f t="shared" si="2"/>
        <v>1</v>
      </c>
      <c r="F60" s="91">
        <v>44143.0</v>
      </c>
      <c r="G60" s="92"/>
      <c r="H60" s="88">
        <v>1346.09</v>
      </c>
      <c r="I60" s="18" t="s">
        <v>13</v>
      </c>
      <c r="J60" s="21" t="s">
        <v>94</v>
      </c>
      <c r="K60" s="93"/>
      <c r="L60" s="93"/>
      <c r="M60" s="93"/>
      <c r="N60" s="93"/>
      <c r="O60" s="93"/>
      <c r="P60" s="93"/>
      <c r="Q60" s="93"/>
    </row>
    <row r="61">
      <c r="A61" s="11" t="s">
        <v>5</v>
      </c>
      <c r="B61" s="44" t="s">
        <v>95</v>
      </c>
      <c r="C61" s="13">
        <v>14.0</v>
      </c>
      <c r="D61" s="14" t="str">
        <f t="shared" si="4"/>
        <v>QUI.</v>
      </c>
      <c r="E61" s="13">
        <f t="shared" si="2"/>
        <v>1</v>
      </c>
      <c r="F61" s="94"/>
      <c r="G61" s="88">
        <v>3496.4</v>
      </c>
      <c r="H61" s="46"/>
      <c r="I61" s="58" t="s">
        <v>13</v>
      </c>
      <c r="J61" s="21" t="s">
        <v>96</v>
      </c>
      <c r="K61" s="39"/>
      <c r="L61" s="39"/>
      <c r="M61" s="39"/>
      <c r="N61" s="39"/>
      <c r="O61" s="39"/>
      <c r="P61" s="39"/>
      <c r="Q61" s="39"/>
    </row>
    <row r="62">
      <c r="A62" s="11" t="s">
        <v>5</v>
      </c>
      <c r="B62" s="44" t="s">
        <v>97</v>
      </c>
      <c r="C62" s="13">
        <v>14.0</v>
      </c>
      <c r="D62" s="14" t="str">
        <f t="shared" si="4"/>
        <v>QUI.</v>
      </c>
      <c r="E62" s="13">
        <f t="shared" si="2"/>
        <v>1</v>
      </c>
      <c r="F62" s="94"/>
      <c r="G62" s="45"/>
      <c r="H62" s="46">
        <v>2977.35</v>
      </c>
      <c r="I62" s="58" t="s">
        <v>13</v>
      </c>
      <c r="J62" s="21" t="s">
        <v>98</v>
      </c>
      <c r="K62" s="39"/>
      <c r="L62" s="39"/>
      <c r="M62" s="39"/>
      <c r="N62" s="39"/>
      <c r="O62" s="39"/>
      <c r="P62" s="39"/>
      <c r="Q62" s="39"/>
    </row>
    <row r="63">
      <c r="A63" s="11" t="s">
        <v>5</v>
      </c>
      <c r="B63" s="44" t="s">
        <v>99</v>
      </c>
      <c r="C63" s="13">
        <v>14.0</v>
      </c>
      <c r="D63" s="14" t="str">
        <f t="shared" si="4"/>
        <v>QUI.</v>
      </c>
      <c r="E63" s="13">
        <f t="shared" si="2"/>
        <v>1</v>
      </c>
      <c r="F63" s="94"/>
      <c r="G63" s="45"/>
      <c r="H63" s="46">
        <v>558.65</v>
      </c>
      <c r="I63" s="58" t="s">
        <v>13</v>
      </c>
      <c r="J63" s="21" t="s">
        <v>98</v>
      </c>
      <c r="K63" s="39"/>
      <c r="L63" s="39"/>
      <c r="M63" s="39"/>
      <c r="N63" s="39"/>
      <c r="O63" s="39"/>
      <c r="P63" s="39"/>
      <c r="Q63" s="39"/>
    </row>
    <row r="64">
      <c r="A64" s="11" t="s">
        <v>5</v>
      </c>
      <c r="B64" s="44" t="s">
        <v>100</v>
      </c>
      <c r="C64" s="13">
        <v>14.0</v>
      </c>
      <c r="D64" s="14" t="str">
        <f t="shared" si="4"/>
        <v>QUI.</v>
      </c>
      <c r="E64" s="13">
        <f t="shared" si="2"/>
        <v>1</v>
      </c>
      <c r="F64" s="94"/>
      <c r="G64" s="45"/>
      <c r="H64" s="46">
        <v>600.0</v>
      </c>
      <c r="I64" s="58" t="s">
        <v>17</v>
      </c>
      <c r="J64" s="38" t="s">
        <v>101</v>
      </c>
      <c r="K64" s="39"/>
      <c r="L64" s="39"/>
      <c r="M64" s="39"/>
      <c r="N64" s="39"/>
      <c r="O64" s="39"/>
      <c r="P64" s="39"/>
      <c r="Q64" s="39"/>
    </row>
    <row r="65">
      <c r="A65" s="11" t="s">
        <v>5</v>
      </c>
      <c r="B65" s="39" t="s">
        <v>102</v>
      </c>
      <c r="C65" s="13">
        <v>15.0</v>
      </c>
      <c r="D65" s="14" t="str">
        <f t="shared" si="4"/>
        <v>SEX.</v>
      </c>
      <c r="E65" s="13">
        <f t="shared" si="2"/>
        <v>1</v>
      </c>
      <c r="F65" s="94"/>
      <c r="G65" s="45"/>
      <c r="H65" s="46">
        <v>208.7</v>
      </c>
      <c r="I65" s="58" t="s">
        <v>16</v>
      </c>
      <c r="J65" s="21" t="s">
        <v>75</v>
      </c>
      <c r="K65" s="39"/>
      <c r="L65" s="39"/>
      <c r="M65" s="39"/>
      <c r="N65" s="39"/>
      <c r="O65" s="39"/>
      <c r="P65" s="39"/>
      <c r="Q65" s="39"/>
    </row>
    <row r="66">
      <c r="A66" s="11" t="s">
        <v>5</v>
      </c>
      <c r="B66" s="61" t="s">
        <v>103</v>
      </c>
      <c r="C66" s="13">
        <v>15.0</v>
      </c>
      <c r="D66" s="14" t="str">
        <f t="shared" si="4"/>
        <v>SEX.</v>
      </c>
      <c r="E66" s="13">
        <f t="shared" si="2"/>
        <v>1</v>
      </c>
      <c r="F66" s="94"/>
      <c r="G66" s="56"/>
      <c r="H66" s="63">
        <v>208.7</v>
      </c>
      <c r="I66" s="58" t="s">
        <v>16</v>
      </c>
      <c r="J66" s="21" t="s">
        <v>75</v>
      </c>
      <c r="K66" s="61"/>
      <c r="L66" s="61"/>
      <c r="M66" s="61"/>
      <c r="N66" s="61"/>
      <c r="O66" s="61"/>
      <c r="P66" s="61"/>
      <c r="Q66" s="61"/>
    </row>
    <row r="67">
      <c r="A67" s="11" t="s">
        <v>5</v>
      </c>
      <c r="B67" s="39" t="s">
        <v>104</v>
      </c>
      <c r="C67" s="13">
        <v>15.0</v>
      </c>
      <c r="D67" s="14" t="str">
        <f t="shared" si="4"/>
        <v>SEX.</v>
      </c>
      <c r="E67" s="13">
        <f t="shared" si="2"/>
        <v>1</v>
      </c>
      <c r="F67" s="94"/>
      <c r="G67" s="45"/>
      <c r="H67" s="46">
        <v>263.88</v>
      </c>
      <c r="I67" s="58" t="s">
        <v>16</v>
      </c>
      <c r="J67" s="21" t="s">
        <v>75</v>
      </c>
      <c r="K67" s="39"/>
      <c r="L67" s="39"/>
      <c r="M67" s="39"/>
      <c r="N67" s="39"/>
      <c r="O67" s="39"/>
      <c r="P67" s="39"/>
      <c r="Q67" s="39"/>
    </row>
    <row r="68">
      <c r="A68" s="11" t="s">
        <v>5</v>
      </c>
      <c r="B68" s="48" t="s">
        <v>30</v>
      </c>
      <c r="C68" s="13">
        <v>16.0</v>
      </c>
      <c r="D68" s="14" t="str">
        <f t="shared" si="4"/>
        <v>SÁB.</v>
      </c>
      <c r="E68" s="13">
        <f t="shared" si="2"/>
        <v>1</v>
      </c>
      <c r="F68" s="49"/>
      <c r="G68" s="50"/>
      <c r="H68" s="51">
        <v>176.63</v>
      </c>
      <c r="I68" s="18" t="s">
        <v>16</v>
      </c>
      <c r="J68" s="21" t="s">
        <v>31</v>
      </c>
      <c r="K68" s="52"/>
      <c r="L68" s="52"/>
      <c r="M68" s="52"/>
      <c r="N68" s="52"/>
      <c r="O68" s="52"/>
      <c r="P68" s="52"/>
      <c r="Q68" s="52"/>
    </row>
    <row r="69">
      <c r="A69" s="11" t="s">
        <v>5</v>
      </c>
      <c r="B69" s="48" t="s">
        <v>105</v>
      </c>
      <c r="C69" s="13">
        <v>16.0</v>
      </c>
      <c r="D69" s="14" t="str">
        <f t="shared" si="4"/>
        <v>SÁB.</v>
      </c>
      <c r="E69" s="13">
        <f t="shared" si="2"/>
        <v>1</v>
      </c>
      <c r="F69" s="49"/>
      <c r="G69" s="50"/>
      <c r="H69" s="51">
        <v>350.74</v>
      </c>
      <c r="I69" s="18" t="s">
        <v>16</v>
      </c>
      <c r="J69" s="21" t="s">
        <v>106</v>
      </c>
      <c r="K69" s="52"/>
      <c r="L69" s="52"/>
      <c r="M69" s="52"/>
      <c r="N69" s="52"/>
      <c r="O69" s="52"/>
      <c r="P69" s="52"/>
      <c r="Q69" s="52"/>
    </row>
    <row r="70">
      <c r="A70" s="23" t="s">
        <v>5</v>
      </c>
      <c r="B70" s="24" t="s">
        <v>76</v>
      </c>
      <c r="C70" s="13">
        <v>17.0</v>
      </c>
      <c r="D70" s="14" t="str">
        <f t="shared" si="4"/>
        <v>DOM.</v>
      </c>
      <c r="E70" s="13">
        <f t="shared" si="2"/>
        <v>1</v>
      </c>
      <c r="F70" s="25"/>
      <c r="G70" s="26"/>
      <c r="H70" s="86">
        <v>57.4</v>
      </c>
      <c r="I70" s="18" t="s">
        <v>16</v>
      </c>
      <c r="J70" s="21" t="s">
        <v>20</v>
      </c>
      <c r="K70" s="28"/>
      <c r="L70" s="28"/>
      <c r="M70" s="28"/>
      <c r="N70" s="28"/>
      <c r="O70" s="28"/>
      <c r="P70" s="28"/>
      <c r="Q70" s="28"/>
    </row>
    <row r="71">
      <c r="A71" s="11" t="s">
        <v>5</v>
      </c>
      <c r="B71" s="44" t="s">
        <v>107</v>
      </c>
      <c r="C71" s="13">
        <v>18.0</v>
      </c>
      <c r="D71" s="14" t="str">
        <f t="shared" si="4"/>
        <v>SEG.</v>
      </c>
      <c r="E71" s="13">
        <f t="shared" si="2"/>
        <v>1</v>
      </c>
      <c r="F71" s="43"/>
      <c r="G71" s="45"/>
      <c r="H71" s="46">
        <v>6.15</v>
      </c>
      <c r="I71" s="58" t="s">
        <v>13</v>
      </c>
      <c r="J71" s="21" t="s">
        <v>108</v>
      </c>
      <c r="K71" s="68"/>
      <c r="L71" s="68"/>
      <c r="M71" s="68"/>
      <c r="N71" s="68"/>
      <c r="O71" s="68"/>
      <c r="P71" s="68"/>
      <c r="Q71" s="68"/>
    </row>
    <row r="72">
      <c r="A72" s="95" t="s">
        <v>5</v>
      </c>
      <c r="B72" s="42" t="s">
        <v>109</v>
      </c>
      <c r="C72" s="41">
        <v>18.0</v>
      </c>
      <c r="D72" s="14" t="str">
        <f t="shared" si="4"/>
        <v>SEG.</v>
      </c>
      <c r="E72" s="13">
        <f t="shared" si="2"/>
        <v>1</v>
      </c>
      <c r="F72" s="14"/>
      <c r="G72" s="53">
        <v>2500.0</v>
      </c>
      <c r="H72" s="53"/>
      <c r="I72" s="58" t="s">
        <v>15</v>
      </c>
      <c r="J72" s="44" t="s">
        <v>110</v>
      </c>
      <c r="K72" s="42"/>
      <c r="L72" s="96"/>
      <c r="M72" s="21"/>
      <c r="N72" s="21"/>
      <c r="O72" s="39"/>
      <c r="P72" s="39"/>
      <c r="Q72" s="39"/>
    </row>
    <row r="73">
      <c r="A73" s="11" t="s">
        <v>5</v>
      </c>
      <c r="B73" s="39" t="s">
        <v>21</v>
      </c>
      <c r="C73" s="13">
        <v>18.0</v>
      </c>
      <c r="D73" s="14" t="str">
        <f t="shared" si="4"/>
        <v>SEG.</v>
      </c>
      <c r="E73" s="13">
        <f t="shared" si="2"/>
        <v>1</v>
      </c>
      <c r="F73" s="43"/>
      <c r="G73" s="45"/>
      <c r="H73" s="46">
        <v>144.64</v>
      </c>
      <c r="I73" s="58" t="s">
        <v>16</v>
      </c>
      <c r="J73" s="21" t="s">
        <v>22</v>
      </c>
      <c r="K73" s="68"/>
      <c r="L73" s="68"/>
      <c r="M73" s="68"/>
      <c r="N73" s="68"/>
      <c r="O73" s="68"/>
      <c r="P73" s="68"/>
      <c r="Q73" s="68"/>
    </row>
    <row r="74">
      <c r="A74" s="97" t="s">
        <v>5</v>
      </c>
      <c r="B74" s="98" t="s">
        <v>78</v>
      </c>
      <c r="C74" s="73">
        <v>18.0</v>
      </c>
      <c r="D74" s="74" t="str">
        <f t="shared" si="4"/>
        <v>SEG.</v>
      </c>
      <c r="E74" s="13">
        <f t="shared" si="2"/>
        <v>1</v>
      </c>
      <c r="F74" s="30"/>
      <c r="G74" s="31"/>
      <c r="H74" s="46">
        <v>11.9</v>
      </c>
      <c r="I74" s="71" t="s">
        <v>16</v>
      </c>
      <c r="J74" s="76" t="s">
        <v>111</v>
      </c>
      <c r="K74" s="77"/>
      <c r="L74" s="77"/>
      <c r="M74" s="77"/>
      <c r="N74" s="77"/>
      <c r="O74" s="77"/>
      <c r="P74" s="77"/>
      <c r="Q74" s="77"/>
    </row>
    <row r="75">
      <c r="A75" s="11" t="s">
        <v>5</v>
      </c>
      <c r="B75" s="44" t="s">
        <v>112</v>
      </c>
      <c r="C75" s="13">
        <v>18.0</v>
      </c>
      <c r="D75" s="14" t="str">
        <f t="shared" si="4"/>
        <v>SEG.</v>
      </c>
      <c r="E75" s="13">
        <f t="shared" si="2"/>
        <v>1</v>
      </c>
      <c r="F75" s="43"/>
      <c r="G75" s="45"/>
      <c r="H75" s="46">
        <v>1000.0</v>
      </c>
      <c r="I75" s="58" t="s">
        <v>16</v>
      </c>
      <c r="J75" s="21" t="s">
        <v>113</v>
      </c>
      <c r="K75" s="68"/>
      <c r="L75" s="68"/>
      <c r="M75" s="68"/>
      <c r="N75" s="68"/>
      <c r="O75" s="68"/>
      <c r="P75" s="68"/>
      <c r="Q75" s="68"/>
    </row>
    <row r="76">
      <c r="A76" s="11" t="s">
        <v>5</v>
      </c>
      <c r="B76" s="44" t="s">
        <v>114</v>
      </c>
      <c r="C76" s="13">
        <v>19.0</v>
      </c>
      <c r="D76" s="14" t="str">
        <f t="shared" si="4"/>
        <v>TER.</v>
      </c>
      <c r="E76" s="13">
        <f t="shared" si="2"/>
        <v>1</v>
      </c>
      <c r="F76" s="94"/>
      <c r="G76" s="45"/>
      <c r="H76" s="53">
        <v>2500.0</v>
      </c>
      <c r="I76" s="58" t="s">
        <v>15</v>
      </c>
      <c r="J76" s="38" t="s">
        <v>115</v>
      </c>
      <c r="K76" s="39"/>
      <c r="L76" s="39"/>
      <c r="M76" s="39"/>
      <c r="N76" s="39"/>
      <c r="O76" s="39"/>
      <c r="P76" s="39"/>
      <c r="Q76" s="39"/>
    </row>
    <row r="77">
      <c r="A77" s="11" t="s">
        <v>5</v>
      </c>
      <c r="B77" s="44" t="s">
        <v>116</v>
      </c>
      <c r="C77" s="13">
        <v>19.0</v>
      </c>
      <c r="D77" s="14" t="str">
        <f t="shared" si="4"/>
        <v>TER.</v>
      </c>
      <c r="E77" s="13">
        <f t="shared" si="2"/>
        <v>1</v>
      </c>
      <c r="F77" s="94"/>
      <c r="G77" s="45"/>
      <c r="H77" s="46">
        <v>159.89</v>
      </c>
      <c r="I77" s="58" t="s">
        <v>17</v>
      </c>
      <c r="J77" s="21" t="s">
        <v>98</v>
      </c>
      <c r="K77" s="39"/>
      <c r="L77" s="39"/>
      <c r="M77" s="39"/>
      <c r="N77" s="39"/>
      <c r="O77" s="39"/>
      <c r="P77" s="39"/>
      <c r="Q77" s="39"/>
    </row>
    <row r="78">
      <c r="A78" s="11" t="s">
        <v>5</v>
      </c>
      <c r="B78" s="99" t="s">
        <v>117</v>
      </c>
      <c r="C78" s="13">
        <v>19.0</v>
      </c>
      <c r="D78" s="14" t="str">
        <f t="shared" si="4"/>
        <v>TER.</v>
      </c>
      <c r="E78" s="13">
        <f t="shared" si="2"/>
        <v>1</v>
      </c>
      <c r="F78" s="35"/>
      <c r="G78" s="70"/>
      <c r="H78" s="36">
        <v>20.0</v>
      </c>
      <c r="I78" s="47" t="s">
        <v>17</v>
      </c>
      <c r="J78" s="21" t="s">
        <v>118</v>
      </c>
      <c r="K78" s="84"/>
      <c r="L78" s="84"/>
      <c r="M78" s="84"/>
      <c r="N78" s="84"/>
      <c r="O78" s="84"/>
      <c r="P78" s="84"/>
      <c r="Q78" s="84"/>
    </row>
    <row r="79">
      <c r="A79" s="11" t="s">
        <v>5</v>
      </c>
      <c r="B79" s="99" t="s">
        <v>119</v>
      </c>
      <c r="C79" s="13">
        <v>20.0</v>
      </c>
      <c r="D79" s="14" t="str">
        <f t="shared" si="4"/>
        <v>QUA.</v>
      </c>
      <c r="E79" s="13">
        <f t="shared" si="2"/>
        <v>1</v>
      </c>
      <c r="F79" s="35"/>
      <c r="G79" s="36">
        <v>0.47</v>
      </c>
      <c r="H79" s="70"/>
      <c r="I79" s="78" t="s">
        <v>17</v>
      </c>
      <c r="J79" s="21" t="s">
        <v>120</v>
      </c>
      <c r="K79" s="84"/>
      <c r="L79" s="84"/>
      <c r="M79" s="84"/>
      <c r="N79" s="84"/>
      <c r="O79" s="84"/>
      <c r="P79" s="84"/>
      <c r="Q79" s="84"/>
    </row>
    <row r="80">
      <c r="A80" s="11" t="s">
        <v>5</v>
      </c>
      <c r="B80" s="39" t="s">
        <v>121</v>
      </c>
      <c r="C80" s="13">
        <v>20.0</v>
      </c>
      <c r="D80" s="14" t="str">
        <f t="shared" si="4"/>
        <v>QUA.</v>
      </c>
      <c r="E80" s="13">
        <f t="shared" si="2"/>
        <v>1</v>
      </c>
      <c r="F80" s="85"/>
      <c r="G80" s="45"/>
      <c r="H80" s="53">
        <v>140.0</v>
      </c>
      <c r="I80" s="58" t="s">
        <v>16</v>
      </c>
      <c r="J80" s="21" t="s">
        <v>122</v>
      </c>
      <c r="K80" s="39"/>
      <c r="L80" s="39"/>
      <c r="M80" s="39"/>
      <c r="N80" s="39"/>
      <c r="O80" s="39"/>
      <c r="P80" s="39"/>
      <c r="Q80" s="39"/>
    </row>
    <row r="81">
      <c r="A81" s="11" t="s">
        <v>5</v>
      </c>
      <c r="B81" s="55" t="s">
        <v>123</v>
      </c>
      <c r="C81" s="13">
        <v>20.0</v>
      </c>
      <c r="D81" s="14" t="str">
        <f t="shared" si="4"/>
        <v>QUA.</v>
      </c>
      <c r="E81" s="13">
        <f t="shared" si="2"/>
        <v>1</v>
      </c>
      <c r="F81" s="26"/>
      <c r="G81" s="56"/>
      <c r="H81" s="88">
        <v>959.04</v>
      </c>
      <c r="I81" s="58" t="s">
        <v>16</v>
      </c>
      <c r="J81" s="21" t="s">
        <v>124</v>
      </c>
      <c r="K81" s="55"/>
      <c r="L81" s="55"/>
      <c r="M81" s="55"/>
      <c r="N81" s="55"/>
      <c r="O81" s="55"/>
      <c r="P81" s="55"/>
      <c r="Q81" s="55"/>
    </row>
    <row r="82">
      <c r="A82" s="11" t="s">
        <v>5</v>
      </c>
      <c r="B82" s="39" t="s">
        <v>125</v>
      </c>
      <c r="C82" s="13">
        <v>20.0</v>
      </c>
      <c r="D82" s="14" t="str">
        <f t="shared" si="4"/>
        <v>QUA.</v>
      </c>
      <c r="E82" s="13">
        <f t="shared" si="2"/>
        <v>1</v>
      </c>
      <c r="F82" s="100">
        <v>44211.0</v>
      </c>
      <c r="G82" s="45"/>
      <c r="H82" s="53">
        <v>365.3</v>
      </c>
      <c r="I82" s="58" t="s">
        <v>16</v>
      </c>
      <c r="J82" s="21" t="s">
        <v>126</v>
      </c>
      <c r="K82" s="39"/>
      <c r="L82" s="39"/>
      <c r="M82" s="39"/>
      <c r="N82" s="39"/>
      <c r="O82" s="39"/>
      <c r="P82" s="39"/>
      <c r="Q82" s="39"/>
    </row>
    <row r="83">
      <c r="A83" s="11" t="s">
        <v>5</v>
      </c>
      <c r="B83" s="61" t="s">
        <v>127</v>
      </c>
      <c r="C83" s="13">
        <v>21.0</v>
      </c>
      <c r="D83" s="14" t="str">
        <f t="shared" si="4"/>
        <v>QUI.</v>
      </c>
      <c r="E83" s="13">
        <f t="shared" si="2"/>
        <v>1</v>
      </c>
      <c r="F83" s="94">
        <v>44216.0</v>
      </c>
      <c r="G83" s="56"/>
      <c r="H83" s="101">
        <v>54.41</v>
      </c>
      <c r="I83" s="58" t="s">
        <v>16</v>
      </c>
      <c r="J83" s="21" t="s">
        <v>128</v>
      </c>
      <c r="K83" s="61"/>
      <c r="L83" s="61"/>
      <c r="M83" s="61"/>
      <c r="N83" s="61"/>
      <c r="O83" s="61"/>
      <c r="P83" s="61"/>
      <c r="Q83" s="61"/>
    </row>
    <row r="84">
      <c r="A84" s="102" t="s">
        <v>5</v>
      </c>
      <c r="B84" s="83" t="s">
        <v>129</v>
      </c>
      <c r="C84" s="13">
        <v>22.0</v>
      </c>
      <c r="D84" s="81" t="str">
        <f t="shared" si="4"/>
        <v>SEX.</v>
      </c>
      <c r="E84" s="13">
        <f t="shared" si="2"/>
        <v>1</v>
      </c>
      <c r="F84" s="35"/>
      <c r="G84" s="70"/>
      <c r="H84" s="63">
        <v>7.0</v>
      </c>
      <c r="I84" s="78" t="s">
        <v>16</v>
      </c>
      <c r="J84" s="79" t="s">
        <v>29</v>
      </c>
      <c r="K84" s="84"/>
      <c r="L84" s="84"/>
      <c r="M84" s="84"/>
      <c r="N84" s="84"/>
      <c r="O84" s="84"/>
      <c r="P84" s="84"/>
      <c r="Q84" s="84"/>
    </row>
    <row r="85">
      <c r="A85" s="11" t="s">
        <v>5</v>
      </c>
      <c r="B85" s="103" t="s">
        <v>130</v>
      </c>
      <c r="C85" s="13">
        <v>22.0</v>
      </c>
      <c r="D85" s="14" t="str">
        <f t="shared" si="4"/>
        <v>SEX.</v>
      </c>
      <c r="E85" s="13">
        <f t="shared" si="2"/>
        <v>1</v>
      </c>
      <c r="F85" s="104"/>
      <c r="G85" s="70"/>
      <c r="H85" s="86">
        <v>33.41</v>
      </c>
      <c r="I85" s="105" t="s">
        <v>16</v>
      </c>
      <c r="J85" s="21" t="s">
        <v>131</v>
      </c>
      <c r="K85" s="84"/>
      <c r="L85" s="84"/>
      <c r="M85" s="84"/>
      <c r="N85" s="84"/>
      <c r="O85" s="84"/>
      <c r="P85" s="84"/>
      <c r="Q85" s="84"/>
    </row>
    <row r="86">
      <c r="A86" s="11" t="s">
        <v>5</v>
      </c>
      <c r="B86" s="103" t="s">
        <v>130</v>
      </c>
      <c r="C86" s="13">
        <v>22.0</v>
      </c>
      <c r="D86" s="14" t="str">
        <f t="shared" si="4"/>
        <v>SEX.</v>
      </c>
      <c r="E86" s="13">
        <f t="shared" si="2"/>
        <v>1</v>
      </c>
      <c r="F86" s="104"/>
      <c r="G86" s="70"/>
      <c r="H86" s="86">
        <v>53.49</v>
      </c>
      <c r="I86" s="105" t="s">
        <v>16</v>
      </c>
      <c r="J86" s="21" t="s">
        <v>132</v>
      </c>
      <c r="K86" s="84"/>
      <c r="L86" s="84"/>
      <c r="M86" s="84"/>
      <c r="N86" s="84"/>
      <c r="O86" s="84"/>
      <c r="P86" s="84"/>
      <c r="Q86" s="84"/>
    </row>
    <row r="87">
      <c r="A87" s="11" t="s">
        <v>5</v>
      </c>
      <c r="B87" s="106" t="s">
        <v>133</v>
      </c>
      <c r="C87" s="13">
        <v>22.0</v>
      </c>
      <c r="D87" s="14" t="str">
        <f t="shared" si="4"/>
        <v>SEX.</v>
      </c>
      <c r="E87" s="13">
        <f t="shared" si="2"/>
        <v>1</v>
      </c>
      <c r="F87" s="104"/>
      <c r="G87" s="70"/>
      <c r="H87" s="86">
        <v>28.99</v>
      </c>
      <c r="I87" s="105" t="s">
        <v>16</v>
      </c>
      <c r="J87" s="21" t="s">
        <v>69</v>
      </c>
      <c r="K87" s="84"/>
      <c r="L87" s="84"/>
      <c r="M87" s="84"/>
      <c r="N87" s="84"/>
      <c r="O87" s="84"/>
      <c r="P87" s="84"/>
      <c r="Q87" s="84"/>
    </row>
    <row r="88">
      <c r="A88" s="11" t="s">
        <v>5</v>
      </c>
      <c r="B88" s="61" t="s">
        <v>21</v>
      </c>
      <c r="C88" s="13">
        <v>22.0</v>
      </c>
      <c r="D88" s="14" t="str">
        <f t="shared" si="4"/>
        <v>SEX.</v>
      </c>
      <c r="E88" s="13">
        <f t="shared" si="2"/>
        <v>1</v>
      </c>
      <c r="F88" s="26"/>
      <c r="G88" s="56"/>
      <c r="H88" s="63">
        <v>228.85</v>
      </c>
      <c r="I88" s="58" t="s">
        <v>16</v>
      </c>
      <c r="J88" s="21" t="s">
        <v>22</v>
      </c>
      <c r="K88" s="59"/>
      <c r="L88" s="59"/>
      <c r="M88" s="59"/>
      <c r="N88" s="59"/>
      <c r="O88" s="59"/>
      <c r="P88" s="59"/>
      <c r="Q88" s="59"/>
    </row>
    <row r="89">
      <c r="A89" s="11" t="s">
        <v>5</v>
      </c>
      <c r="B89" s="39" t="s">
        <v>134</v>
      </c>
      <c r="C89" s="13">
        <v>22.0</v>
      </c>
      <c r="D89" s="14" t="str">
        <f t="shared" si="4"/>
        <v>SEX.</v>
      </c>
      <c r="E89" s="13">
        <f t="shared" si="2"/>
        <v>1</v>
      </c>
      <c r="F89" s="43"/>
      <c r="G89" s="45"/>
      <c r="H89" s="46">
        <v>212.59</v>
      </c>
      <c r="I89" s="60" t="s">
        <v>13</v>
      </c>
      <c r="J89" s="21" t="s">
        <v>135</v>
      </c>
      <c r="K89" s="39"/>
      <c r="L89" s="39"/>
      <c r="M89" s="39"/>
      <c r="N89" s="39"/>
      <c r="O89" s="39"/>
      <c r="P89" s="39"/>
      <c r="Q89" s="39"/>
    </row>
    <row r="90">
      <c r="A90" s="65" t="s">
        <v>5</v>
      </c>
      <c r="B90" s="44" t="s">
        <v>136</v>
      </c>
      <c r="C90" s="13">
        <v>24.0</v>
      </c>
      <c r="D90" s="14" t="str">
        <f t="shared" si="4"/>
        <v>DOM.</v>
      </c>
      <c r="E90" s="13">
        <f t="shared" si="2"/>
        <v>1</v>
      </c>
      <c r="F90" s="14"/>
      <c r="G90" s="43"/>
      <c r="H90" s="46">
        <v>30.0</v>
      </c>
      <c r="I90" s="58" t="s">
        <v>16</v>
      </c>
      <c r="J90" s="42" t="s">
        <v>20</v>
      </c>
      <c r="K90" s="59"/>
      <c r="L90" s="59"/>
      <c r="M90" s="59"/>
      <c r="N90" s="59"/>
      <c r="O90" s="59"/>
      <c r="P90" s="59"/>
      <c r="Q90" s="59"/>
    </row>
    <row r="91">
      <c r="A91" s="11" t="s">
        <v>5</v>
      </c>
      <c r="B91" s="48" t="s">
        <v>137</v>
      </c>
      <c r="C91" s="13">
        <v>25.0</v>
      </c>
      <c r="D91" s="14" t="str">
        <f t="shared" si="4"/>
        <v>SEG.</v>
      </c>
      <c r="E91" s="13">
        <f t="shared" si="2"/>
        <v>1</v>
      </c>
      <c r="F91" s="49"/>
      <c r="G91" s="50"/>
      <c r="H91" s="51">
        <v>167.21</v>
      </c>
      <c r="I91" s="18" t="s">
        <v>16</v>
      </c>
      <c r="J91" s="21" t="s">
        <v>106</v>
      </c>
      <c r="K91" s="52"/>
      <c r="L91" s="52"/>
      <c r="M91" s="52"/>
      <c r="N91" s="52"/>
      <c r="O91" s="52"/>
      <c r="P91" s="52"/>
      <c r="Q91" s="52"/>
    </row>
    <row r="92">
      <c r="A92" s="11" t="s">
        <v>5</v>
      </c>
      <c r="B92" s="34" t="s">
        <v>138</v>
      </c>
      <c r="C92" s="13">
        <v>29.0</v>
      </c>
      <c r="D92" s="14" t="str">
        <f t="shared" si="4"/>
        <v>SEX.</v>
      </c>
      <c r="E92" s="13">
        <f t="shared" si="2"/>
        <v>1</v>
      </c>
      <c r="F92" s="26"/>
      <c r="G92" s="56"/>
      <c r="H92" s="63">
        <v>57.8</v>
      </c>
      <c r="I92" s="18" t="s">
        <v>16</v>
      </c>
      <c r="J92" s="44" t="s">
        <v>139</v>
      </c>
      <c r="K92" s="59"/>
      <c r="L92" s="59"/>
      <c r="M92" s="59"/>
      <c r="N92" s="59"/>
      <c r="O92" s="59"/>
      <c r="P92" s="59"/>
      <c r="Q92" s="59"/>
    </row>
    <row r="93">
      <c r="A93" s="11" t="s">
        <v>5</v>
      </c>
      <c r="B93" s="61" t="s">
        <v>21</v>
      </c>
      <c r="C93" s="13">
        <v>29.0</v>
      </c>
      <c r="D93" s="14" t="str">
        <f t="shared" si="4"/>
        <v>SEX.</v>
      </c>
      <c r="E93" s="13">
        <f t="shared" si="2"/>
        <v>1</v>
      </c>
      <c r="F93" s="26"/>
      <c r="G93" s="56"/>
      <c r="H93" s="63">
        <v>158.12</v>
      </c>
      <c r="I93" s="47" t="s">
        <v>13</v>
      </c>
      <c r="J93" s="21" t="s">
        <v>22</v>
      </c>
      <c r="K93" s="59"/>
      <c r="L93" s="59"/>
      <c r="M93" s="59"/>
      <c r="N93" s="59"/>
      <c r="O93" s="59"/>
      <c r="P93" s="59"/>
      <c r="Q93" s="59"/>
    </row>
    <row r="94">
      <c r="A94" s="11" t="s">
        <v>5</v>
      </c>
      <c r="B94" s="34" t="s">
        <v>140</v>
      </c>
      <c r="C94" s="13">
        <v>30.0</v>
      </c>
      <c r="D94" s="14" t="str">
        <f t="shared" si="4"/>
        <v>SÁB.</v>
      </c>
      <c r="E94" s="13">
        <f t="shared" si="2"/>
        <v>1</v>
      </c>
      <c r="F94" s="26"/>
      <c r="G94" s="56"/>
      <c r="H94" s="63">
        <v>22.89</v>
      </c>
      <c r="I94" s="78" t="s">
        <v>17</v>
      </c>
      <c r="J94" s="21" t="s">
        <v>131</v>
      </c>
      <c r="K94" s="59"/>
      <c r="L94" s="59"/>
      <c r="M94" s="59"/>
      <c r="N94" s="59"/>
      <c r="O94" s="59"/>
      <c r="P94" s="59"/>
      <c r="Q94" s="59"/>
    </row>
    <row r="95">
      <c r="A95" s="11" t="s">
        <v>5</v>
      </c>
      <c r="B95" s="34" t="s">
        <v>141</v>
      </c>
      <c r="C95" s="13">
        <v>30.0</v>
      </c>
      <c r="D95" s="14" t="str">
        <f t="shared" si="4"/>
        <v>SÁB.</v>
      </c>
      <c r="E95" s="13">
        <f t="shared" si="2"/>
        <v>1</v>
      </c>
      <c r="F95" s="26"/>
      <c r="G95" s="56"/>
      <c r="H95" s="63">
        <v>36.9</v>
      </c>
      <c r="I95" s="78" t="s">
        <v>17</v>
      </c>
      <c r="J95" s="21" t="s">
        <v>22</v>
      </c>
      <c r="K95" s="59"/>
      <c r="L95" s="59"/>
      <c r="M95" s="59"/>
      <c r="N95" s="59"/>
      <c r="O95" s="59"/>
      <c r="P95" s="59"/>
      <c r="Q95" s="59"/>
    </row>
    <row r="96">
      <c r="A96" s="33" t="s">
        <v>25</v>
      </c>
      <c r="B96" s="40" t="s">
        <v>26</v>
      </c>
      <c r="C96" s="13">
        <v>31.0</v>
      </c>
      <c r="D96" s="14" t="str">
        <f t="shared" si="4"/>
        <v>DOM.</v>
      </c>
      <c r="E96" s="13">
        <f t="shared" si="2"/>
        <v>1</v>
      </c>
      <c r="F96" s="35"/>
      <c r="G96" s="26"/>
      <c r="H96" s="36">
        <v>180.0</v>
      </c>
      <c r="I96" s="37" t="s">
        <v>17</v>
      </c>
      <c r="J96" s="34"/>
      <c r="K96" s="59"/>
      <c r="L96" s="59"/>
      <c r="M96" s="59"/>
      <c r="N96" s="59"/>
      <c r="O96" s="59"/>
      <c r="P96" s="59"/>
      <c r="Q96" s="59"/>
    </row>
    <row r="97">
      <c r="A97" s="41" t="s">
        <v>25</v>
      </c>
      <c r="B97" s="42" t="s">
        <v>27</v>
      </c>
      <c r="C97" s="13">
        <v>31.0</v>
      </c>
      <c r="D97" s="14" t="str">
        <f t="shared" si="4"/>
        <v>DOM.</v>
      </c>
      <c r="E97" s="13">
        <f t="shared" si="2"/>
        <v>1</v>
      </c>
      <c r="F97" s="35"/>
      <c r="G97" s="36">
        <v>180.0</v>
      </c>
      <c r="H97" s="43"/>
      <c r="I97" s="37" t="s">
        <v>13</v>
      </c>
      <c r="J97" s="44"/>
      <c r="K97" s="59"/>
      <c r="L97" s="59"/>
      <c r="M97" s="59"/>
      <c r="N97" s="59"/>
      <c r="O97" s="59"/>
      <c r="P97" s="59"/>
      <c r="Q97" s="59"/>
    </row>
    <row r="98">
      <c r="A98" s="11"/>
      <c r="B98" s="59"/>
      <c r="C98" s="26"/>
      <c r="D98" s="107"/>
      <c r="E98" s="26"/>
      <c r="F98" s="26"/>
      <c r="G98" s="56"/>
      <c r="H98" s="56"/>
      <c r="I98" s="47"/>
      <c r="J98" s="21"/>
      <c r="K98" s="59"/>
      <c r="L98" s="59"/>
      <c r="M98" s="59"/>
      <c r="N98" s="59"/>
      <c r="O98" s="59"/>
      <c r="P98" s="59"/>
      <c r="Q98" s="59"/>
    </row>
    <row r="99">
      <c r="A99" s="11"/>
      <c r="B99" s="68"/>
      <c r="C99" s="43"/>
      <c r="D99" s="108"/>
      <c r="E99" s="43"/>
      <c r="F99" s="43"/>
      <c r="G99" s="45"/>
      <c r="H99" s="45"/>
      <c r="I99" s="47"/>
      <c r="J99" s="21"/>
      <c r="K99" s="68"/>
      <c r="L99" s="68"/>
      <c r="M99" s="68"/>
      <c r="N99" s="68"/>
      <c r="O99" s="68"/>
      <c r="P99" s="68"/>
      <c r="Q99" s="68"/>
    </row>
    <row r="100">
      <c r="A100" s="109"/>
      <c r="B100" s="110"/>
      <c r="C100" s="111"/>
      <c r="D100" s="112"/>
      <c r="E100" s="111"/>
      <c r="F100" s="111"/>
      <c r="G100" s="113"/>
      <c r="H100" s="113"/>
      <c r="I100" s="114"/>
      <c r="J100" s="21"/>
      <c r="K100" s="110"/>
      <c r="L100" s="110"/>
      <c r="M100" s="110"/>
      <c r="N100" s="110"/>
      <c r="O100" s="110"/>
      <c r="P100" s="110"/>
      <c r="Q100" s="110"/>
    </row>
    <row r="101" ht="15.75" customHeight="1">
      <c r="A101" s="115"/>
      <c r="B101" s="116" t="s">
        <v>142</v>
      </c>
      <c r="C101" s="117"/>
      <c r="D101" s="118"/>
      <c r="E101" s="119"/>
      <c r="F101" s="119"/>
      <c r="G101" s="120">
        <f>SUMIF(A3:A100,"PAGO",G3:G100)</f>
        <v>22505.56</v>
      </c>
      <c r="H101" s="120">
        <f>SUMIF(A3:A100,"PAGO",H3:H100)</f>
        <v>22251.88</v>
      </c>
      <c r="I101" s="121"/>
      <c r="J101" s="117"/>
      <c r="K101" s="120">
        <f t="shared" ref="K101:K102" si="5">G101-H101</f>
        <v>253.68</v>
      </c>
      <c r="L101" s="120"/>
      <c r="M101" s="120"/>
      <c r="N101" s="120"/>
      <c r="O101" s="120"/>
      <c r="P101" s="120"/>
      <c r="Q101" s="120"/>
    </row>
    <row r="102" ht="15.75" customHeight="1">
      <c r="A102" s="115"/>
      <c r="B102" s="122" t="s">
        <v>143</v>
      </c>
      <c r="C102" s="117"/>
      <c r="D102" s="123"/>
      <c r="E102" s="124"/>
      <c r="F102" s="124"/>
      <c r="G102" s="125">
        <f>SUMIF(A3:A100,"PAGO",G3:G100) + SUMIF(A3:A100,"PREVISTO",G3:G100)</f>
        <v>22505.56</v>
      </c>
      <c r="H102" s="125">
        <f>SUMIF(A3:A100,"PAGO",H3:H100) + SUMIF(A3:A100,"PREVISTO",H3:H100)</f>
        <v>22251.88</v>
      </c>
      <c r="I102" s="121"/>
      <c r="J102" s="122" t="s">
        <v>144</v>
      </c>
      <c r="K102" s="125">
        <f t="shared" si="5"/>
        <v>253.68</v>
      </c>
      <c r="L102" s="125"/>
      <c r="M102" s="125"/>
      <c r="N102" s="125"/>
      <c r="O102" s="125"/>
      <c r="P102" s="125"/>
      <c r="Q102" s="125"/>
    </row>
    <row r="103">
      <c r="A103" s="126"/>
      <c r="B103" s="127"/>
      <c r="C103" s="93"/>
      <c r="D103" s="128"/>
      <c r="E103" s="129"/>
      <c r="F103" s="129"/>
      <c r="G103" s="130"/>
      <c r="H103" s="130"/>
      <c r="I103" s="131"/>
      <c r="J103" s="132" t="s">
        <v>13</v>
      </c>
      <c r="K103" s="133">
        <f>(SUMIFS(G3:G100,I3:I100,J103,A3:A100,"PAGO") + SUMIFS(G3:G100,I3:I100,J103,A3:A100,"CONTAS")) - (SUMIFS(H3:H100,I3:I100,J103,A3:A100,"PAGO") + SUMIFS(H3:H100,I3:I100,J103,A3:A100,"CONTAS"))</f>
        <v>59.91</v>
      </c>
      <c r="L103" s="133"/>
      <c r="M103" s="133"/>
      <c r="N103" s="133"/>
      <c r="O103" s="133"/>
      <c r="P103" s="133"/>
      <c r="Q103" s="133"/>
    </row>
    <row r="104">
      <c r="A104" s="134"/>
      <c r="B104" s="135"/>
      <c r="C104" s="93"/>
      <c r="D104" s="128"/>
      <c r="E104" s="129"/>
      <c r="F104" s="129"/>
      <c r="G104" s="130"/>
      <c r="H104" s="130"/>
      <c r="I104" s="131"/>
      <c r="J104" s="132" t="s">
        <v>15</v>
      </c>
      <c r="K104" s="133">
        <f>(SUMIFS(G3:G100,I3:I100,J104,A3:A100,"PAGO") + SUMIFS(G3:G100,I3:I100,J104,A3:A100,"CONTAS")) - (SUMIFS(H3:H100,I3:I100,J104,A3:A100,"PAGO") + SUMIFS(H3:H100,I3:I100,J104,A3:A100,"CONTAS"))</f>
        <v>2.85</v>
      </c>
      <c r="L104" s="133"/>
      <c r="M104" s="133"/>
      <c r="N104" s="133"/>
      <c r="O104" s="133"/>
      <c r="P104" s="133"/>
      <c r="Q104" s="133"/>
    </row>
    <row r="105">
      <c r="A105" s="134"/>
      <c r="B105" s="136"/>
      <c r="C105" s="137"/>
      <c r="D105" s="128"/>
      <c r="E105" s="129"/>
      <c r="F105" s="129"/>
      <c r="G105" s="130"/>
      <c r="H105" s="130"/>
      <c r="I105" s="131"/>
      <c r="J105" s="132" t="s">
        <v>16</v>
      </c>
      <c r="K105" s="133">
        <f>(SUMIFS(G3:G100,I3:I100,J105,A3:A100,"PAGO") + SUMIFS(G3:G100,I3:I100,J105,A3:A100,"CONTAS")) - (SUMIFS(H3:H100,I3:I100,J105,A3:A100,"PAGO") + SUMIFS(H3:H100,I3:I100,J105,A3:A100,"CONTAS"))</f>
        <v>110.44</v>
      </c>
      <c r="L105" s="133"/>
      <c r="M105" s="133"/>
      <c r="N105" s="133"/>
      <c r="O105" s="133"/>
      <c r="P105" s="133"/>
      <c r="Q105" s="133"/>
    </row>
    <row r="106">
      <c r="A106" s="134"/>
      <c r="B106" s="136"/>
      <c r="C106" s="137"/>
      <c r="D106" s="128"/>
      <c r="E106" s="129"/>
      <c r="F106" s="129"/>
      <c r="G106" s="130"/>
      <c r="H106" s="130"/>
      <c r="I106" s="131"/>
      <c r="J106" s="132" t="s">
        <v>17</v>
      </c>
      <c r="K106" s="133">
        <f>(SUMIFS(G3:G100,I3:I100,J106,A3:A100,"PAGO") + SUMIFS(G3:G100,I3:I100,J106,A3:A100,"CONTAS")) - (SUMIFS(H3:H100,I3:I100,J106,A3:A100,"PAGO") + SUMIFS(H3:H100,I3:I100,J106,A3:A100,"CONTAS"))</f>
        <v>70.96</v>
      </c>
      <c r="L106" s="133"/>
      <c r="M106" s="133"/>
      <c r="N106" s="133"/>
      <c r="O106" s="133"/>
      <c r="P106" s="133"/>
      <c r="Q106" s="133"/>
    </row>
    <row r="107">
      <c r="A107" s="134"/>
      <c r="B107" s="93"/>
      <c r="C107" s="137"/>
      <c r="D107" s="138"/>
      <c r="E107" s="139"/>
      <c r="F107" s="139"/>
      <c r="G107" s="140"/>
      <c r="H107" s="140"/>
      <c r="I107" s="131"/>
      <c r="J107" s="132" t="s">
        <v>18</v>
      </c>
      <c r="K107" s="133">
        <f>(SUMIFS(G3:G100,I3:I100,J107,A3:A100,"PAGO") + SUMIFS(G3:G100,I3:I100,J107,A3:A100,"CONTAS")) - (SUMIFS(H3:H100,I3:I100,J107,A3:A100,"PAGO") + SUMIFS(H3:H100,I3:I100,J107,A3:A100,"CONTAS"))</f>
        <v>9.52</v>
      </c>
      <c r="L107" s="133"/>
      <c r="M107" s="133"/>
      <c r="N107" s="133"/>
      <c r="O107" s="133"/>
      <c r="P107" s="133"/>
      <c r="Q107" s="133"/>
    </row>
    <row r="108">
      <c r="A108" s="134"/>
      <c r="B108" s="137"/>
      <c r="C108" s="93"/>
      <c r="D108" s="138"/>
      <c r="E108" s="139"/>
      <c r="F108" s="139"/>
      <c r="G108" s="140"/>
      <c r="H108" s="140"/>
      <c r="I108" s="131"/>
      <c r="J108" s="93"/>
      <c r="K108" s="93"/>
      <c r="L108" s="93"/>
      <c r="M108" s="93"/>
      <c r="N108" s="93"/>
      <c r="O108" s="93"/>
      <c r="P108" s="93"/>
      <c r="Q108" s="93"/>
    </row>
    <row r="109">
      <c r="A109" s="134"/>
      <c r="B109" s="137"/>
      <c r="C109" s="93"/>
      <c r="D109" s="138"/>
      <c r="E109" s="139"/>
      <c r="F109" s="139"/>
      <c r="G109" s="140"/>
      <c r="H109" s="140"/>
      <c r="I109" s="131"/>
      <c r="J109" s="93"/>
      <c r="K109" s="93"/>
      <c r="L109" s="93"/>
      <c r="M109" s="93"/>
      <c r="N109" s="93"/>
      <c r="O109" s="93"/>
      <c r="P109" s="93"/>
      <c r="Q109" s="93"/>
    </row>
    <row r="110">
      <c r="A110" s="134"/>
      <c r="B110" s="137"/>
      <c r="C110" s="93"/>
      <c r="D110" s="138"/>
      <c r="E110" s="139"/>
      <c r="F110" s="139"/>
      <c r="G110" s="140"/>
      <c r="H110" s="140"/>
      <c r="I110" s="131"/>
      <c r="J110" s="93"/>
      <c r="K110" s="93"/>
      <c r="L110" s="93"/>
      <c r="M110" s="93"/>
      <c r="N110" s="93"/>
      <c r="O110" s="93"/>
      <c r="P110" s="93"/>
      <c r="Q110" s="93"/>
    </row>
  </sheetData>
  <customSheetViews>
    <customSheetView guid="{FF238D65-B29E-47B3-BB76-09A78DB37DDE}" filter="1" showAutoFilter="1">
      <autoFilter ref="$A$2:$K$9"/>
    </customSheetView>
    <customSheetView guid="{5F890A4C-8AFA-4126-80E7-AF0191C5590F}" filter="1" showAutoFilter="1">
      <autoFilter ref="$A$2:$K$9"/>
    </customSheetView>
    <customSheetView guid="{F6E0E906-D63E-467F-B486-84E6C0126E80}" filter="1" showAutoFilter="1">
      <autoFilter ref="$A$2:$K$9"/>
    </customSheetView>
    <customSheetView guid="{55ED7845-B94B-4003-AD57-D4008EE7E009}" filter="1" showAutoFilter="1">
      <autoFilter ref="$A$2:$K$9"/>
    </customSheetView>
    <customSheetView guid="{8E320149-1ED8-4245-AE83-2AF08A85D2EE}" filter="1" showAutoFilter="1">
      <autoFilter ref="$A$2:$K$9"/>
    </customSheetView>
  </customSheetViews>
  <conditionalFormatting sqref="A3:Q100">
    <cfRule type="expression" dxfId="0" priority="1">
      <formula>ISEVEN(ROW())</formula>
    </cfRule>
  </conditionalFormatting>
  <conditionalFormatting sqref="A3:Q100">
    <cfRule type="expression" dxfId="1" priority="2">
      <formula>ISODD(ROW())</formula>
    </cfRule>
  </conditionalFormatting>
  <dataValidations>
    <dataValidation type="list" allowBlank="1" sqref="A3:A99">
      <formula1>listas!$A$1:$A$17</formula1>
    </dataValidation>
    <dataValidation type="list" allowBlank="1" sqref="I3:I99">
      <formula1>listas!$B$1:$B$21</formula1>
    </dataValidation>
  </dataValidations>
  <drawing r:id="rId2"/>
  <legacyDrawing r:id="rId3"/>
  <tableParts count="2">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4" width="3.63"/>
    <col customWidth="1" min="5" max="5" width="3.5"/>
    <col customWidth="1" min="6" max="8" width="8.88"/>
    <col customWidth="1" min="9" max="9" width="11.38"/>
    <col customWidth="1" min="10" max="10" width="45.63"/>
    <col customWidth="1" min="11" max="17" width="8.88"/>
  </cols>
  <sheetData>
    <row r="1">
      <c r="A1" s="1">
        <v>2021.0</v>
      </c>
      <c r="B1" s="2"/>
      <c r="C1" s="3"/>
      <c r="D1" s="4"/>
      <c r="E1" s="5"/>
      <c r="F1" s="5"/>
      <c r="G1" s="5"/>
      <c r="H1" s="5"/>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145</v>
      </c>
      <c r="C4" s="13">
        <v>1.0</v>
      </c>
      <c r="D4" s="14" t="str">
        <f t="shared" ref="D4:D13" si="1">UPPER(TEXT(WEEKDAY(DATEVALUE(CONCATENATE(C4,"/",$C$3,"/",$A$1))),"DDD"))</f>
        <v>SEG.</v>
      </c>
      <c r="E4" s="13">
        <f t="shared" ref="E4:E112" si="2">$C$3</f>
        <v>2</v>
      </c>
      <c r="F4" s="15"/>
      <c r="G4" s="16">
        <f>janeiro!K103</f>
        <v>59.91</v>
      </c>
      <c r="H4" s="17"/>
      <c r="I4" s="18" t="s">
        <v>13</v>
      </c>
      <c r="J4" s="21" t="s">
        <v>14</v>
      </c>
      <c r="K4" s="22"/>
      <c r="L4" s="22"/>
      <c r="M4" s="22"/>
      <c r="N4" s="22"/>
      <c r="O4" s="22"/>
      <c r="P4" s="22"/>
      <c r="Q4" s="22"/>
    </row>
    <row r="5">
      <c r="A5" s="11" t="s">
        <v>5</v>
      </c>
      <c r="B5" s="21" t="s">
        <v>145</v>
      </c>
      <c r="C5" s="13">
        <v>1.0</v>
      </c>
      <c r="D5" s="14" t="str">
        <f t="shared" si="1"/>
        <v>SEG.</v>
      </c>
      <c r="E5" s="13">
        <f t="shared" si="2"/>
        <v>2</v>
      </c>
      <c r="F5" s="15"/>
      <c r="G5" s="16">
        <f>janeiro!K104</f>
        <v>2.85</v>
      </c>
      <c r="H5" s="17"/>
      <c r="I5" s="18" t="s">
        <v>15</v>
      </c>
      <c r="J5" s="21" t="s">
        <v>14</v>
      </c>
      <c r="K5" s="22"/>
      <c r="L5" s="22"/>
      <c r="M5" s="22"/>
      <c r="N5" s="22"/>
      <c r="O5" s="22"/>
      <c r="P5" s="22"/>
      <c r="Q5" s="22"/>
    </row>
    <row r="6">
      <c r="A6" s="11" t="s">
        <v>5</v>
      </c>
      <c r="B6" s="21" t="s">
        <v>145</v>
      </c>
      <c r="C6" s="13">
        <v>1.0</v>
      </c>
      <c r="D6" s="14" t="str">
        <f t="shared" si="1"/>
        <v>SEG.</v>
      </c>
      <c r="E6" s="13">
        <f t="shared" si="2"/>
        <v>2</v>
      </c>
      <c r="F6" s="15"/>
      <c r="G6" s="16">
        <f>janeiro!K105</f>
        <v>110.44</v>
      </c>
      <c r="H6" s="17"/>
      <c r="I6" s="18" t="s">
        <v>16</v>
      </c>
      <c r="J6" s="21" t="s">
        <v>14</v>
      </c>
      <c r="K6" s="22"/>
      <c r="L6" s="22"/>
      <c r="M6" s="22"/>
      <c r="N6" s="22"/>
      <c r="O6" s="22"/>
      <c r="P6" s="22"/>
      <c r="Q6" s="22"/>
    </row>
    <row r="7">
      <c r="A7" s="11" t="s">
        <v>5</v>
      </c>
      <c r="B7" s="21" t="s">
        <v>145</v>
      </c>
      <c r="C7" s="13">
        <v>1.0</v>
      </c>
      <c r="D7" s="14" t="str">
        <f t="shared" si="1"/>
        <v>SEG.</v>
      </c>
      <c r="E7" s="13">
        <f t="shared" si="2"/>
        <v>2</v>
      </c>
      <c r="F7" s="15"/>
      <c r="G7" s="16">
        <f>janeiro!K106</f>
        <v>70.96</v>
      </c>
      <c r="H7" s="17"/>
      <c r="I7" s="18" t="s">
        <v>17</v>
      </c>
      <c r="J7" s="21" t="s">
        <v>14</v>
      </c>
      <c r="K7" s="22"/>
      <c r="L7" s="22"/>
      <c r="M7" s="22"/>
      <c r="N7" s="22"/>
      <c r="O7" s="22"/>
      <c r="P7" s="22"/>
      <c r="Q7" s="22"/>
    </row>
    <row r="8">
      <c r="A8" s="11" t="s">
        <v>5</v>
      </c>
      <c r="B8" s="21" t="s">
        <v>145</v>
      </c>
      <c r="C8" s="13">
        <v>1.0</v>
      </c>
      <c r="D8" s="14" t="str">
        <f t="shared" si="1"/>
        <v>SEG.</v>
      </c>
      <c r="E8" s="13">
        <f t="shared" si="2"/>
        <v>2</v>
      </c>
      <c r="F8" s="15"/>
      <c r="G8" s="16">
        <f>janeiro!K107</f>
        <v>9.52</v>
      </c>
      <c r="H8" s="17"/>
      <c r="I8" s="18" t="s">
        <v>18</v>
      </c>
      <c r="J8" s="21" t="s">
        <v>14</v>
      </c>
      <c r="K8" s="22"/>
      <c r="L8" s="22"/>
      <c r="M8" s="22"/>
      <c r="N8" s="22"/>
      <c r="O8" s="22"/>
      <c r="P8" s="22"/>
      <c r="Q8" s="22"/>
    </row>
    <row r="9">
      <c r="A9" s="11" t="s">
        <v>5</v>
      </c>
      <c r="B9" s="141" t="s">
        <v>146</v>
      </c>
      <c r="C9" s="13">
        <v>1.0</v>
      </c>
      <c r="D9" s="14" t="str">
        <f t="shared" si="1"/>
        <v>SEG.</v>
      </c>
      <c r="E9" s="13">
        <f t="shared" si="2"/>
        <v>2</v>
      </c>
      <c r="F9" s="35"/>
      <c r="G9" s="70"/>
      <c r="H9" s="86">
        <v>100.0</v>
      </c>
      <c r="I9" s="47" t="s">
        <v>16</v>
      </c>
      <c r="J9" s="48" t="s">
        <v>147</v>
      </c>
      <c r="K9" s="28"/>
      <c r="L9" s="28"/>
      <c r="M9" s="28"/>
      <c r="N9" s="28"/>
      <c r="O9" s="28"/>
      <c r="P9" s="28"/>
      <c r="Q9" s="28"/>
    </row>
    <row r="10">
      <c r="A10" s="11" t="s">
        <v>5</v>
      </c>
      <c r="B10" s="28" t="s">
        <v>148</v>
      </c>
      <c r="C10" s="13">
        <v>1.0</v>
      </c>
      <c r="D10" s="14" t="str">
        <f t="shared" si="1"/>
        <v>SEG.</v>
      </c>
      <c r="E10" s="13">
        <f t="shared" si="2"/>
        <v>2</v>
      </c>
      <c r="F10" s="35"/>
      <c r="G10" s="70"/>
      <c r="H10" s="27">
        <v>49.03</v>
      </c>
      <c r="I10" s="142" t="s">
        <v>13</v>
      </c>
      <c r="J10" s="21" t="s">
        <v>149</v>
      </c>
      <c r="K10" s="28"/>
      <c r="L10" s="28"/>
      <c r="M10" s="28"/>
      <c r="N10" s="28"/>
      <c r="O10" s="28"/>
      <c r="P10" s="28"/>
      <c r="Q10" s="28"/>
    </row>
    <row r="11">
      <c r="A11" s="11" t="s">
        <v>5</v>
      </c>
      <c r="B11" s="44" t="s">
        <v>150</v>
      </c>
      <c r="C11" s="13">
        <v>4.0</v>
      </c>
      <c r="D11" s="14" t="str">
        <f t="shared" si="1"/>
        <v>QUI.</v>
      </c>
      <c r="E11" s="13">
        <f t="shared" si="2"/>
        <v>2</v>
      </c>
      <c r="F11" s="43"/>
      <c r="G11" s="45"/>
      <c r="H11" s="46">
        <v>63.9</v>
      </c>
      <c r="I11" s="78" t="s">
        <v>17</v>
      </c>
      <c r="J11" s="21" t="s">
        <v>151</v>
      </c>
      <c r="K11" s="39"/>
      <c r="L11" s="39"/>
      <c r="M11" s="39"/>
      <c r="N11" s="39"/>
      <c r="O11" s="39"/>
      <c r="P11" s="39"/>
      <c r="Q11" s="39"/>
    </row>
    <row r="12">
      <c r="A12" s="11" t="s">
        <v>5</v>
      </c>
      <c r="B12" s="69" t="s">
        <v>63</v>
      </c>
      <c r="C12" s="13">
        <v>8.0</v>
      </c>
      <c r="D12" s="14" t="str">
        <f t="shared" si="1"/>
        <v>SEG.</v>
      </c>
      <c r="E12" s="13">
        <f t="shared" si="2"/>
        <v>2</v>
      </c>
      <c r="F12" s="54"/>
      <c r="G12" s="36">
        <v>12000.0</v>
      </c>
      <c r="H12" s="70"/>
      <c r="I12" s="47" t="s">
        <v>16</v>
      </c>
      <c r="J12" s="21" t="s">
        <v>64</v>
      </c>
      <c r="K12" s="70"/>
      <c r="L12" s="70"/>
      <c r="M12" s="70"/>
      <c r="N12" s="70"/>
      <c r="O12" s="70"/>
      <c r="P12" s="70"/>
      <c r="Q12" s="70"/>
    </row>
    <row r="13">
      <c r="A13" s="11" t="s">
        <v>5</v>
      </c>
      <c r="B13" s="44" t="s">
        <v>39</v>
      </c>
      <c r="C13" s="13">
        <v>8.0</v>
      </c>
      <c r="D13" s="14" t="str">
        <f t="shared" si="1"/>
        <v>SEG.</v>
      </c>
      <c r="E13" s="13">
        <f t="shared" si="2"/>
        <v>2</v>
      </c>
      <c r="F13" s="43"/>
      <c r="G13" s="45"/>
      <c r="H13" s="46">
        <f>sum(H14:H27)</f>
        <v>2446.03</v>
      </c>
      <c r="I13" s="47" t="s">
        <v>16</v>
      </c>
      <c r="J13" s="21"/>
      <c r="K13" s="39"/>
      <c r="L13" s="39"/>
      <c r="M13" s="39"/>
      <c r="N13" s="39"/>
      <c r="O13" s="39"/>
      <c r="P13" s="39"/>
      <c r="Q13" s="39"/>
    </row>
    <row r="14" outlineLevel="1">
      <c r="A14" s="11" t="s">
        <v>40</v>
      </c>
      <c r="B14" s="44" t="s">
        <v>152</v>
      </c>
      <c r="C14" s="13"/>
      <c r="D14" s="14"/>
      <c r="E14" s="13">
        <f t="shared" si="2"/>
        <v>2</v>
      </c>
      <c r="F14" s="54">
        <v>44186.0</v>
      </c>
      <c r="G14" s="45"/>
      <c r="H14" s="46">
        <v>144.63</v>
      </c>
      <c r="I14" s="78"/>
      <c r="J14" s="21" t="s">
        <v>56</v>
      </c>
      <c r="K14" s="39"/>
      <c r="L14" s="39"/>
      <c r="M14" s="39"/>
      <c r="N14" s="39"/>
      <c r="O14" s="39"/>
      <c r="P14" s="39"/>
      <c r="Q14" s="39"/>
    </row>
    <row r="15" outlineLevel="1">
      <c r="A15" s="11" t="s">
        <v>40</v>
      </c>
      <c r="B15" s="44" t="s">
        <v>153</v>
      </c>
      <c r="C15" s="13"/>
      <c r="D15" s="14"/>
      <c r="E15" s="13">
        <f t="shared" si="2"/>
        <v>2</v>
      </c>
      <c r="F15" s="54">
        <v>44186.0</v>
      </c>
      <c r="G15" s="45"/>
      <c r="H15" s="46">
        <v>-0.04</v>
      </c>
      <c r="I15" s="78"/>
      <c r="J15" s="21" t="s">
        <v>56</v>
      </c>
      <c r="K15" s="39"/>
      <c r="L15" s="39"/>
      <c r="M15" s="39"/>
      <c r="N15" s="39"/>
      <c r="O15" s="39"/>
      <c r="P15" s="39"/>
      <c r="Q15" s="39"/>
    </row>
    <row r="16" outlineLevel="1">
      <c r="A16" s="11" t="s">
        <v>40</v>
      </c>
      <c r="B16" s="44" t="s">
        <v>154</v>
      </c>
      <c r="C16" s="13"/>
      <c r="D16" s="14"/>
      <c r="E16" s="13">
        <f t="shared" si="2"/>
        <v>2</v>
      </c>
      <c r="F16" s="54">
        <v>44194.0</v>
      </c>
      <c r="G16" s="45"/>
      <c r="H16" s="46">
        <v>1782.61</v>
      </c>
      <c r="I16" s="78"/>
      <c r="J16" s="21" t="s">
        <v>155</v>
      </c>
      <c r="K16" s="39"/>
      <c r="L16" s="39"/>
      <c r="M16" s="39"/>
      <c r="N16" s="39"/>
      <c r="O16" s="39"/>
      <c r="P16" s="39"/>
      <c r="Q16" s="39"/>
    </row>
    <row r="17" outlineLevel="1">
      <c r="A17" s="11" t="s">
        <v>40</v>
      </c>
      <c r="B17" s="44" t="s">
        <v>156</v>
      </c>
      <c r="C17" s="13"/>
      <c r="D17" s="14"/>
      <c r="E17" s="13">
        <f t="shared" si="2"/>
        <v>2</v>
      </c>
      <c r="F17" s="54">
        <v>44197.0</v>
      </c>
      <c r="G17" s="56"/>
      <c r="H17" s="46">
        <v>1.0</v>
      </c>
      <c r="I17" s="78"/>
      <c r="J17" s="21" t="s">
        <v>157</v>
      </c>
      <c r="K17" s="59"/>
      <c r="L17" s="59"/>
      <c r="M17" s="59"/>
      <c r="N17" s="59"/>
      <c r="O17" s="59"/>
      <c r="P17" s="59"/>
      <c r="Q17" s="59"/>
    </row>
    <row r="18" outlineLevel="1">
      <c r="A18" s="11" t="s">
        <v>40</v>
      </c>
      <c r="B18" s="44" t="s">
        <v>158</v>
      </c>
      <c r="C18" s="13"/>
      <c r="D18" s="14"/>
      <c r="E18" s="13">
        <f t="shared" si="2"/>
        <v>2</v>
      </c>
      <c r="F18" s="54">
        <v>44202.0</v>
      </c>
      <c r="G18" s="56"/>
      <c r="H18" s="46">
        <v>8.0</v>
      </c>
      <c r="I18" s="78"/>
      <c r="J18" s="21" t="s">
        <v>159</v>
      </c>
      <c r="K18" s="59"/>
      <c r="L18" s="59"/>
      <c r="M18" s="59"/>
      <c r="N18" s="59"/>
      <c r="O18" s="59"/>
      <c r="P18" s="59"/>
      <c r="Q18" s="59"/>
    </row>
    <row r="19" outlineLevel="1">
      <c r="A19" s="11" t="s">
        <v>40</v>
      </c>
      <c r="B19" s="44" t="s">
        <v>160</v>
      </c>
      <c r="C19" s="13"/>
      <c r="D19" s="14"/>
      <c r="E19" s="13">
        <f t="shared" si="2"/>
        <v>2</v>
      </c>
      <c r="F19" s="54">
        <v>44204.0</v>
      </c>
      <c r="G19" s="56"/>
      <c r="H19" s="46">
        <v>43.6</v>
      </c>
      <c r="I19" s="78"/>
      <c r="J19" s="21" t="s">
        <v>161</v>
      </c>
      <c r="K19" s="59"/>
      <c r="L19" s="59"/>
      <c r="M19" s="59"/>
      <c r="N19" s="59"/>
      <c r="O19" s="59"/>
      <c r="P19" s="59"/>
      <c r="Q19" s="59"/>
    </row>
    <row r="20" outlineLevel="1">
      <c r="A20" s="11" t="s">
        <v>40</v>
      </c>
      <c r="B20" s="44" t="s">
        <v>162</v>
      </c>
      <c r="C20" s="13"/>
      <c r="D20" s="14"/>
      <c r="E20" s="13">
        <f t="shared" si="2"/>
        <v>2</v>
      </c>
      <c r="F20" s="54">
        <v>44205.0</v>
      </c>
      <c r="G20" s="56"/>
      <c r="H20" s="46">
        <v>37.51</v>
      </c>
      <c r="I20" s="78"/>
      <c r="J20" s="21" t="s">
        <v>161</v>
      </c>
      <c r="K20" s="59"/>
      <c r="L20" s="59"/>
      <c r="M20" s="59"/>
      <c r="N20" s="59"/>
      <c r="O20" s="59"/>
      <c r="P20" s="59"/>
      <c r="Q20" s="59"/>
    </row>
    <row r="21" outlineLevel="1">
      <c r="A21" s="11" t="s">
        <v>40</v>
      </c>
      <c r="B21" s="44" t="s">
        <v>163</v>
      </c>
      <c r="C21" s="13"/>
      <c r="D21" s="14"/>
      <c r="E21" s="13">
        <f t="shared" si="2"/>
        <v>2</v>
      </c>
      <c r="F21" s="54">
        <v>44205.0</v>
      </c>
      <c r="G21" s="56"/>
      <c r="H21" s="46">
        <v>13.78</v>
      </c>
      <c r="I21" s="78"/>
      <c r="J21" s="21" t="s">
        <v>161</v>
      </c>
      <c r="K21" s="59"/>
      <c r="L21" s="59"/>
      <c r="M21" s="59"/>
      <c r="N21" s="59"/>
      <c r="O21" s="59"/>
      <c r="P21" s="59"/>
      <c r="Q21" s="59"/>
    </row>
    <row r="22" outlineLevel="1">
      <c r="A22" s="11" t="s">
        <v>40</v>
      </c>
      <c r="B22" s="44" t="s">
        <v>164</v>
      </c>
      <c r="C22" s="13"/>
      <c r="D22" s="14"/>
      <c r="E22" s="13">
        <f t="shared" si="2"/>
        <v>2</v>
      </c>
      <c r="F22" s="54">
        <v>44205.0</v>
      </c>
      <c r="G22" s="56"/>
      <c r="H22" s="46">
        <v>20.0</v>
      </c>
      <c r="I22" s="78"/>
      <c r="J22" s="21" t="s">
        <v>165</v>
      </c>
      <c r="K22" s="59"/>
      <c r="L22" s="59"/>
      <c r="M22" s="59"/>
      <c r="N22" s="59"/>
      <c r="O22" s="59"/>
      <c r="P22" s="59"/>
      <c r="Q22" s="59"/>
    </row>
    <row r="23" outlineLevel="1">
      <c r="A23" s="11" t="s">
        <v>40</v>
      </c>
      <c r="B23" s="44" t="s">
        <v>166</v>
      </c>
      <c r="C23" s="13"/>
      <c r="D23" s="14"/>
      <c r="E23" s="13">
        <f t="shared" si="2"/>
        <v>2</v>
      </c>
      <c r="F23" s="54">
        <v>44210.0</v>
      </c>
      <c r="G23" s="56"/>
      <c r="H23" s="46">
        <v>138.0</v>
      </c>
      <c r="I23" s="78"/>
      <c r="J23" s="21" t="s">
        <v>167</v>
      </c>
      <c r="K23" s="59"/>
      <c r="L23" s="59"/>
      <c r="M23" s="59"/>
      <c r="N23" s="59"/>
      <c r="O23" s="59"/>
      <c r="P23" s="59"/>
      <c r="Q23" s="59"/>
    </row>
    <row r="24" outlineLevel="1">
      <c r="A24" s="11" t="s">
        <v>40</v>
      </c>
      <c r="B24" s="44" t="s">
        <v>168</v>
      </c>
      <c r="C24" s="13"/>
      <c r="D24" s="14"/>
      <c r="E24" s="13">
        <f t="shared" si="2"/>
        <v>2</v>
      </c>
      <c r="F24" s="54">
        <v>44217.0</v>
      </c>
      <c r="G24" s="56"/>
      <c r="H24" s="46">
        <v>32.9</v>
      </c>
      <c r="I24" s="78"/>
      <c r="J24" s="21" t="s">
        <v>58</v>
      </c>
      <c r="K24" s="59"/>
      <c r="L24" s="59"/>
      <c r="M24" s="59"/>
      <c r="N24" s="59"/>
      <c r="O24" s="59"/>
      <c r="P24" s="59"/>
      <c r="Q24" s="59"/>
    </row>
    <row r="25" outlineLevel="1">
      <c r="A25" s="11" t="s">
        <v>40</v>
      </c>
      <c r="B25" s="44" t="s">
        <v>169</v>
      </c>
      <c r="C25" s="13"/>
      <c r="D25" s="14"/>
      <c r="E25" s="13">
        <f t="shared" si="2"/>
        <v>2</v>
      </c>
      <c r="F25" s="54">
        <v>44218.0</v>
      </c>
      <c r="G25" s="56"/>
      <c r="H25" s="46">
        <v>191.34</v>
      </c>
      <c r="I25" s="78"/>
      <c r="J25" s="21" t="s">
        <v>170</v>
      </c>
      <c r="K25" s="59"/>
      <c r="L25" s="59"/>
      <c r="M25" s="59"/>
      <c r="N25" s="59"/>
      <c r="O25" s="59"/>
      <c r="P25" s="59"/>
      <c r="Q25" s="59"/>
    </row>
    <row r="26" outlineLevel="1">
      <c r="A26" s="11" t="s">
        <v>40</v>
      </c>
      <c r="B26" s="44" t="s">
        <v>171</v>
      </c>
      <c r="C26" s="13"/>
      <c r="D26" s="14"/>
      <c r="E26" s="13">
        <f t="shared" si="2"/>
        <v>2</v>
      </c>
      <c r="F26" s="54">
        <v>44218.0</v>
      </c>
      <c r="G26" s="56"/>
      <c r="H26" s="46">
        <v>19.0</v>
      </c>
      <c r="I26" s="78"/>
      <c r="J26" s="21" t="s">
        <v>172</v>
      </c>
      <c r="K26" s="59"/>
      <c r="L26" s="59"/>
      <c r="M26" s="59"/>
      <c r="N26" s="59"/>
      <c r="O26" s="59"/>
      <c r="P26" s="59"/>
      <c r="Q26" s="59"/>
    </row>
    <row r="27" outlineLevel="1">
      <c r="A27" s="11" t="s">
        <v>40</v>
      </c>
      <c r="B27" s="44" t="s">
        <v>47</v>
      </c>
      <c r="C27" s="13"/>
      <c r="D27" s="14"/>
      <c r="E27" s="13">
        <f t="shared" si="2"/>
        <v>2</v>
      </c>
      <c r="F27" s="54">
        <v>44215.0</v>
      </c>
      <c r="G27" s="56"/>
      <c r="H27" s="46">
        <v>13.7</v>
      </c>
      <c r="I27" s="78"/>
      <c r="J27" s="21" t="s">
        <v>48</v>
      </c>
      <c r="K27" s="59"/>
      <c r="L27" s="59"/>
      <c r="M27" s="59"/>
      <c r="N27" s="59"/>
      <c r="O27" s="59"/>
      <c r="P27" s="59"/>
      <c r="Q27" s="59"/>
    </row>
    <row r="28">
      <c r="A28" s="11" t="s">
        <v>5</v>
      </c>
      <c r="B28" s="55" t="s">
        <v>59</v>
      </c>
      <c r="C28" s="13">
        <v>8.0</v>
      </c>
      <c r="D28" s="14" t="str">
        <f t="shared" ref="D28:D80" si="3">UPPER(TEXT(WEEKDAY(DATEVALUE(CONCATENATE(C28,"/",$C$3,"/",$A$1))),"DDD"))</f>
        <v>SEG.</v>
      </c>
      <c r="E28" s="13">
        <f t="shared" si="2"/>
        <v>2</v>
      </c>
      <c r="F28" s="26"/>
      <c r="G28" s="56"/>
      <c r="H28" s="57">
        <v>539.99</v>
      </c>
      <c r="I28" s="58" t="s">
        <v>16</v>
      </c>
      <c r="J28" s="21" t="s">
        <v>60</v>
      </c>
      <c r="K28" s="59"/>
      <c r="L28" s="59"/>
      <c r="M28" s="59"/>
      <c r="N28" s="59"/>
      <c r="O28" s="59"/>
      <c r="P28" s="59"/>
      <c r="Q28" s="59"/>
    </row>
    <row r="29">
      <c r="A29" s="23" t="s">
        <v>25</v>
      </c>
      <c r="B29" s="61" t="s">
        <v>26</v>
      </c>
      <c r="C29" s="143">
        <v>8.0</v>
      </c>
      <c r="D29" s="25" t="str">
        <f t="shared" si="3"/>
        <v>SEG.</v>
      </c>
      <c r="E29" s="13">
        <f t="shared" si="2"/>
        <v>2</v>
      </c>
      <c r="F29" s="26"/>
      <c r="G29" s="56"/>
      <c r="H29" s="46">
        <v>1000.0</v>
      </c>
      <c r="I29" s="64" t="s">
        <v>16</v>
      </c>
      <c r="J29" s="40"/>
      <c r="K29" s="59"/>
      <c r="L29" s="59"/>
      <c r="M29" s="59"/>
      <c r="N29" s="59"/>
      <c r="O29" s="59"/>
      <c r="P29" s="59"/>
      <c r="Q29" s="59"/>
    </row>
    <row r="30">
      <c r="A30" s="65" t="s">
        <v>25</v>
      </c>
      <c r="B30" s="39" t="s">
        <v>27</v>
      </c>
      <c r="C30" s="144">
        <v>8.0</v>
      </c>
      <c r="D30" s="14" t="str">
        <f t="shared" si="3"/>
        <v>SEG.</v>
      </c>
      <c r="E30" s="13">
        <f t="shared" si="2"/>
        <v>2</v>
      </c>
      <c r="F30" s="43"/>
      <c r="G30" s="46">
        <v>1000.0</v>
      </c>
      <c r="H30" s="53"/>
      <c r="I30" s="67" t="s">
        <v>17</v>
      </c>
      <c r="J30" s="42"/>
      <c r="K30" s="68"/>
      <c r="L30" s="68"/>
      <c r="M30" s="68"/>
      <c r="N30" s="68"/>
      <c r="O30" s="68"/>
      <c r="P30" s="68"/>
      <c r="Q30" s="68"/>
    </row>
    <row r="31">
      <c r="A31" s="11" t="s">
        <v>5</v>
      </c>
      <c r="B31" s="39" t="s">
        <v>61</v>
      </c>
      <c r="C31" s="13">
        <v>8.0</v>
      </c>
      <c r="D31" s="14" t="str">
        <f t="shared" si="3"/>
        <v>SEG.</v>
      </c>
      <c r="E31" s="13">
        <f t="shared" si="2"/>
        <v>2</v>
      </c>
      <c r="F31" s="43"/>
      <c r="G31" s="45"/>
      <c r="H31" s="53">
        <v>134.99</v>
      </c>
      <c r="I31" s="58" t="s">
        <v>16</v>
      </c>
      <c r="J31" s="21" t="s">
        <v>62</v>
      </c>
      <c r="K31" s="39"/>
      <c r="L31" s="39"/>
      <c r="M31" s="39"/>
      <c r="N31" s="39"/>
      <c r="O31" s="39"/>
      <c r="P31" s="39"/>
      <c r="Q31" s="39"/>
    </row>
    <row r="32">
      <c r="A32" s="11" t="s">
        <v>5</v>
      </c>
      <c r="B32" s="99" t="s">
        <v>117</v>
      </c>
      <c r="C32" s="13">
        <v>8.0</v>
      </c>
      <c r="D32" s="14" t="str">
        <f t="shared" si="3"/>
        <v>SEG.</v>
      </c>
      <c r="E32" s="13">
        <f t="shared" si="2"/>
        <v>2</v>
      </c>
      <c r="F32" s="35"/>
      <c r="G32" s="70"/>
      <c r="H32" s="36">
        <v>20.0</v>
      </c>
      <c r="I32" s="47" t="s">
        <v>17</v>
      </c>
      <c r="J32" s="21" t="s">
        <v>118</v>
      </c>
      <c r="K32" s="84"/>
      <c r="L32" s="84"/>
      <c r="M32" s="84"/>
      <c r="N32" s="84"/>
      <c r="O32" s="84"/>
      <c r="P32" s="84"/>
      <c r="Q32" s="84"/>
    </row>
    <row r="33">
      <c r="A33" s="33" t="s">
        <v>5</v>
      </c>
      <c r="B33" s="34" t="s">
        <v>23</v>
      </c>
      <c r="C33" s="13">
        <v>8.0</v>
      </c>
      <c r="D33" s="14" t="str">
        <f t="shared" si="3"/>
        <v>SEG.</v>
      </c>
      <c r="E33" s="13">
        <f t="shared" si="2"/>
        <v>2</v>
      </c>
      <c r="F33" s="35"/>
      <c r="G33" s="26"/>
      <c r="H33" s="36">
        <v>2.37</v>
      </c>
      <c r="I33" s="37" t="s">
        <v>13</v>
      </c>
      <c r="J33" s="38" t="s">
        <v>24</v>
      </c>
      <c r="K33" s="39"/>
      <c r="L33" s="39"/>
      <c r="M33" s="39"/>
      <c r="N33" s="39"/>
      <c r="O33" s="39"/>
      <c r="P33" s="39"/>
      <c r="Q33" s="39"/>
    </row>
    <row r="34">
      <c r="A34" s="11" t="s">
        <v>5</v>
      </c>
      <c r="B34" s="61" t="s">
        <v>21</v>
      </c>
      <c r="C34" s="13">
        <v>8.0</v>
      </c>
      <c r="D34" s="14" t="str">
        <f t="shared" si="3"/>
        <v>SEG.</v>
      </c>
      <c r="E34" s="13">
        <f t="shared" si="2"/>
        <v>2</v>
      </c>
      <c r="F34" s="26"/>
      <c r="G34" s="56"/>
      <c r="H34" s="63">
        <v>109.68</v>
      </c>
      <c r="I34" s="58" t="s">
        <v>16</v>
      </c>
      <c r="J34" s="21" t="s">
        <v>22</v>
      </c>
      <c r="K34" s="59"/>
      <c r="L34" s="59"/>
      <c r="M34" s="59"/>
      <c r="N34" s="59"/>
      <c r="O34" s="59"/>
      <c r="P34" s="59"/>
      <c r="Q34" s="59"/>
    </row>
    <row r="35">
      <c r="A35" s="11" t="s">
        <v>5</v>
      </c>
      <c r="B35" s="99" t="s">
        <v>119</v>
      </c>
      <c r="C35" s="13">
        <v>8.0</v>
      </c>
      <c r="D35" s="14" t="str">
        <f t="shared" si="3"/>
        <v>SEG.</v>
      </c>
      <c r="E35" s="13">
        <f t="shared" si="2"/>
        <v>2</v>
      </c>
      <c r="F35" s="35"/>
      <c r="G35" s="36">
        <v>0.51</v>
      </c>
      <c r="H35" s="70"/>
      <c r="I35" s="78" t="s">
        <v>17</v>
      </c>
      <c r="J35" s="21" t="s">
        <v>120</v>
      </c>
      <c r="K35" s="84"/>
      <c r="L35" s="84"/>
      <c r="M35" s="84"/>
      <c r="N35" s="84"/>
      <c r="O35" s="84"/>
      <c r="P35" s="84"/>
      <c r="Q35" s="84"/>
    </row>
    <row r="36">
      <c r="A36" s="11" t="s">
        <v>5</v>
      </c>
      <c r="B36" s="44" t="s">
        <v>74</v>
      </c>
      <c r="C36" s="13">
        <v>10.0</v>
      </c>
      <c r="D36" s="14" t="str">
        <f t="shared" si="3"/>
        <v>QUA.</v>
      </c>
      <c r="E36" s="13">
        <f t="shared" si="2"/>
        <v>2</v>
      </c>
      <c r="F36" s="100">
        <v>44235.0</v>
      </c>
      <c r="G36" s="45"/>
      <c r="H36" s="46">
        <v>102.0</v>
      </c>
      <c r="I36" s="58" t="s">
        <v>16</v>
      </c>
      <c r="J36" s="21" t="s">
        <v>75</v>
      </c>
      <c r="K36" s="39"/>
      <c r="L36" s="39"/>
      <c r="M36" s="39"/>
      <c r="N36" s="39"/>
      <c r="O36" s="39"/>
      <c r="P36" s="39"/>
      <c r="Q36" s="39"/>
    </row>
    <row r="37">
      <c r="A37" s="11" t="s">
        <v>5</v>
      </c>
      <c r="B37" s="48" t="s">
        <v>173</v>
      </c>
      <c r="C37" s="13">
        <v>10.0</v>
      </c>
      <c r="D37" s="14" t="str">
        <f t="shared" si="3"/>
        <v>QUA.</v>
      </c>
      <c r="E37" s="13">
        <f t="shared" si="2"/>
        <v>2</v>
      </c>
      <c r="F37" s="49"/>
      <c r="G37" s="50"/>
      <c r="H37" s="51">
        <v>854.91</v>
      </c>
      <c r="I37" s="18" t="s">
        <v>16</v>
      </c>
      <c r="J37" s="21" t="s">
        <v>174</v>
      </c>
      <c r="K37" s="52"/>
      <c r="L37" s="52"/>
      <c r="M37" s="52"/>
      <c r="N37" s="52"/>
      <c r="O37" s="52"/>
      <c r="P37" s="52"/>
      <c r="Q37" s="52"/>
    </row>
    <row r="38">
      <c r="A38" s="11" t="s">
        <v>5</v>
      </c>
      <c r="B38" s="69" t="s">
        <v>175</v>
      </c>
      <c r="C38" s="13">
        <v>12.0</v>
      </c>
      <c r="D38" s="14" t="str">
        <f t="shared" si="3"/>
        <v>SEX.</v>
      </c>
      <c r="E38" s="13">
        <f t="shared" si="2"/>
        <v>2</v>
      </c>
      <c r="F38" s="54"/>
      <c r="G38" s="36">
        <v>4000.0</v>
      </c>
      <c r="H38" s="70"/>
      <c r="I38" s="47" t="s">
        <v>13</v>
      </c>
      <c r="J38" s="21" t="s">
        <v>64</v>
      </c>
      <c r="K38" s="70"/>
      <c r="L38" s="70"/>
      <c r="M38" s="70"/>
      <c r="N38" s="70"/>
      <c r="O38" s="70"/>
      <c r="P38" s="70"/>
      <c r="Q38" s="70"/>
    </row>
    <row r="39">
      <c r="A39" s="11" t="s">
        <v>5</v>
      </c>
      <c r="B39" s="48" t="s">
        <v>30</v>
      </c>
      <c r="C39" s="13">
        <v>13.0</v>
      </c>
      <c r="D39" s="14" t="str">
        <f t="shared" si="3"/>
        <v>SÁB.</v>
      </c>
      <c r="E39" s="13">
        <f t="shared" si="2"/>
        <v>2</v>
      </c>
      <c r="F39" s="49"/>
      <c r="G39" s="50"/>
      <c r="H39" s="51">
        <v>159.99</v>
      </c>
      <c r="I39" s="18" t="s">
        <v>16</v>
      </c>
      <c r="J39" s="21" t="s">
        <v>31</v>
      </c>
      <c r="K39" s="52"/>
      <c r="L39" s="52"/>
      <c r="M39" s="52"/>
      <c r="N39" s="52"/>
      <c r="O39" s="52"/>
      <c r="P39" s="52"/>
      <c r="Q39" s="52"/>
    </row>
    <row r="40">
      <c r="A40" s="65" t="s">
        <v>5</v>
      </c>
      <c r="B40" s="44" t="s">
        <v>136</v>
      </c>
      <c r="C40" s="13">
        <v>13.0</v>
      </c>
      <c r="D40" s="14" t="str">
        <f t="shared" si="3"/>
        <v>SÁB.</v>
      </c>
      <c r="E40" s="13">
        <f t="shared" si="2"/>
        <v>2</v>
      </c>
      <c r="F40" s="14"/>
      <c r="G40" s="43"/>
      <c r="H40" s="46">
        <v>46.45</v>
      </c>
      <c r="I40" s="58" t="s">
        <v>16</v>
      </c>
      <c r="J40" s="42" t="s">
        <v>20</v>
      </c>
      <c r="K40" s="59"/>
      <c r="L40" s="59"/>
      <c r="M40" s="59"/>
      <c r="N40" s="59"/>
      <c r="O40" s="59"/>
      <c r="P40" s="59"/>
      <c r="Q40" s="59"/>
    </row>
    <row r="41">
      <c r="A41" s="11" t="s">
        <v>5</v>
      </c>
      <c r="B41" s="39" t="s">
        <v>21</v>
      </c>
      <c r="C41" s="13">
        <v>13.0</v>
      </c>
      <c r="D41" s="14" t="str">
        <f t="shared" si="3"/>
        <v>SÁB.</v>
      </c>
      <c r="E41" s="13">
        <f t="shared" si="2"/>
        <v>2</v>
      </c>
      <c r="F41" s="43"/>
      <c r="G41" s="45"/>
      <c r="H41" s="46">
        <v>248.75</v>
      </c>
      <c r="I41" s="58" t="s">
        <v>16</v>
      </c>
      <c r="J41" s="21" t="s">
        <v>22</v>
      </c>
      <c r="K41" s="68"/>
      <c r="L41" s="68"/>
      <c r="M41" s="68"/>
      <c r="N41" s="68"/>
      <c r="O41" s="68"/>
      <c r="P41" s="68"/>
      <c r="Q41" s="68"/>
    </row>
    <row r="42">
      <c r="A42" s="11" t="s">
        <v>5</v>
      </c>
      <c r="B42" s="44" t="s">
        <v>73</v>
      </c>
      <c r="C42" s="13">
        <v>14.0</v>
      </c>
      <c r="D42" s="14" t="str">
        <f t="shared" si="3"/>
        <v>DOM.</v>
      </c>
      <c r="E42" s="13">
        <f t="shared" si="2"/>
        <v>2</v>
      </c>
      <c r="F42" s="85"/>
      <c r="G42" s="45"/>
      <c r="H42" s="46">
        <v>41.8</v>
      </c>
      <c r="I42" s="58" t="s">
        <v>13</v>
      </c>
      <c r="J42" s="21" t="s">
        <v>20</v>
      </c>
      <c r="K42" s="39"/>
      <c r="L42" s="39"/>
      <c r="M42" s="39"/>
      <c r="N42" s="39"/>
      <c r="O42" s="39"/>
      <c r="P42" s="39"/>
      <c r="Q42" s="39"/>
    </row>
    <row r="43">
      <c r="A43" s="11" t="s">
        <v>5</v>
      </c>
      <c r="B43" s="44" t="s">
        <v>176</v>
      </c>
      <c r="C43" s="13">
        <v>15.0</v>
      </c>
      <c r="D43" s="14" t="str">
        <f t="shared" si="3"/>
        <v>SEG.</v>
      </c>
      <c r="E43" s="13">
        <f t="shared" si="2"/>
        <v>2</v>
      </c>
      <c r="F43" s="85"/>
      <c r="G43" s="45"/>
      <c r="H43" s="46">
        <v>30.0</v>
      </c>
      <c r="I43" s="58" t="s">
        <v>16</v>
      </c>
      <c r="J43" s="21" t="s">
        <v>20</v>
      </c>
      <c r="K43" s="39"/>
      <c r="L43" s="39"/>
      <c r="M43" s="39"/>
      <c r="N43" s="39"/>
      <c r="O43" s="39"/>
      <c r="P43" s="39"/>
      <c r="Q43" s="39"/>
    </row>
    <row r="44">
      <c r="A44" s="11" t="s">
        <v>5</v>
      </c>
      <c r="B44" s="39" t="s">
        <v>102</v>
      </c>
      <c r="C44" s="13">
        <v>15.0</v>
      </c>
      <c r="D44" s="14" t="str">
        <f t="shared" si="3"/>
        <v>SEG.</v>
      </c>
      <c r="E44" s="13">
        <f t="shared" si="2"/>
        <v>2</v>
      </c>
      <c r="F44" s="100">
        <v>44235.0</v>
      </c>
      <c r="G44" s="45"/>
      <c r="H44" s="46">
        <v>208.7</v>
      </c>
      <c r="I44" s="58" t="s">
        <v>16</v>
      </c>
      <c r="J44" s="21" t="s">
        <v>75</v>
      </c>
      <c r="K44" s="39"/>
      <c r="L44" s="39"/>
      <c r="M44" s="39"/>
      <c r="N44" s="39"/>
      <c r="O44" s="39"/>
      <c r="P44" s="39"/>
      <c r="Q44" s="39"/>
    </row>
    <row r="45">
      <c r="A45" s="11" t="s">
        <v>5</v>
      </c>
      <c r="B45" s="61" t="s">
        <v>103</v>
      </c>
      <c r="C45" s="13">
        <v>15.0</v>
      </c>
      <c r="D45" s="14" t="str">
        <f t="shared" si="3"/>
        <v>SEG.</v>
      </c>
      <c r="E45" s="13">
        <f t="shared" si="2"/>
        <v>2</v>
      </c>
      <c r="F45" s="100">
        <v>44235.0</v>
      </c>
      <c r="G45" s="56"/>
      <c r="H45" s="63">
        <v>208.7</v>
      </c>
      <c r="I45" s="58" t="s">
        <v>16</v>
      </c>
      <c r="J45" s="21" t="s">
        <v>75</v>
      </c>
      <c r="K45" s="61"/>
      <c r="L45" s="61"/>
      <c r="M45" s="61"/>
      <c r="N45" s="61"/>
      <c r="O45" s="61"/>
      <c r="P45" s="61"/>
      <c r="Q45" s="61"/>
    </row>
    <row r="46">
      <c r="A46" s="11" t="s">
        <v>5</v>
      </c>
      <c r="B46" s="39" t="s">
        <v>104</v>
      </c>
      <c r="C46" s="13">
        <v>15.0</v>
      </c>
      <c r="D46" s="14" t="str">
        <f t="shared" si="3"/>
        <v>SEG.</v>
      </c>
      <c r="E46" s="13">
        <f t="shared" si="2"/>
        <v>2</v>
      </c>
      <c r="F46" s="100">
        <v>44235.0</v>
      </c>
      <c r="G46" s="45"/>
      <c r="H46" s="46">
        <v>263.88</v>
      </c>
      <c r="I46" s="58" t="s">
        <v>16</v>
      </c>
      <c r="J46" s="21" t="s">
        <v>75</v>
      </c>
      <c r="K46" s="39"/>
      <c r="L46" s="39"/>
      <c r="M46" s="39"/>
      <c r="N46" s="39"/>
      <c r="O46" s="39"/>
      <c r="P46" s="39"/>
      <c r="Q46" s="39"/>
    </row>
    <row r="47">
      <c r="A47" s="11" t="s">
        <v>5</v>
      </c>
      <c r="B47" s="44" t="s">
        <v>177</v>
      </c>
      <c r="C47" s="13">
        <v>17.0</v>
      </c>
      <c r="D47" s="14" t="str">
        <f t="shared" si="3"/>
        <v>QUA.</v>
      </c>
      <c r="E47" s="13">
        <f t="shared" si="2"/>
        <v>2</v>
      </c>
      <c r="F47" s="43"/>
      <c r="G47" s="45"/>
      <c r="H47" s="46">
        <v>500.0</v>
      </c>
      <c r="I47" s="58" t="s">
        <v>17</v>
      </c>
      <c r="J47" s="21" t="s">
        <v>178</v>
      </c>
      <c r="K47" s="68"/>
      <c r="L47" s="68"/>
      <c r="M47" s="68"/>
      <c r="N47" s="68"/>
      <c r="O47" s="68"/>
      <c r="P47" s="68"/>
      <c r="Q47" s="68"/>
    </row>
    <row r="48">
      <c r="A48" s="102" t="s">
        <v>5</v>
      </c>
      <c r="B48" s="83" t="s">
        <v>179</v>
      </c>
      <c r="C48" s="13">
        <v>17.0</v>
      </c>
      <c r="D48" s="81" t="str">
        <f t="shared" si="3"/>
        <v>QUA.</v>
      </c>
      <c r="E48" s="13">
        <f t="shared" si="2"/>
        <v>2</v>
      </c>
      <c r="F48" s="35"/>
      <c r="G48" s="70"/>
      <c r="H48" s="63">
        <v>8.99</v>
      </c>
      <c r="I48" s="78" t="s">
        <v>16</v>
      </c>
      <c r="J48" s="79" t="s">
        <v>29</v>
      </c>
      <c r="K48" s="84"/>
      <c r="L48" s="84"/>
      <c r="M48" s="84"/>
      <c r="N48" s="84"/>
      <c r="O48" s="84"/>
      <c r="P48" s="84"/>
      <c r="Q48" s="84"/>
    </row>
    <row r="49">
      <c r="A49" s="65" t="s">
        <v>5</v>
      </c>
      <c r="B49" s="42" t="s">
        <v>109</v>
      </c>
      <c r="C49" s="66">
        <v>17.0</v>
      </c>
      <c r="D49" s="81" t="str">
        <f t="shared" si="3"/>
        <v>QUA.</v>
      </c>
      <c r="E49" s="13">
        <f t="shared" si="2"/>
        <v>2</v>
      </c>
      <c r="F49" s="14"/>
      <c r="G49" s="53">
        <v>2500.0</v>
      </c>
      <c r="H49" s="53"/>
      <c r="I49" s="65" t="s">
        <v>15</v>
      </c>
      <c r="J49" s="44" t="s">
        <v>110</v>
      </c>
      <c r="K49" s="39"/>
      <c r="L49" s="68"/>
      <c r="M49" s="68"/>
      <c r="N49" s="68"/>
      <c r="O49" s="68"/>
      <c r="P49" s="68"/>
      <c r="Q49" s="68"/>
    </row>
    <row r="50">
      <c r="A50" s="95" t="s">
        <v>5</v>
      </c>
      <c r="B50" s="42" t="s">
        <v>114</v>
      </c>
      <c r="C50" s="66">
        <v>18.0</v>
      </c>
      <c r="D50" s="14" t="str">
        <f t="shared" si="3"/>
        <v>QUI.</v>
      </c>
      <c r="E50" s="13">
        <f t="shared" si="2"/>
        <v>2</v>
      </c>
      <c r="F50" s="43"/>
      <c r="G50" s="45"/>
      <c r="H50" s="53">
        <v>2500.0</v>
      </c>
      <c r="I50" s="65" t="s">
        <v>15</v>
      </c>
      <c r="J50" s="44" t="s">
        <v>115</v>
      </c>
      <c r="K50" s="68"/>
      <c r="L50" s="68"/>
      <c r="M50" s="68"/>
      <c r="N50" s="68"/>
      <c r="O50" s="68"/>
      <c r="P50" s="68"/>
      <c r="Q50" s="68"/>
    </row>
    <row r="51">
      <c r="A51" s="11" t="s">
        <v>5</v>
      </c>
      <c r="B51" s="44" t="s">
        <v>180</v>
      </c>
      <c r="C51" s="13">
        <v>18.0</v>
      </c>
      <c r="D51" s="14" t="str">
        <f t="shared" si="3"/>
        <v>QUI.</v>
      </c>
      <c r="E51" s="13">
        <f t="shared" si="2"/>
        <v>2</v>
      </c>
      <c r="F51" s="43"/>
      <c r="G51" s="45"/>
      <c r="H51" s="46">
        <v>1000.0</v>
      </c>
      <c r="I51" s="58" t="s">
        <v>13</v>
      </c>
      <c r="J51" s="21" t="s">
        <v>181</v>
      </c>
      <c r="K51" s="68"/>
      <c r="L51" s="68"/>
      <c r="M51" s="68"/>
      <c r="N51" s="68"/>
      <c r="O51" s="68"/>
      <c r="P51" s="68"/>
      <c r="Q51" s="68"/>
    </row>
    <row r="52">
      <c r="A52" s="78" t="s">
        <v>5</v>
      </c>
      <c r="B52" s="83" t="s">
        <v>182</v>
      </c>
      <c r="C52" s="80">
        <v>18.0</v>
      </c>
      <c r="D52" s="81" t="str">
        <f t="shared" si="3"/>
        <v>QUI.</v>
      </c>
      <c r="E52" s="13">
        <f t="shared" si="2"/>
        <v>2</v>
      </c>
      <c r="F52" s="81"/>
      <c r="G52" s="35"/>
      <c r="H52" s="36">
        <v>72.11</v>
      </c>
      <c r="I52" s="78" t="s">
        <v>16</v>
      </c>
      <c r="J52" s="79" t="s">
        <v>20</v>
      </c>
      <c r="K52" s="84"/>
      <c r="L52" s="84"/>
      <c r="M52" s="84"/>
      <c r="N52" s="84"/>
      <c r="O52" s="84"/>
      <c r="P52" s="84"/>
      <c r="Q52" s="84"/>
    </row>
    <row r="53">
      <c r="A53" s="11" t="s">
        <v>5</v>
      </c>
      <c r="B53" s="44" t="s">
        <v>183</v>
      </c>
      <c r="C53" s="13">
        <v>19.0</v>
      </c>
      <c r="D53" s="81" t="str">
        <f t="shared" si="3"/>
        <v>SEX.</v>
      </c>
      <c r="E53" s="13">
        <f t="shared" si="2"/>
        <v>2</v>
      </c>
      <c r="F53" s="85"/>
      <c r="G53" s="45"/>
      <c r="H53" s="46">
        <v>538.8</v>
      </c>
      <c r="I53" s="58" t="s">
        <v>16</v>
      </c>
      <c r="J53" s="21" t="s">
        <v>184</v>
      </c>
      <c r="K53" s="39"/>
      <c r="L53" s="39"/>
      <c r="M53" s="39"/>
      <c r="N53" s="39"/>
      <c r="O53" s="39"/>
      <c r="P53" s="39"/>
      <c r="Q53" s="39"/>
    </row>
    <row r="54">
      <c r="A54" s="11" t="s">
        <v>5</v>
      </c>
      <c r="B54" s="44" t="s">
        <v>185</v>
      </c>
      <c r="C54" s="13">
        <v>19.0</v>
      </c>
      <c r="D54" s="14" t="str">
        <f t="shared" si="3"/>
        <v>SEX.</v>
      </c>
      <c r="E54" s="13">
        <f t="shared" si="2"/>
        <v>2</v>
      </c>
      <c r="F54" s="43"/>
      <c r="G54" s="45"/>
      <c r="H54" s="46">
        <v>1200.0</v>
      </c>
      <c r="I54" s="58" t="s">
        <v>16</v>
      </c>
      <c r="J54" s="21" t="s">
        <v>181</v>
      </c>
      <c r="K54" s="68"/>
      <c r="L54" s="68"/>
      <c r="M54" s="68"/>
      <c r="N54" s="68"/>
      <c r="O54" s="68"/>
      <c r="P54" s="68"/>
      <c r="Q54" s="68"/>
    </row>
    <row r="55">
      <c r="A55" s="78" t="s">
        <v>5</v>
      </c>
      <c r="B55" s="83" t="s">
        <v>186</v>
      </c>
      <c r="C55" s="80">
        <v>19.0</v>
      </c>
      <c r="D55" s="81" t="str">
        <f t="shared" si="3"/>
        <v>SEX.</v>
      </c>
      <c r="E55" s="13">
        <f t="shared" si="2"/>
        <v>2</v>
      </c>
      <c r="F55" s="81"/>
      <c r="G55" s="35"/>
      <c r="H55" s="36">
        <v>74.9</v>
      </c>
      <c r="I55" s="78" t="s">
        <v>16</v>
      </c>
      <c r="J55" s="79" t="s">
        <v>20</v>
      </c>
      <c r="K55" s="84"/>
      <c r="L55" s="84"/>
      <c r="M55" s="84"/>
      <c r="N55" s="84"/>
      <c r="O55" s="84"/>
      <c r="P55" s="84"/>
      <c r="Q55" s="84"/>
    </row>
    <row r="56">
      <c r="A56" s="95" t="s">
        <v>5</v>
      </c>
      <c r="B56" s="39" t="s">
        <v>21</v>
      </c>
      <c r="C56" s="41">
        <v>20.0</v>
      </c>
      <c r="D56" s="81" t="str">
        <f t="shared" si="3"/>
        <v>SÁB.</v>
      </c>
      <c r="E56" s="13">
        <f t="shared" si="2"/>
        <v>2</v>
      </c>
      <c r="F56" s="14"/>
      <c r="G56" s="145"/>
      <c r="H56" s="36">
        <v>161.48</v>
      </c>
      <c r="I56" s="58" t="s">
        <v>13</v>
      </c>
      <c r="J56" s="79" t="s">
        <v>187</v>
      </c>
      <c r="K56" s="39"/>
      <c r="L56" s="39"/>
      <c r="M56" s="39"/>
      <c r="N56" s="39"/>
      <c r="O56" s="39"/>
      <c r="P56" s="39"/>
      <c r="Q56" s="39"/>
    </row>
    <row r="57">
      <c r="A57" s="60" t="s">
        <v>5</v>
      </c>
      <c r="B57" s="55" t="s">
        <v>133</v>
      </c>
      <c r="C57" s="33">
        <v>20.0</v>
      </c>
      <c r="D57" s="81" t="str">
        <f t="shared" si="3"/>
        <v>SÁB.</v>
      </c>
      <c r="E57" s="13">
        <f t="shared" si="2"/>
        <v>2</v>
      </c>
      <c r="F57" s="146"/>
      <c r="G57" s="147"/>
      <c r="H57" s="36">
        <v>36.51</v>
      </c>
      <c r="I57" s="58" t="s">
        <v>13</v>
      </c>
      <c r="J57" s="83" t="s">
        <v>188</v>
      </c>
      <c r="K57" s="39"/>
      <c r="L57" s="39"/>
      <c r="M57" s="39"/>
      <c r="N57" s="39"/>
      <c r="O57" s="39"/>
      <c r="P57" s="39"/>
      <c r="Q57" s="39"/>
    </row>
    <row r="58">
      <c r="A58" s="11" t="s">
        <v>5</v>
      </c>
      <c r="B58" s="39" t="s">
        <v>125</v>
      </c>
      <c r="C58" s="13">
        <v>20.0</v>
      </c>
      <c r="D58" s="14" t="str">
        <f t="shared" si="3"/>
        <v>SÁB.</v>
      </c>
      <c r="E58" s="13">
        <f t="shared" si="2"/>
        <v>2</v>
      </c>
      <c r="F58" s="100">
        <v>44235.0</v>
      </c>
      <c r="G58" s="45"/>
      <c r="H58" s="46">
        <v>345.3</v>
      </c>
      <c r="I58" s="58" t="s">
        <v>16</v>
      </c>
      <c r="J58" s="21" t="s">
        <v>126</v>
      </c>
      <c r="K58" s="39"/>
      <c r="L58" s="39"/>
      <c r="M58" s="39"/>
      <c r="N58" s="39"/>
      <c r="O58" s="39"/>
      <c r="P58" s="39"/>
      <c r="Q58" s="39"/>
    </row>
    <row r="59">
      <c r="A59" s="11" t="s">
        <v>5</v>
      </c>
      <c r="B59" s="55" t="s">
        <v>189</v>
      </c>
      <c r="C59" s="13">
        <v>21.0</v>
      </c>
      <c r="D59" s="81" t="str">
        <f t="shared" si="3"/>
        <v>DOM.</v>
      </c>
      <c r="E59" s="13">
        <f t="shared" si="2"/>
        <v>2</v>
      </c>
      <c r="F59" s="85"/>
      <c r="G59" s="45"/>
      <c r="H59" s="46">
        <v>29.0</v>
      </c>
      <c r="I59" s="58" t="s">
        <v>16</v>
      </c>
      <c r="J59" s="21" t="s">
        <v>190</v>
      </c>
      <c r="K59" s="39"/>
      <c r="L59" s="39"/>
      <c r="M59" s="39"/>
      <c r="N59" s="39"/>
      <c r="O59" s="39"/>
      <c r="P59" s="39"/>
      <c r="Q59" s="39"/>
    </row>
    <row r="60">
      <c r="A60" s="23" t="s">
        <v>25</v>
      </c>
      <c r="B60" s="61" t="s">
        <v>26</v>
      </c>
      <c r="C60" s="148">
        <v>21.0</v>
      </c>
      <c r="D60" s="25" t="str">
        <f t="shared" si="3"/>
        <v>DOM.</v>
      </c>
      <c r="E60" s="13">
        <f t="shared" si="2"/>
        <v>2</v>
      </c>
      <c r="F60" s="26"/>
      <c r="G60" s="56"/>
      <c r="H60" s="46">
        <v>2000.0</v>
      </c>
      <c r="I60" s="37" t="s">
        <v>13</v>
      </c>
      <c r="J60" s="34"/>
      <c r="K60" s="59"/>
      <c r="L60" s="59"/>
      <c r="M60" s="59"/>
      <c r="N60" s="59"/>
      <c r="O60" s="59"/>
      <c r="P60" s="59"/>
      <c r="Q60" s="59"/>
    </row>
    <row r="61">
      <c r="A61" s="65" t="s">
        <v>25</v>
      </c>
      <c r="B61" s="39" t="s">
        <v>27</v>
      </c>
      <c r="C61" s="66">
        <v>21.0</v>
      </c>
      <c r="D61" s="14" t="str">
        <f t="shared" si="3"/>
        <v>DOM.</v>
      </c>
      <c r="E61" s="13">
        <f t="shared" si="2"/>
        <v>2</v>
      </c>
      <c r="F61" s="43"/>
      <c r="G61" s="46">
        <v>2000.0</v>
      </c>
      <c r="H61" s="53"/>
      <c r="I61" s="67" t="s">
        <v>17</v>
      </c>
      <c r="J61" s="44"/>
      <c r="K61" s="68"/>
      <c r="L61" s="68"/>
      <c r="M61" s="68"/>
      <c r="N61" s="68"/>
      <c r="O61" s="68"/>
      <c r="P61" s="68"/>
      <c r="Q61" s="68"/>
    </row>
    <row r="62">
      <c r="A62" s="65" t="s">
        <v>25</v>
      </c>
      <c r="B62" s="39" t="s">
        <v>26</v>
      </c>
      <c r="C62" s="144">
        <v>21.0</v>
      </c>
      <c r="D62" s="14" t="str">
        <f t="shared" si="3"/>
        <v>DOM.</v>
      </c>
      <c r="E62" s="13">
        <f t="shared" si="2"/>
        <v>2</v>
      </c>
      <c r="F62" s="43"/>
      <c r="G62" s="45"/>
      <c r="H62" s="46">
        <v>1000.0</v>
      </c>
      <c r="I62" s="149" t="s">
        <v>16</v>
      </c>
      <c r="J62" s="44"/>
      <c r="K62" s="68"/>
      <c r="L62" s="68"/>
      <c r="M62" s="68"/>
      <c r="N62" s="68"/>
      <c r="O62" s="68"/>
      <c r="P62" s="68"/>
      <c r="Q62" s="68"/>
    </row>
    <row r="63">
      <c r="A63" s="23" t="s">
        <v>25</v>
      </c>
      <c r="B63" s="61" t="s">
        <v>27</v>
      </c>
      <c r="C63" s="143">
        <v>21.0</v>
      </c>
      <c r="D63" s="25" t="str">
        <f t="shared" si="3"/>
        <v>DOM.</v>
      </c>
      <c r="E63" s="13">
        <f t="shared" si="2"/>
        <v>2</v>
      </c>
      <c r="F63" s="26"/>
      <c r="G63" s="63">
        <v>1000.0</v>
      </c>
      <c r="H63" s="56"/>
      <c r="I63" s="64" t="s">
        <v>17</v>
      </c>
      <c r="J63" s="34"/>
      <c r="K63" s="59"/>
      <c r="L63" s="59"/>
      <c r="M63" s="59"/>
      <c r="N63" s="59"/>
      <c r="O63" s="59"/>
      <c r="P63" s="59"/>
      <c r="Q63" s="59"/>
    </row>
    <row r="64">
      <c r="A64" s="11" t="s">
        <v>5</v>
      </c>
      <c r="B64" s="61" t="s">
        <v>65</v>
      </c>
      <c r="C64" s="13">
        <v>21.0</v>
      </c>
      <c r="D64" s="25" t="str">
        <f t="shared" si="3"/>
        <v>DOM.</v>
      </c>
      <c r="E64" s="13">
        <f t="shared" si="2"/>
        <v>2</v>
      </c>
      <c r="F64" s="85"/>
      <c r="G64" s="45"/>
      <c r="H64" s="46">
        <v>3000.0</v>
      </c>
      <c r="I64" s="58" t="s">
        <v>17</v>
      </c>
      <c r="J64" s="34" t="s">
        <v>191</v>
      </c>
      <c r="K64" s="39"/>
      <c r="L64" s="39"/>
      <c r="M64" s="39"/>
      <c r="N64" s="39"/>
      <c r="O64" s="39"/>
      <c r="P64" s="39"/>
      <c r="Q64" s="39"/>
    </row>
    <row r="65">
      <c r="A65" s="11" t="s">
        <v>5</v>
      </c>
      <c r="B65" s="39" t="s">
        <v>121</v>
      </c>
      <c r="C65" s="13">
        <v>22.0</v>
      </c>
      <c r="D65" s="14" t="str">
        <f t="shared" si="3"/>
        <v>SEG.</v>
      </c>
      <c r="E65" s="13">
        <f t="shared" si="2"/>
        <v>2</v>
      </c>
      <c r="F65" s="85"/>
      <c r="G65" s="45"/>
      <c r="H65" s="53">
        <v>140.0</v>
      </c>
      <c r="I65" s="58" t="s">
        <v>16</v>
      </c>
      <c r="J65" s="21" t="s">
        <v>122</v>
      </c>
      <c r="K65" s="39"/>
      <c r="L65" s="39"/>
      <c r="M65" s="39"/>
      <c r="N65" s="39"/>
      <c r="O65" s="39"/>
      <c r="P65" s="39"/>
      <c r="Q65" s="39"/>
    </row>
    <row r="66">
      <c r="A66" s="11" t="s">
        <v>5</v>
      </c>
      <c r="B66" s="55" t="s">
        <v>123</v>
      </c>
      <c r="C66" s="13">
        <v>22.0</v>
      </c>
      <c r="D66" s="14" t="str">
        <f t="shared" si="3"/>
        <v>SEG.</v>
      </c>
      <c r="E66" s="13">
        <f t="shared" si="2"/>
        <v>2</v>
      </c>
      <c r="F66" s="26"/>
      <c r="G66" s="56"/>
      <c r="H66" s="88">
        <v>720.0</v>
      </c>
      <c r="I66" s="58" t="s">
        <v>16</v>
      </c>
      <c r="J66" s="21" t="s">
        <v>124</v>
      </c>
      <c r="K66" s="55"/>
      <c r="L66" s="55"/>
      <c r="M66" s="55"/>
      <c r="N66" s="55"/>
      <c r="O66" s="55"/>
      <c r="P66" s="55"/>
      <c r="Q66" s="55"/>
    </row>
    <row r="67">
      <c r="A67" s="11" t="s">
        <v>5</v>
      </c>
      <c r="B67" s="44" t="s">
        <v>192</v>
      </c>
      <c r="C67" s="13">
        <v>22.0</v>
      </c>
      <c r="D67" s="14" t="str">
        <f t="shared" si="3"/>
        <v>SEG.</v>
      </c>
      <c r="E67" s="13">
        <f t="shared" si="2"/>
        <v>2</v>
      </c>
      <c r="F67" s="43"/>
      <c r="G67" s="46">
        <v>222.95</v>
      </c>
      <c r="H67" s="46"/>
      <c r="I67" s="33" t="s">
        <v>193</v>
      </c>
      <c r="J67" s="21" t="s">
        <v>194</v>
      </c>
      <c r="K67" s="39"/>
      <c r="L67" s="39"/>
      <c r="M67" s="39"/>
      <c r="N67" s="39"/>
      <c r="O67" s="39"/>
      <c r="P67" s="39"/>
      <c r="Q67" s="39"/>
    </row>
    <row r="68">
      <c r="A68" s="11" t="s">
        <v>5</v>
      </c>
      <c r="B68" s="44" t="s">
        <v>195</v>
      </c>
      <c r="C68" s="13">
        <v>22.0</v>
      </c>
      <c r="D68" s="14" t="str">
        <f t="shared" si="3"/>
        <v>SEG.</v>
      </c>
      <c r="E68" s="13">
        <f t="shared" si="2"/>
        <v>2</v>
      </c>
      <c r="F68" s="43"/>
      <c r="G68" s="46">
        <v>1022.73</v>
      </c>
      <c r="H68" s="46"/>
      <c r="I68" s="33" t="s">
        <v>196</v>
      </c>
      <c r="J68" s="21" t="s">
        <v>197</v>
      </c>
      <c r="K68" s="39"/>
      <c r="L68" s="39"/>
      <c r="M68" s="39"/>
      <c r="N68" s="39"/>
      <c r="O68" s="39"/>
      <c r="P68" s="39"/>
      <c r="Q68" s="39"/>
    </row>
    <row r="69">
      <c r="A69" s="11" t="s">
        <v>5</v>
      </c>
      <c r="B69" s="39" t="s">
        <v>134</v>
      </c>
      <c r="C69" s="13">
        <v>22.0</v>
      </c>
      <c r="D69" s="14" t="str">
        <f t="shared" si="3"/>
        <v>SEG.</v>
      </c>
      <c r="E69" s="13">
        <f t="shared" si="2"/>
        <v>2</v>
      </c>
      <c r="F69" s="43"/>
      <c r="G69" s="45"/>
      <c r="H69" s="46">
        <v>203.98</v>
      </c>
      <c r="I69" s="60" t="s">
        <v>13</v>
      </c>
      <c r="J69" s="21" t="s">
        <v>135</v>
      </c>
      <c r="K69" s="39"/>
      <c r="L69" s="39"/>
      <c r="M69" s="39"/>
      <c r="N69" s="39"/>
      <c r="O69" s="39"/>
      <c r="P69" s="39"/>
      <c r="Q69" s="39"/>
    </row>
    <row r="70">
      <c r="A70" s="11" t="s">
        <v>5</v>
      </c>
      <c r="B70" s="34" t="s">
        <v>198</v>
      </c>
      <c r="C70" s="13">
        <v>22.0</v>
      </c>
      <c r="D70" s="14" t="str">
        <f t="shared" si="3"/>
        <v>SEG.</v>
      </c>
      <c r="E70" s="13">
        <f t="shared" si="2"/>
        <v>2</v>
      </c>
      <c r="F70" s="94"/>
      <c r="G70" s="56"/>
      <c r="H70" s="63">
        <v>129.0</v>
      </c>
      <c r="I70" s="58" t="s">
        <v>16</v>
      </c>
      <c r="J70" s="21" t="s">
        <v>199</v>
      </c>
      <c r="K70" s="61"/>
      <c r="L70" s="61"/>
      <c r="M70" s="61"/>
      <c r="N70" s="61"/>
      <c r="O70" s="61"/>
      <c r="P70" s="61"/>
      <c r="Q70" s="61"/>
    </row>
    <row r="71">
      <c r="A71" s="11" t="s">
        <v>5</v>
      </c>
      <c r="B71" s="69" t="s">
        <v>200</v>
      </c>
      <c r="C71" s="13">
        <v>22.0</v>
      </c>
      <c r="D71" s="14" t="str">
        <f t="shared" si="3"/>
        <v>SEG.</v>
      </c>
      <c r="E71" s="13">
        <f t="shared" si="2"/>
        <v>2</v>
      </c>
      <c r="F71" s="94"/>
      <c r="G71" s="63">
        <v>3633.24</v>
      </c>
      <c r="H71" s="63"/>
      <c r="I71" s="58" t="s">
        <v>16</v>
      </c>
      <c r="J71" s="21" t="s">
        <v>64</v>
      </c>
      <c r="K71" s="61"/>
      <c r="L71" s="61"/>
      <c r="M71" s="61"/>
      <c r="N71" s="61"/>
      <c r="O71" s="61"/>
      <c r="P71" s="61"/>
      <c r="Q71" s="61"/>
    </row>
    <row r="72">
      <c r="A72" s="11" t="s">
        <v>5</v>
      </c>
      <c r="B72" s="34" t="s">
        <v>201</v>
      </c>
      <c r="C72" s="13">
        <v>22.0</v>
      </c>
      <c r="D72" s="14" t="str">
        <f t="shared" si="3"/>
        <v>SEG.</v>
      </c>
      <c r="E72" s="13">
        <f t="shared" si="2"/>
        <v>2</v>
      </c>
      <c r="F72" s="94"/>
      <c r="G72" s="56"/>
      <c r="H72" s="63">
        <v>200.0</v>
      </c>
      <c r="I72" s="58" t="s">
        <v>16</v>
      </c>
      <c r="J72" s="21" t="s">
        <v>147</v>
      </c>
      <c r="K72" s="61"/>
      <c r="L72" s="61"/>
      <c r="M72" s="61"/>
      <c r="N72" s="61"/>
      <c r="O72" s="61"/>
      <c r="P72" s="61"/>
      <c r="Q72" s="61"/>
    </row>
    <row r="73">
      <c r="A73" s="11" t="s">
        <v>5</v>
      </c>
      <c r="B73" s="99" t="s">
        <v>119</v>
      </c>
      <c r="C73" s="13">
        <v>22.0</v>
      </c>
      <c r="D73" s="14" t="str">
        <f t="shared" si="3"/>
        <v>SEG.</v>
      </c>
      <c r="E73" s="13">
        <f t="shared" si="2"/>
        <v>2</v>
      </c>
      <c r="F73" s="35"/>
      <c r="G73" s="36">
        <v>0.01</v>
      </c>
      <c r="H73" s="70"/>
      <c r="I73" s="47" t="s">
        <v>13</v>
      </c>
      <c r="J73" s="21" t="s">
        <v>120</v>
      </c>
      <c r="K73" s="84"/>
      <c r="L73" s="84"/>
      <c r="M73" s="84"/>
      <c r="N73" s="84"/>
      <c r="O73" s="84"/>
      <c r="P73" s="84"/>
      <c r="Q73" s="84"/>
    </row>
    <row r="74">
      <c r="A74" s="11" t="s">
        <v>5</v>
      </c>
      <c r="B74" s="61" t="s">
        <v>127</v>
      </c>
      <c r="C74" s="13">
        <v>23.0</v>
      </c>
      <c r="D74" s="14" t="str">
        <f t="shared" si="3"/>
        <v>TER.</v>
      </c>
      <c r="E74" s="13">
        <f t="shared" si="2"/>
        <v>2</v>
      </c>
      <c r="F74" s="94">
        <v>44249.0</v>
      </c>
      <c r="G74" s="56"/>
      <c r="H74" s="101">
        <v>54.41</v>
      </c>
      <c r="I74" s="58" t="s">
        <v>16</v>
      </c>
      <c r="J74" s="21" t="s">
        <v>128</v>
      </c>
      <c r="K74" s="61"/>
      <c r="L74" s="61"/>
      <c r="M74" s="61"/>
      <c r="N74" s="61"/>
      <c r="O74" s="61"/>
      <c r="P74" s="61"/>
      <c r="Q74" s="61"/>
    </row>
    <row r="75">
      <c r="A75" s="78" t="s">
        <v>25</v>
      </c>
      <c r="B75" s="99" t="s">
        <v>26</v>
      </c>
      <c r="C75" s="150">
        <v>23.0</v>
      </c>
      <c r="D75" s="81" t="str">
        <f t="shared" si="3"/>
        <v>TER.</v>
      </c>
      <c r="E75" s="13">
        <f t="shared" si="2"/>
        <v>2</v>
      </c>
      <c r="F75" s="35"/>
      <c r="G75" s="70"/>
      <c r="H75" s="151">
        <v>1000.0</v>
      </c>
      <c r="I75" s="152" t="s">
        <v>16</v>
      </c>
      <c r="J75" s="79"/>
      <c r="K75" s="84"/>
      <c r="L75" s="84"/>
      <c r="M75" s="84"/>
      <c r="N75" s="84"/>
      <c r="O75" s="84"/>
      <c r="P75" s="84"/>
      <c r="Q75" s="84"/>
    </row>
    <row r="76">
      <c r="A76" s="71" t="s">
        <v>25</v>
      </c>
      <c r="B76" s="98" t="s">
        <v>27</v>
      </c>
      <c r="C76" s="73">
        <v>23.0</v>
      </c>
      <c r="D76" s="74" t="str">
        <f t="shared" si="3"/>
        <v>TER.</v>
      </c>
      <c r="E76" s="13">
        <f t="shared" si="2"/>
        <v>2</v>
      </c>
      <c r="F76" s="30"/>
      <c r="G76" s="153">
        <v>1000.0</v>
      </c>
      <c r="H76" s="31"/>
      <c r="I76" s="154" t="s">
        <v>17</v>
      </c>
      <c r="J76" s="72"/>
      <c r="K76" s="77"/>
      <c r="L76" s="77"/>
      <c r="M76" s="77"/>
      <c r="N76" s="77"/>
      <c r="O76" s="77"/>
      <c r="P76" s="77"/>
      <c r="Q76" s="77"/>
    </row>
    <row r="77">
      <c r="A77" s="11" t="s">
        <v>5</v>
      </c>
      <c r="B77" s="34" t="s">
        <v>202</v>
      </c>
      <c r="C77" s="13">
        <v>23.0</v>
      </c>
      <c r="D77" s="74" t="str">
        <f t="shared" si="3"/>
        <v>TER.</v>
      </c>
      <c r="E77" s="13">
        <f t="shared" si="2"/>
        <v>2</v>
      </c>
      <c r="F77" s="26"/>
      <c r="G77" s="56"/>
      <c r="H77" s="63">
        <v>1000.0</v>
      </c>
      <c r="I77" s="47" t="s">
        <v>17</v>
      </c>
      <c r="J77" s="21" t="s">
        <v>203</v>
      </c>
      <c r="K77" s="59"/>
      <c r="L77" s="59"/>
      <c r="M77" s="59"/>
      <c r="N77" s="59"/>
      <c r="O77" s="59"/>
      <c r="P77" s="59"/>
      <c r="Q77" s="59"/>
    </row>
    <row r="78">
      <c r="A78" s="11" t="s">
        <v>5</v>
      </c>
      <c r="B78" s="34" t="s">
        <v>204</v>
      </c>
      <c r="C78" s="13">
        <v>23.0</v>
      </c>
      <c r="D78" s="74" t="str">
        <f t="shared" si="3"/>
        <v>TER.</v>
      </c>
      <c r="E78" s="13">
        <f t="shared" si="2"/>
        <v>2</v>
      </c>
      <c r="F78" s="26"/>
      <c r="G78" s="56"/>
      <c r="H78" s="63">
        <v>69.0</v>
      </c>
      <c r="I78" s="47" t="s">
        <v>16</v>
      </c>
      <c r="J78" s="21" t="s">
        <v>199</v>
      </c>
      <c r="K78" s="59"/>
      <c r="L78" s="59"/>
      <c r="M78" s="59"/>
      <c r="N78" s="59"/>
      <c r="O78" s="59"/>
      <c r="P78" s="59"/>
      <c r="Q78" s="59"/>
    </row>
    <row r="79">
      <c r="A79" s="11" t="s">
        <v>5</v>
      </c>
      <c r="B79" s="61" t="s">
        <v>21</v>
      </c>
      <c r="C79" s="13">
        <v>23.0</v>
      </c>
      <c r="D79" s="14" t="str">
        <f t="shared" si="3"/>
        <v>TER.</v>
      </c>
      <c r="E79" s="13">
        <f t="shared" si="2"/>
        <v>2</v>
      </c>
      <c r="F79" s="26"/>
      <c r="G79" s="56"/>
      <c r="H79" s="63">
        <v>207.25</v>
      </c>
      <c r="I79" s="47" t="s">
        <v>196</v>
      </c>
      <c r="J79" s="21" t="s">
        <v>22</v>
      </c>
      <c r="K79" s="59"/>
      <c r="L79" s="59"/>
      <c r="M79" s="59"/>
      <c r="N79" s="59"/>
      <c r="O79" s="59"/>
      <c r="P79" s="59"/>
      <c r="Q79" s="59"/>
    </row>
    <row r="80">
      <c r="A80" s="11" t="s">
        <v>5</v>
      </c>
      <c r="B80" s="44" t="s">
        <v>205</v>
      </c>
      <c r="C80" s="13">
        <v>24.0</v>
      </c>
      <c r="D80" s="14" t="str">
        <f t="shared" si="3"/>
        <v>QUA.</v>
      </c>
      <c r="E80" s="13">
        <f t="shared" si="2"/>
        <v>2</v>
      </c>
      <c r="F80" s="43"/>
      <c r="G80" s="45"/>
      <c r="H80" s="46">
        <f>SUM(H81:H97)</f>
        <v>1182.29</v>
      </c>
      <c r="I80" s="58" t="s">
        <v>17</v>
      </c>
      <c r="J80" s="21"/>
      <c r="K80" s="39"/>
      <c r="L80" s="39"/>
      <c r="M80" s="39"/>
      <c r="N80" s="39"/>
      <c r="O80" s="39"/>
      <c r="P80" s="39"/>
      <c r="Q80" s="39"/>
    </row>
    <row r="81" outlineLevel="1">
      <c r="A81" s="11" t="s">
        <v>40</v>
      </c>
      <c r="B81" s="44" t="s">
        <v>87</v>
      </c>
      <c r="C81" s="13"/>
      <c r="D81" s="14"/>
      <c r="E81" s="13">
        <f t="shared" si="2"/>
        <v>2</v>
      </c>
      <c r="F81" s="54">
        <v>44209.0</v>
      </c>
      <c r="G81" s="45"/>
      <c r="H81" s="46">
        <v>9.9</v>
      </c>
      <c r="I81" s="58"/>
      <c r="J81" s="21" t="s">
        <v>206</v>
      </c>
      <c r="K81" s="39"/>
      <c r="L81" s="39"/>
      <c r="M81" s="39"/>
      <c r="N81" s="39"/>
      <c r="O81" s="39"/>
      <c r="P81" s="39"/>
      <c r="Q81" s="39"/>
    </row>
    <row r="82" outlineLevel="1">
      <c r="A82" s="11" t="s">
        <v>40</v>
      </c>
      <c r="B82" s="55" t="s">
        <v>91</v>
      </c>
      <c r="C82" s="13"/>
      <c r="D82" s="14"/>
      <c r="E82" s="13">
        <f t="shared" si="2"/>
        <v>2</v>
      </c>
      <c r="F82" s="54">
        <v>44230.0</v>
      </c>
      <c r="G82" s="45"/>
      <c r="H82" s="46">
        <v>408.5</v>
      </c>
      <c r="I82" s="58"/>
      <c r="J82" s="21" t="s">
        <v>207</v>
      </c>
      <c r="K82" s="39"/>
      <c r="L82" s="39"/>
      <c r="M82" s="39"/>
      <c r="N82" s="39"/>
      <c r="O82" s="39"/>
      <c r="P82" s="39"/>
      <c r="Q82" s="39"/>
    </row>
    <row r="83" outlineLevel="1">
      <c r="A83" s="11" t="s">
        <v>40</v>
      </c>
      <c r="B83" s="55" t="s">
        <v>91</v>
      </c>
      <c r="C83" s="13"/>
      <c r="D83" s="14"/>
      <c r="E83" s="13">
        <f t="shared" si="2"/>
        <v>2</v>
      </c>
      <c r="F83" s="54">
        <v>44230.0</v>
      </c>
      <c r="G83" s="45"/>
      <c r="H83" s="46">
        <v>139.9</v>
      </c>
      <c r="I83" s="58"/>
      <c r="J83" s="21" t="s">
        <v>207</v>
      </c>
      <c r="K83" s="39"/>
      <c r="L83" s="39"/>
      <c r="M83" s="39"/>
      <c r="N83" s="39"/>
      <c r="O83" s="39"/>
      <c r="P83" s="39"/>
      <c r="Q83" s="39"/>
    </row>
    <row r="84" outlineLevel="1">
      <c r="A84" s="11" t="s">
        <v>40</v>
      </c>
      <c r="B84" s="55" t="s">
        <v>208</v>
      </c>
      <c r="C84" s="13"/>
      <c r="D84" s="14"/>
      <c r="E84" s="13">
        <f t="shared" si="2"/>
        <v>2</v>
      </c>
      <c r="F84" s="54">
        <v>44230.0</v>
      </c>
      <c r="G84" s="45"/>
      <c r="H84" s="46">
        <v>10.5</v>
      </c>
      <c r="I84" s="58"/>
      <c r="J84" s="21" t="s">
        <v>209</v>
      </c>
      <c r="K84" s="39"/>
      <c r="L84" s="39"/>
      <c r="M84" s="39"/>
      <c r="N84" s="39"/>
      <c r="O84" s="39"/>
      <c r="P84" s="39"/>
      <c r="Q84" s="39"/>
    </row>
    <row r="85" outlineLevel="1">
      <c r="A85" s="11" t="s">
        <v>40</v>
      </c>
      <c r="B85" s="55" t="s">
        <v>210</v>
      </c>
      <c r="C85" s="13"/>
      <c r="D85" s="14"/>
      <c r="E85" s="13">
        <f t="shared" si="2"/>
        <v>2</v>
      </c>
      <c r="F85" s="54">
        <v>44230.0</v>
      </c>
      <c r="G85" s="45"/>
      <c r="H85" s="46">
        <v>37.2</v>
      </c>
      <c r="I85" s="58"/>
      <c r="J85" s="21" t="s">
        <v>211</v>
      </c>
      <c r="K85" s="39"/>
      <c r="L85" s="39"/>
      <c r="M85" s="39"/>
      <c r="N85" s="39"/>
      <c r="O85" s="39"/>
      <c r="P85" s="39"/>
      <c r="Q85" s="39"/>
    </row>
    <row r="86" outlineLevel="1">
      <c r="A86" s="11" t="s">
        <v>40</v>
      </c>
      <c r="B86" s="90" t="s">
        <v>212</v>
      </c>
      <c r="C86" s="13"/>
      <c r="D86" s="14"/>
      <c r="E86" s="13">
        <f t="shared" si="2"/>
        <v>2</v>
      </c>
      <c r="F86" s="54">
        <v>44231.0</v>
      </c>
      <c r="G86" s="45"/>
      <c r="H86" s="46">
        <v>4.0</v>
      </c>
      <c r="I86" s="58"/>
      <c r="J86" s="21" t="s">
        <v>209</v>
      </c>
      <c r="K86" s="39"/>
      <c r="L86" s="39"/>
      <c r="M86" s="39"/>
      <c r="N86" s="39"/>
      <c r="O86" s="39"/>
      <c r="P86" s="39"/>
      <c r="Q86" s="39"/>
    </row>
    <row r="87" outlineLevel="1">
      <c r="A87" s="11" t="s">
        <v>40</v>
      </c>
      <c r="B87" s="90" t="s">
        <v>213</v>
      </c>
      <c r="C87" s="13"/>
      <c r="D87" s="14"/>
      <c r="E87" s="13">
        <f t="shared" si="2"/>
        <v>2</v>
      </c>
      <c r="F87" s="54">
        <v>44231.0</v>
      </c>
      <c r="G87" s="45"/>
      <c r="H87" s="46">
        <v>70.0</v>
      </c>
      <c r="I87" s="58"/>
      <c r="J87" s="90" t="s">
        <v>214</v>
      </c>
      <c r="K87" s="39"/>
      <c r="L87" s="39"/>
      <c r="M87" s="39"/>
      <c r="N87" s="39"/>
      <c r="O87" s="39"/>
      <c r="P87" s="39"/>
      <c r="Q87" s="39"/>
    </row>
    <row r="88" outlineLevel="1">
      <c r="A88" s="11" t="s">
        <v>40</v>
      </c>
      <c r="B88" s="44" t="s">
        <v>73</v>
      </c>
      <c r="C88" s="13"/>
      <c r="D88" s="14"/>
      <c r="E88" s="13">
        <f t="shared" si="2"/>
        <v>2</v>
      </c>
      <c r="F88" s="54">
        <v>44231.0</v>
      </c>
      <c r="G88" s="45"/>
      <c r="H88" s="46">
        <v>43.8</v>
      </c>
      <c r="I88" s="58"/>
      <c r="J88" s="21" t="s">
        <v>215</v>
      </c>
      <c r="K88" s="39"/>
      <c r="L88" s="39"/>
      <c r="M88" s="39"/>
      <c r="N88" s="39"/>
      <c r="O88" s="39"/>
      <c r="P88" s="39"/>
      <c r="Q88" s="39"/>
    </row>
    <row r="89" outlineLevel="1">
      <c r="A89" s="11" t="s">
        <v>40</v>
      </c>
      <c r="B89" s="44" t="s">
        <v>216</v>
      </c>
      <c r="C89" s="13"/>
      <c r="D89" s="14"/>
      <c r="E89" s="13">
        <f t="shared" si="2"/>
        <v>2</v>
      </c>
      <c r="F89" s="54">
        <v>44232.0</v>
      </c>
      <c r="G89" s="45"/>
      <c r="H89" s="46">
        <v>112.0</v>
      </c>
      <c r="I89" s="58"/>
      <c r="J89" s="21" t="s">
        <v>215</v>
      </c>
      <c r="K89" s="39"/>
      <c r="L89" s="39"/>
      <c r="M89" s="39"/>
      <c r="N89" s="39"/>
      <c r="O89" s="39"/>
      <c r="P89" s="39"/>
      <c r="Q89" s="39"/>
    </row>
    <row r="90" outlineLevel="1">
      <c r="A90" s="11" t="s">
        <v>40</v>
      </c>
      <c r="B90" s="103" t="s">
        <v>217</v>
      </c>
      <c r="C90" s="13"/>
      <c r="D90" s="14"/>
      <c r="E90" s="13">
        <f t="shared" si="2"/>
        <v>2</v>
      </c>
      <c r="F90" s="54">
        <v>44232.0</v>
      </c>
      <c r="G90" s="70"/>
      <c r="H90" s="86">
        <v>49.65</v>
      </c>
      <c r="I90" s="105"/>
      <c r="J90" s="21" t="s">
        <v>218</v>
      </c>
      <c r="K90" s="84"/>
      <c r="L90" s="84"/>
      <c r="M90" s="84"/>
      <c r="N90" s="84"/>
      <c r="O90" s="84"/>
      <c r="P90" s="84"/>
      <c r="Q90" s="84"/>
    </row>
    <row r="91" outlineLevel="1">
      <c r="A91" s="11" t="s">
        <v>40</v>
      </c>
      <c r="B91" s="103" t="s">
        <v>219</v>
      </c>
      <c r="C91" s="13"/>
      <c r="D91" s="14"/>
      <c r="E91" s="13">
        <f t="shared" si="2"/>
        <v>2</v>
      </c>
      <c r="F91" s="54">
        <v>44232.0</v>
      </c>
      <c r="G91" s="70"/>
      <c r="H91" s="86">
        <v>18.52</v>
      </c>
      <c r="I91" s="105"/>
      <c r="J91" s="21" t="s">
        <v>218</v>
      </c>
      <c r="K91" s="84"/>
      <c r="L91" s="84"/>
      <c r="M91" s="84"/>
      <c r="N91" s="84"/>
      <c r="O91" s="84"/>
      <c r="P91" s="84"/>
      <c r="Q91" s="84"/>
    </row>
    <row r="92" outlineLevel="1">
      <c r="A92" s="11" t="s">
        <v>40</v>
      </c>
      <c r="B92" s="103" t="s">
        <v>220</v>
      </c>
      <c r="C92" s="13"/>
      <c r="D92" s="14"/>
      <c r="E92" s="13">
        <f t="shared" si="2"/>
        <v>2</v>
      </c>
      <c r="F92" s="54">
        <v>44232.0</v>
      </c>
      <c r="G92" s="70"/>
      <c r="H92" s="86">
        <v>143.92</v>
      </c>
      <c r="I92" s="105"/>
      <c r="J92" s="21" t="s">
        <v>218</v>
      </c>
      <c r="K92" s="84"/>
      <c r="L92" s="84"/>
      <c r="M92" s="84"/>
      <c r="N92" s="84"/>
      <c r="O92" s="84"/>
      <c r="P92" s="84"/>
      <c r="Q92" s="84"/>
    </row>
    <row r="93" outlineLevel="1">
      <c r="A93" s="11" t="s">
        <v>40</v>
      </c>
      <c r="B93" s="103" t="s">
        <v>221</v>
      </c>
      <c r="C93" s="13"/>
      <c r="D93" s="14"/>
      <c r="E93" s="13">
        <f t="shared" si="2"/>
        <v>2</v>
      </c>
      <c r="F93" s="54">
        <v>44234.0</v>
      </c>
      <c r="G93" s="70"/>
      <c r="H93" s="86">
        <v>65.95</v>
      </c>
      <c r="I93" s="105"/>
      <c r="J93" s="21" t="s">
        <v>215</v>
      </c>
      <c r="K93" s="84"/>
      <c r="L93" s="84"/>
      <c r="M93" s="84"/>
      <c r="N93" s="84"/>
      <c r="O93" s="84"/>
      <c r="P93" s="84"/>
      <c r="Q93" s="84"/>
    </row>
    <row r="94" outlineLevel="1">
      <c r="A94" s="11" t="s">
        <v>40</v>
      </c>
      <c r="B94" s="44" t="s">
        <v>73</v>
      </c>
      <c r="C94" s="13"/>
      <c r="D94" s="14"/>
      <c r="E94" s="13">
        <f t="shared" si="2"/>
        <v>2</v>
      </c>
      <c r="F94" s="54">
        <v>44234.0</v>
      </c>
      <c r="G94" s="70"/>
      <c r="H94" s="86">
        <v>38.8</v>
      </c>
      <c r="I94" s="105"/>
      <c r="J94" s="21" t="s">
        <v>215</v>
      </c>
      <c r="K94" s="84"/>
      <c r="L94" s="84"/>
      <c r="M94" s="84"/>
      <c r="N94" s="84"/>
      <c r="O94" s="84"/>
      <c r="P94" s="84"/>
      <c r="Q94" s="84"/>
    </row>
    <row r="95" outlineLevel="1">
      <c r="A95" s="97" t="s">
        <v>40</v>
      </c>
      <c r="B95" s="76" t="s">
        <v>222</v>
      </c>
      <c r="C95" s="155"/>
      <c r="D95" s="156"/>
      <c r="E95" s="13">
        <f t="shared" si="2"/>
        <v>2</v>
      </c>
      <c r="F95" s="54">
        <v>44237.0</v>
      </c>
      <c r="G95" s="31"/>
      <c r="H95" s="153">
        <v>4.0</v>
      </c>
      <c r="I95" s="157"/>
      <c r="J95" s="76" t="s">
        <v>209</v>
      </c>
      <c r="K95" s="77"/>
      <c r="L95" s="77"/>
      <c r="M95" s="77"/>
      <c r="N95" s="77"/>
      <c r="O95" s="77"/>
      <c r="P95" s="77"/>
      <c r="Q95" s="77"/>
    </row>
    <row r="96" outlineLevel="1">
      <c r="A96" s="11" t="s">
        <v>40</v>
      </c>
      <c r="B96" s="44" t="s">
        <v>87</v>
      </c>
      <c r="C96" s="13"/>
      <c r="D96" s="14"/>
      <c r="E96" s="13">
        <f t="shared" si="2"/>
        <v>2</v>
      </c>
      <c r="F96" s="54">
        <v>44240.0</v>
      </c>
      <c r="G96" s="45"/>
      <c r="H96" s="46">
        <v>9.9</v>
      </c>
      <c r="I96" s="58"/>
      <c r="J96" s="21" t="s">
        <v>88</v>
      </c>
      <c r="K96" s="39"/>
      <c r="L96" s="39"/>
      <c r="M96" s="39"/>
      <c r="N96" s="39"/>
      <c r="O96" s="39"/>
      <c r="P96" s="39"/>
      <c r="Q96" s="39"/>
    </row>
    <row r="97" outlineLevel="1">
      <c r="A97" s="11" t="s">
        <v>40</v>
      </c>
      <c r="B97" s="90" t="s">
        <v>223</v>
      </c>
      <c r="C97" s="13"/>
      <c r="D97" s="14"/>
      <c r="E97" s="13">
        <f t="shared" si="2"/>
        <v>2</v>
      </c>
      <c r="F97" s="54">
        <v>44246.0</v>
      </c>
      <c r="G97" s="56"/>
      <c r="H97" s="88">
        <v>15.75</v>
      </c>
      <c r="I97" s="58"/>
      <c r="J97" s="21" t="s">
        <v>224</v>
      </c>
      <c r="K97" s="55"/>
      <c r="L97" s="55"/>
      <c r="M97" s="55"/>
      <c r="N97" s="55"/>
      <c r="O97" s="55"/>
      <c r="P97" s="55"/>
      <c r="Q97" s="55"/>
    </row>
    <row r="98" outlineLevel="1">
      <c r="A98" s="11"/>
      <c r="B98" s="90"/>
      <c r="C98" s="13"/>
      <c r="D98" s="14"/>
      <c r="E98" s="13">
        <f t="shared" si="2"/>
        <v>2</v>
      </c>
      <c r="F98" s="54"/>
      <c r="G98" s="56"/>
      <c r="H98" s="88"/>
      <c r="I98" s="58"/>
      <c r="J98" s="21"/>
      <c r="K98" s="55"/>
      <c r="L98" s="55"/>
      <c r="M98" s="55"/>
      <c r="N98" s="55"/>
      <c r="O98" s="55"/>
      <c r="P98" s="55"/>
      <c r="Q98" s="55"/>
    </row>
    <row r="99">
      <c r="A99" s="65" t="s">
        <v>25</v>
      </c>
      <c r="B99" s="39" t="s">
        <v>26</v>
      </c>
      <c r="C99" s="66">
        <v>24.0</v>
      </c>
      <c r="D99" s="14" t="str">
        <f t="shared" ref="D99:D112" si="4">UPPER(TEXT(WEEKDAY(DATEVALUE(CONCATENATE(C99,"/",$C$3,"/",$A$1))),"DDD"))</f>
        <v>QUA.</v>
      </c>
      <c r="E99" s="13">
        <f t="shared" si="2"/>
        <v>2</v>
      </c>
      <c r="F99" s="43"/>
      <c r="G99" s="45"/>
      <c r="H99" s="53">
        <v>1000.0</v>
      </c>
      <c r="I99" s="67" t="s">
        <v>16</v>
      </c>
      <c r="J99" s="42"/>
      <c r="K99" s="68"/>
      <c r="L99" s="68"/>
      <c r="M99" s="68"/>
      <c r="N99" s="68"/>
      <c r="O99" s="68"/>
      <c r="P99" s="68"/>
      <c r="Q99" s="68"/>
    </row>
    <row r="100">
      <c r="A100" s="23" t="s">
        <v>25</v>
      </c>
      <c r="B100" s="61" t="s">
        <v>27</v>
      </c>
      <c r="C100" s="148">
        <v>24.0</v>
      </c>
      <c r="D100" s="25" t="str">
        <f t="shared" si="4"/>
        <v>QUA.</v>
      </c>
      <c r="E100" s="13">
        <f t="shared" si="2"/>
        <v>2</v>
      </c>
      <c r="F100" s="26"/>
      <c r="G100" s="101">
        <v>1000.0</v>
      </c>
      <c r="H100" s="56"/>
      <c r="I100" s="64" t="s">
        <v>17</v>
      </c>
      <c r="J100" s="40"/>
      <c r="K100" s="59"/>
      <c r="L100" s="59"/>
      <c r="M100" s="59"/>
      <c r="N100" s="59"/>
      <c r="O100" s="59"/>
      <c r="P100" s="59"/>
      <c r="Q100" s="59"/>
    </row>
    <row r="101">
      <c r="A101" s="11" t="s">
        <v>5</v>
      </c>
      <c r="B101" s="99" t="s">
        <v>117</v>
      </c>
      <c r="C101" s="13">
        <v>24.0</v>
      </c>
      <c r="D101" s="14" t="str">
        <f t="shared" si="4"/>
        <v>QUA.</v>
      </c>
      <c r="E101" s="13">
        <f t="shared" si="2"/>
        <v>2</v>
      </c>
      <c r="F101" s="35"/>
      <c r="G101" s="70"/>
      <c r="H101" s="36">
        <v>20.0</v>
      </c>
      <c r="I101" s="47" t="s">
        <v>17</v>
      </c>
      <c r="J101" s="21" t="s">
        <v>118</v>
      </c>
      <c r="K101" s="84"/>
      <c r="L101" s="84"/>
      <c r="M101" s="84"/>
      <c r="N101" s="84"/>
      <c r="O101" s="84"/>
      <c r="P101" s="84"/>
      <c r="Q101" s="84"/>
    </row>
    <row r="102">
      <c r="A102" s="11" t="s">
        <v>5</v>
      </c>
      <c r="B102" s="34" t="s">
        <v>225</v>
      </c>
      <c r="C102" s="13">
        <v>24.0</v>
      </c>
      <c r="D102" s="14" t="str">
        <f t="shared" si="4"/>
        <v>QUA.</v>
      </c>
      <c r="E102" s="13">
        <f t="shared" si="2"/>
        <v>2</v>
      </c>
      <c r="F102" s="26"/>
      <c r="G102" s="56"/>
      <c r="H102" s="63">
        <v>814.66</v>
      </c>
      <c r="I102" s="58" t="s">
        <v>16</v>
      </c>
      <c r="J102" s="21" t="s">
        <v>67</v>
      </c>
      <c r="K102" s="59"/>
      <c r="L102" s="59"/>
      <c r="M102" s="59"/>
      <c r="N102" s="59"/>
      <c r="O102" s="59"/>
      <c r="P102" s="59"/>
      <c r="Q102" s="59"/>
    </row>
    <row r="103">
      <c r="A103" s="158" t="s">
        <v>5</v>
      </c>
      <c r="B103" s="40" t="s">
        <v>192</v>
      </c>
      <c r="C103" s="62">
        <v>25.0</v>
      </c>
      <c r="D103" s="25" t="str">
        <f t="shared" si="4"/>
        <v>QUI.</v>
      </c>
      <c r="E103" s="13">
        <f t="shared" si="2"/>
        <v>2</v>
      </c>
      <c r="F103" s="26"/>
      <c r="G103" s="63">
        <v>327.0</v>
      </c>
      <c r="H103" s="101"/>
      <c r="I103" s="60" t="s">
        <v>193</v>
      </c>
      <c r="J103" s="90" t="s">
        <v>226</v>
      </c>
      <c r="K103" s="59"/>
      <c r="L103" s="59"/>
      <c r="M103" s="59"/>
      <c r="N103" s="59"/>
      <c r="O103" s="59"/>
      <c r="P103" s="59"/>
      <c r="Q103" s="59"/>
    </row>
    <row r="104">
      <c r="A104" s="95" t="s">
        <v>5</v>
      </c>
      <c r="B104" s="42" t="s">
        <v>195</v>
      </c>
      <c r="C104" s="66">
        <v>25.0</v>
      </c>
      <c r="D104" s="14" t="str">
        <f t="shared" si="4"/>
        <v>QUI.</v>
      </c>
      <c r="E104" s="13">
        <f t="shared" si="2"/>
        <v>2</v>
      </c>
      <c r="F104" s="43"/>
      <c r="G104" s="46">
        <v>1500.0</v>
      </c>
      <c r="H104" s="53"/>
      <c r="I104" s="65" t="s">
        <v>196</v>
      </c>
      <c r="J104" s="44" t="s">
        <v>227</v>
      </c>
      <c r="K104" s="68"/>
      <c r="L104" s="68"/>
      <c r="M104" s="68"/>
      <c r="N104" s="68"/>
      <c r="O104" s="68"/>
      <c r="P104" s="68"/>
      <c r="Q104" s="68"/>
    </row>
    <row r="105">
      <c r="A105" s="71" t="s">
        <v>5</v>
      </c>
      <c r="B105" s="159" t="s">
        <v>228</v>
      </c>
      <c r="C105" s="73">
        <v>26.0</v>
      </c>
      <c r="D105" s="74" t="str">
        <f t="shared" si="4"/>
        <v>SEX.</v>
      </c>
      <c r="E105" s="13">
        <f t="shared" si="2"/>
        <v>2</v>
      </c>
      <c r="F105" s="156"/>
      <c r="G105" s="30"/>
      <c r="H105" s="32">
        <v>62.9</v>
      </c>
      <c r="I105" s="58" t="s">
        <v>193</v>
      </c>
      <c r="J105" s="72" t="s">
        <v>20</v>
      </c>
      <c r="K105" s="31"/>
      <c r="L105" s="31"/>
      <c r="M105" s="31"/>
      <c r="N105" s="31"/>
      <c r="O105" s="31"/>
      <c r="P105" s="31"/>
      <c r="Q105" s="31"/>
    </row>
    <row r="106">
      <c r="A106" s="11" t="s">
        <v>5</v>
      </c>
      <c r="B106" s="61" t="s">
        <v>21</v>
      </c>
      <c r="C106" s="13">
        <v>27.0</v>
      </c>
      <c r="D106" s="14" t="str">
        <f t="shared" si="4"/>
        <v>SÁB.</v>
      </c>
      <c r="E106" s="13">
        <f t="shared" si="2"/>
        <v>2</v>
      </c>
      <c r="F106" s="26"/>
      <c r="G106" s="56"/>
      <c r="H106" s="63">
        <v>236.38</v>
      </c>
      <c r="I106" s="47" t="s">
        <v>196</v>
      </c>
      <c r="J106" s="21" t="s">
        <v>22</v>
      </c>
      <c r="K106" s="59"/>
      <c r="L106" s="59"/>
      <c r="M106" s="59"/>
      <c r="N106" s="59"/>
      <c r="O106" s="59"/>
      <c r="P106" s="59"/>
      <c r="Q106" s="59"/>
    </row>
    <row r="107">
      <c r="A107" s="11" t="s">
        <v>5</v>
      </c>
      <c r="B107" s="103" t="s">
        <v>130</v>
      </c>
      <c r="C107" s="13">
        <v>27.0</v>
      </c>
      <c r="D107" s="14" t="str">
        <f t="shared" si="4"/>
        <v>SÁB.</v>
      </c>
      <c r="E107" s="13">
        <f t="shared" si="2"/>
        <v>2</v>
      </c>
      <c r="F107" s="104"/>
      <c r="G107" s="70"/>
      <c r="H107" s="86">
        <v>19.0</v>
      </c>
      <c r="I107" s="105" t="s">
        <v>16</v>
      </c>
      <c r="J107" s="21" t="s">
        <v>229</v>
      </c>
      <c r="K107" s="84"/>
      <c r="L107" s="84"/>
      <c r="M107" s="84"/>
      <c r="N107" s="84"/>
      <c r="O107" s="84"/>
      <c r="P107" s="84"/>
      <c r="Q107" s="84"/>
    </row>
    <row r="108">
      <c r="A108" s="11" t="s">
        <v>5</v>
      </c>
      <c r="B108" s="103" t="s">
        <v>68</v>
      </c>
      <c r="C108" s="13">
        <v>27.0</v>
      </c>
      <c r="D108" s="14" t="str">
        <f t="shared" si="4"/>
        <v>SÁB.</v>
      </c>
      <c r="E108" s="13">
        <f t="shared" si="2"/>
        <v>2</v>
      </c>
      <c r="F108" s="104"/>
      <c r="G108" s="70"/>
      <c r="H108" s="86">
        <v>60.27</v>
      </c>
      <c r="I108" s="105" t="s">
        <v>16</v>
      </c>
      <c r="J108" s="21" t="s">
        <v>229</v>
      </c>
      <c r="K108" s="84"/>
      <c r="L108" s="84"/>
      <c r="M108" s="84"/>
      <c r="N108" s="84"/>
      <c r="O108" s="84"/>
      <c r="P108" s="84"/>
      <c r="Q108" s="84"/>
    </row>
    <row r="109">
      <c r="A109" s="11" t="s">
        <v>5</v>
      </c>
      <c r="B109" s="44" t="s">
        <v>230</v>
      </c>
      <c r="C109" s="13">
        <v>27.0</v>
      </c>
      <c r="D109" s="14" t="str">
        <f t="shared" si="4"/>
        <v>SÁB.</v>
      </c>
      <c r="E109" s="13">
        <f t="shared" si="2"/>
        <v>2</v>
      </c>
      <c r="F109" s="85"/>
      <c r="G109" s="45"/>
      <c r="H109" s="46">
        <v>46.0</v>
      </c>
      <c r="I109" s="58" t="s">
        <v>193</v>
      </c>
      <c r="J109" s="21" t="s">
        <v>20</v>
      </c>
      <c r="K109" s="39"/>
      <c r="L109" s="39"/>
      <c r="M109" s="39"/>
      <c r="N109" s="39"/>
      <c r="O109" s="39"/>
      <c r="P109" s="39"/>
      <c r="Q109" s="39"/>
    </row>
    <row r="110">
      <c r="A110" s="11" t="s">
        <v>5</v>
      </c>
      <c r="B110" s="44" t="s">
        <v>73</v>
      </c>
      <c r="C110" s="13">
        <v>28.0</v>
      </c>
      <c r="D110" s="14" t="str">
        <f t="shared" si="4"/>
        <v>DOM.</v>
      </c>
      <c r="E110" s="13">
        <f t="shared" si="2"/>
        <v>2</v>
      </c>
      <c r="F110" s="85"/>
      <c r="G110" s="45"/>
      <c r="H110" s="46">
        <v>23.2</v>
      </c>
      <c r="I110" s="58" t="s">
        <v>13</v>
      </c>
      <c r="J110" s="21" t="s">
        <v>20</v>
      </c>
      <c r="K110" s="39"/>
      <c r="L110" s="39"/>
      <c r="M110" s="39"/>
      <c r="N110" s="39"/>
      <c r="O110" s="39"/>
      <c r="P110" s="39"/>
      <c r="Q110" s="39"/>
    </row>
    <row r="111">
      <c r="A111" s="11" t="s">
        <v>5</v>
      </c>
      <c r="B111" s="44" t="s">
        <v>231</v>
      </c>
      <c r="C111" s="13">
        <v>28.0</v>
      </c>
      <c r="D111" s="14" t="str">
        <f t="shared" si="4"/>
        <v>DOM.</v>
      </c>
      <c r="E111" s="13">
        <f t="shared" si="2"/>
        <v>2</v>
      </c>
      <c r="F111" s="85"/>
      <c r="G111" s="45"/>
      <c r="H111" s="46">
        <v>21.47</v>
      </c>
      <c r="I111" s="58" t="s">
        <v>193</v>
      </c>
      <c r="J111" s="21" t="s">
        <v>20</v>
      </c>
      <c r="K111" s="39"/>
      <c r="L111" s="39"/>
      <c r="M111" s="39"/>
      <c r="N111" s="39"/>
      <c r="O111" s="39"/>
      <c r="P111" s="39"/>
      <c r="Q111" s="39"/>
    </row>
    <row r="112">
      <c r="A112" s="11" t="s">
        <v>5</v>
      </c>
      <c r="B112" s="44" t="s">
        <v>232</v>
      </c>
      <c r="C112" s="13">
        <v>28.0</v>
      </c>
      <c r="D112" s="14" t="str">
        <f t="shared" si="4"/>
        <v>DOM.</v>
      </c>
      <c r="E112" s="13">
        <f t="shared" si="2"/>
        <v>2</v>
      </c>
      <c r="F112" s="85"/>
      <c r="G112" s="45"/>
      <c r="H112" s="46">
        <v>509.12</v>
      </c>
      <c r="I112" s="58" t="s">
        <v>16</v>
      </c>
      <c r="J112" s="21" t="s">
        <v>233</v>
      </c>
      <c r="K112" s="39"/>
      <c r="L112" s="39"/>
      <c r="M112" s="39"/>
      <c r="N112" s="39"/>
      <c r="O112" s="39"/>
      <c r="P112" s="39"/>
      <c r="Q112" s="39"/>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25460.12</v>
      </c>
      <c r="H116" s="120">
        <f>SUMIF(A3:A115,"PAGO",H3:H115)</f>
        <v>20817.19</v>
      </c>
      <c r="I116" s="121"/>
      <c r="J116" s="117"/>
      <c r="K116" s="120">
        <f t="shared" ref="K116:K117" si="5">G116-H116</f>
        <v>4642.93</v>
      </c>
      <c r="L116" s="120"/>
      <c r="M116" s="120"/>
      <c r="N116" s="120"/>
      <c r="O116" s="120"/>
      <c r="P116" s="120"/>
      <c r="Q116" s="120"/>
    </row>
    <row r="117" ht="15.75" customHeight="1">
      <c r="A117" s="115"/>
      <c r="B117" s="122" t="s">
        <v>143</v>
      </c>
      <c r="C117" s="117"/>
      <c r="D117" s="123"/>
      <c r="E117" s="124"/>
      <c r="F117" s="124"/>
      <c r="G117" s="125">
        <f>SUMIF(A3:A115,"PAGO",G3:G115) + SUMIF(A3:A115,"PREVISTO",G3:G115)</f>
        <v>25460.12</v>
      </c>
      <c r="H117" s="125">
        <f>SUMIF(A3:A115,"PAGO",H3:H115) + SUMIF(A3:A115,"PREVISTO",H3:H115)</f>
        <v>20817.19</v>
      </c>
      <c r="I117" s="121"/>
      <c r="J117" s="122" t="s">
        <v>144</v>
      </c>
      <c r="K117" s="125">
        <f t="shared" si="5"/>
        <v>4642.93</v>
      </c>
      <c r="L117" s="125"/>
      <c r="M117" s="125"/>
      <c r="N117" s="125"/>
      <c r="O117" s="125"/>
      <c r="P117" s="125"/>
      <c r="Q117" s="125"/>
    </row>
    <row r="118">
      <c r="A118" s="126"/>
      <c r="B118" s="127"/>
      <c r="C118" s="93"/>
      <c r="D118" s="128"/>
      <c r="E118" s="129"/>
      <c r="F118" s="129"/>
      <c r="G118" s="130"/>
      <c r="H118" s="130"/>
      <c r="I118" s="131"/>
      <c r="J118" s="132" t="s">
        <v>13</v>
      </c>
      <c r="K118" s="133">
        <f>(SUMIFS(G3:G115,I3:I115,J118,A3:A115,"PAGO") + SUMIFS(G3:G115,I3:I115,J118,A3:A115,"CONTAS")) - (SUMIFS(H3:H115,I3:I115,J118,A3:A115,"PAGO") + SUMIFS(H3:H115,I3:I115,J118,A3:A115,"CONTAS"))</f>
        <v>541.55</v>
      </c>
      <c r="L118" s="133"/>
      <c r="M118" s="133"/>
      <c r="N118" s="133"/>
      <c r="O118" s="133"/>
      <c r="P118" s="133"/>
      <c r="Q118" s="133"/>
    </row>
    <row r="119">
      <c r="A119" s="134"/>
      <c r="B119" s="135"/>
      <c r="C119" s="93"/>
      <c r="D119" s="128"/>
      <c r="E119" s="129"/>
      <c r="F119" s="129"/>
      <c r="G119" s="130"/>
      <c r="H119" s="130"/>
      <c r="I119" s="131"/>
      <c r="J119" s="132" t="s">
        <v>15</v>
      </c>
      <c r="K119" s="133">
        <f>(SUMIFS(G3:G115,I3:I115,J119,A3:A115,"PAGO") + SUMIFS(G3:G115,I3:I115,J119,A3:A115,"CONTAS")) - (SUMIFS(H3:H115,I3:I115,J119,A3:A115,"PAGO") + SUMIFS(H3:H115,I3:I115,J119,A3:A115,"CONTAS"))</f>
        <v>2.85</v>
      </c>
      <c r="L119" s="133"/>
      <c r="M119" s="133"/>
      <c r="N119" s="133"/>
      <c r="O119" s="133"/>
      <c r="P119" s="133"/>
      <c r="Q119" s="133"/>
    </row>
    <row r="120">
      <c r="A120" s="134"/>
      <c r="B120" s="136"/>
      <c r="C120" s="137"/>
      <c r="D120" s="128"/>
      <c r="E120" s="129"/>
      <c r="F120" s="129"/>
      <c r="G120" s="130"/>
      <c r="H120" s="130"/>
      <c r="I120" s="131"/>
      <c r="J120" s="132" t="s">
        <v>16</v>
      </c>
      <c r="K120" s="133">
        <f>(SUMIFS(G3:G115,I3:I115,J120,A3:A115,"PAGO") + SUMIFS(G3:G115,I3:I115,J120,A3:A115,"CONTAS")) - (SUMIFS(H3:H115,I3:I115,J120,A3:A115,"PAGO") + SUMIFS(H3:H115,I3:I115,J120,A3:A115,"CONTAS"))</f>
        <v>1305.05</v>
      </c>
      <c r="L120" s="133"/>
      <c r="M120" s="133"/>
      <c r="N120" s="133"/>
      <c r="O120" s="133"/>
      <c r="P120" s="133"/>
      <c r="Q120" s="133"/>
    </row>
    <row r="121">
      <c r="A121" s="134"/>
      <c r="B121" s="136"/>
      <c r="C121" s="137"/>
      <c r="D121" s="128"/>
      <c r="E121" s="129"/>
      <c r="F121" s="129"/>
      <c r="G121" s="130"/>
      <c r="H121" s="130"/>
      <c r="I121" s="131"/>
      <c r="J121" s="132" t="s">
        <v>17</v>
      </c>
      <c r="K121" s="133">
        <f>(SUMIFS(G3:G115,I3:I115,J121,A3:A115,"PAGO") + SUMIFS(G3:G115,I3:I115,J121,A3:A115,"CONTAS")) - (SUMIFS(H3:H115,I3:I115,J121,A3:A115,"PAGO") + SUMIFS(H3:H115,I3:I115,J121,A3:A115,"CONTAS"))</f>
        <v>285.28</v>
      </c>
      <c r="L121" s="133"/>
      <c r="M121" s="133"/>
      <c r="N121" s="133"/>
      <c r="O121" s="133"/>
      <c r="P121" s="133"/>
      <c r="Q121" s="133"/>
    </row>
    <row r="122">
      <c r="A122" s="134"/>
      <c r="B122" s="93"/>
      <c r="C122" s="137"/>
      <c r="D122" s="138"/>
      <c r="E122" s="139"/>
      <c r="F122" s="139"/>
      <c r="G122" s="140"/>
      <c r="H122" s="140"/>
      <c r="I122" s="131"/>
      <c r="J122" s="132" t="s">
        <v>18</v>
      </c>
      <c r="K122" s="133">
        <f t="shared" ref="K122:K124" si="6">(SUMIFS(G3:G115,I3:I115,J122,A3:A115,"PAGO") + SUMIFS(G3:G115,I3:I115,J122,A3:A115,"CONTAS")) - (SUMIFS(H3:H115,I3:I115,J122,A3:A115,"PAGO") + SUMIFS(H3:H115,I3:I115,J122,A3:A115,"CONTAS"))</f>
        <v>9.52</v>
      </c>
      <c r="L122" s="133"/>
      <c r="M122" s="133"/>
      <c r="N122" s="133"/>
      <c r="O122" s="133"/>
      <c r="P122" s="133"/>
      <c r="Q122" s="133"/>
    </row>
    <row r="123">
      <c r="A123" s="134"/>
      <c r="B123" s="137"/>
      <c r="C123" s="93"/>
      <c r="D123" s="138"/>
      <c r="E123" s="139"/>
      <c r="F123" s="139"/>
      <c r="G123" s="140"/>
      <c r="H123" s="140"/>
      <c r="I123" s="131"/>
      <c r="J123" s="132" t="s">
        <v>193</v>
      </c>
      <c r="K123" s="133">
        <f t="shared" si="6"/>
        <v>419.58</v>
      </c>
      <c r="L123" s="93"/>
      <c r="M123" s="93"/>
      <c r="N123" s="93"/>
      <c r="O123" s="93"/>
      <c r="P123" s="93"/>
      <c r="Q123" s="93"/>
    </row>
    <row r="124">
      <c r="A124" s="134"/>
      <c r="B124" s="137"/>
      <c r="C124" s="93"/>
      <c r="D124" s="138"/>
      <c r="E124" s="139"/>
      <c r="F124" s="139"/>
      <c r="G124" s="140"/>
      <c r="H124" s="140"/>
      <c r="I124" s="131"/>
      <c r="J124" s="132" t="s">
        <v>196</v>
      </c>
      <c r="K124" s="133">
        <f t="shared" si="6"/>
        <v>2079.1</v>
      </c>
      <c r="L124" s="93"/>
      <c r="M124" s="93"/>
      <c r="N124" s="93"/>
      <c r="O124" s="93"/>
      <c r="P124" s="93"/>
      <c r="Q124" s="93"/>
    </row>
    <row r="125">
      <c r="A125" s="134"/>
      <c r="B125" s="137"/>
      <c r="C125" s="93"/>
      <c r="D125" s="138"/>
      <c r="E125" s="139"/>
      <c r="F125" s="139"/>
      <c r="G125" s="140"/>
      <c r="H125" s="140"/>
      <c r="I125" s="131"/>
      <c r="J125" s="93"/>
      <c r="K125" s="93"/>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FF238D65-B29E-47B3-BB76-09A78DB37DDE}" filter="1" showAutoFilter="1">
      <autoFilter ref="$A$2:$K$9"/>
    </customSheetView>
    <customSheetView guid="{5F890A4C-8AFA-4126-80E7-AF0191C5590F}" filter="1" showAutoFilter="1">
      <autoFilter ref="$A$2:$K$9"/>
    </customSheetView>
    <customSheetView guid="{8E320149-1ED8-4245-AE83-2AF08A85D2EE}" filter="1" showAutoFilter="1">
      <autoFilter ref="$A$2:$K$9"/>
    </customSheetView>
    <customSheetView guid="{F6E0E906-D63E-467F-B486-84E6C0126E80}" filter="1" showAutoFilter="1">
      <autoFilter ref="$A$2:$K$9"/>
    </customSheetView>
    <customSheetView guid="{55ED7845-B94B-4003-AD57-D4008EE7E009}" filter="1" showAutoFilter="1">
      <autoFilter ref="$A$2:$K$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2.63"/>
    <col customWidth="1" min="3" max="3" width="3.25"/>
    <col customWidth="1" min="4" max="5" width="3.63"/>
    <col customWidth="1" min="6" max="8" width="8.88"/>
    <col customWidth="1" min="9" max="9" width="12.88"/>
    <col customWidth="1" min="10" max="10" width="44.75"/>
    <col customWidth="1" min="11" max="17" width="8.88"/>
  </cols>
  <sheetData>
    <row r="1">
      <c r="A1" s="1">
        <v>2021.0</v>
      </c>
      <c r="B1" s="2"/>
      <c r="C1" s="3"/>
      <c r="D1" s="4"/>
      <c r="E1" s="5"/>
      <c r="F1" s="5"/>
      <c r="G1" s="5"/>
      <c r="H1" s="160"/>
      <c r="I1" s="5"/>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3.0</v>
      </c>
      <c r="D3" s="14"/>
      <c r="E3" s="164"/>
      <c r="F3" s="164"/>
      <c r="G3" s="165"/>
      <c r="H3" s="166"/>
      <c r="I3" s="167"/>
      <c r="J3" s="19"/>
      <c r="K3" s="168"/>
      <c r="L3" s="168"/>
      <c r="M3" s="168"/>
      <c r="N3" s="168"/>
      <c r="O3" s="168"/>
      <c r="P3" s="168"/>
      <c r="Q3" s="168"/>
    </row>
    <row r="4">
      <c r="A4" s="89" t="s">
        <v>5</v>
      </c>
      <c r="B4" s="90" t="s">
        <v>145</v>
      </c>
      <c r="C4" s="62">
        <v>1.0</v>
      </c>
      <c r="D4" s="14" t="str">
        <f t="shared" ref="D4:D22" si="1">UPPER(TEXT(WEEKDAY(DATEVALUE(CONCATENATE(C4,"/",$C$3,"/",$A$1))),"DDD"))</f>
        <v>SEG.</v>
      </c>
      <c r="E4" s="62">
        <f t="shared" ref="E4:E76" si="2">$C$3</f>
        <v>3</v>
      </c>
      <c r="F4" s="91"/>
      <c r="G4" s="88">
        <f>fevereiro!K118</f>
        <v>541.55</v>
      </c>
      <c r="H4" s="92"/>
      <c r="I4" s="33" t="s">
        <v>13</v>
      </c>
      <c r="J4" s="90" t="s">
        <v>14</v>
      </c>
      <c r="K4" s="93"/>
      <c r="L4" s="93"/>
      <c r="M4" s="93"/>
      <c r="N4" s="93"/>
      <c r="O4" s="93"/>
      <c r="P4" s="93"/>
      <c r="Q4" s="93"/>
    </row>
    <row r="5">
      <c r="A5" s="161" t="s">
        <v>5</v>
      </c>
      <c r="B5" s="169" t="s">
        <v>145</v>
      </c>
      <c r="C5" s="163">
        <v>1.0</v>
      </c>
      <c r="D5" s="14" t="str">
        <f t="shared" si="1"/>
        <v>SEG.</v>
      </c>
      <c r="E5" s="163">
        <f t="shared" si="2"/>
        <v>3</v>
      </c>
      <c r="F5" s="164"/>
      <c r="G5" s="165">
        <f>fevereiro!K119</f>
        <v>2.85</v>
      </c>
      <c r="H5" s="166"/>
      <c r="I5" s="167" t="s">
        <v>15</v>
      </c>
      <c r="J5" s="169" t="s">
        <v>14</v>
      </c>
      <c r="K5" s="110"/>
      <c r="L5" s="110"/>
      <c r="M5" s="110"/>
      <c r="N5" s="110"/>
      <c r="O5" s="110"/>
      <c r="P5" s="110"/>
      <c r="Q5" s="110"/>
    </row>
    <row r="6">
      <c r="A6" s="89" t="s">
        <v>5</v>
      </c>
      <c r="B6" s="90" t="s">
        <v>145</v>
      </c>
      <c r="C6" s="62">
        <v>1.0</v>
      </c>
      <c r="D6" s="14" t="str">
        <f t="shared" si="1"/>
        <v>SEG.</v>
      </c>
      <c r="E6" s="62">
        <f t="shared" si="2"/>
        <v>3</v>
      </c>
      <c r="F6" s="91"/>
      <c r="G6" s="88">
        <f>fevereiro!K120</f>
        <v>1305.05</v>
      </c>
      <c r="H6" s="92"/>
      <c r="I6" s="33" t="s">
        <v>16</v>
      </c>
      <c r="J6" s="90" t="s">
        <v>14</v>
      </c>
      <c r="K6" s="93"/>
      <c r="L6" s="93"/>
      <c r="M6" s="93"/>
      <c r="N6" s="93"/>
      <c r="O6" s="93"/>
      <c r="P6" s="93"/>
      <c r="Q6" s="93"/>
    </row>
    <row r="7">
      <c r="A7" s="161" t="s">
        <v>5</v>
      </c>
      <c r="B7" s="169" t="s">
        <v>145</v>
      </c>
      <c r="C7" s="163">
        <v>1.0</v>
      </c>
      <c r="D7" s="14" t="str">
        <f t="shared" si="1"/>
        <v>SEG.</v>
      </c>
      <c r="E7" s="163">
        <f t="shared" si="2"/>
        <v>3</v>
      </c>
      <c r="F7" s="164"/>
      <c r="G7" s="165">
        <f>fevereiro!K121</f>
        <v>285.28</v>
      </c>
      <c r="H7" s="166"/>
      <c r="I7" s="167" t="s">
        <v>17</v>
      </c>
      <c r="J7" s="169" t="s">
        <v>14</v>
      </c>
      <c r="K7" s="110"/>
      <c r="L7" s="110"/>
      <c r="M7" s="110"/>
      <c r="N7" s="110"/>
      <c r="O7" s="110"/>
      <c r="P7" s="110"/>
      <c r="Q7" s="110"/>
    </row>
    <row r="8">
      <c r="A8" s="89" t="s">
        <v>5</v>
      </c>
      <c r="B8" s="90" t="s">
        <v>145</v>
      </c>
      <c r="C8" s="62">
        <v>1.0</v>
      </c>
      <c r="D8" s="14" t="str">
        <f t="shared" si="1"/>
        <v>SEG.</v>
      </c>
      <c r="E8" s="62">
        <f t="shared" si="2"/>
        <v>3</v>
      </c>
      <c r="F8" s="91"/>
      <c r="G8" s="88">
        <f>fevereiro!K122</f>
        <v>9.52</v>
      </c>
      <c r="H8" s="92"/>
      <c r="I8" s="33" t="s">
        <v>18</v>
      </c>
      <c r="J8" s="90" t="s">
        <v>14</v>
      </c>
      <c r="K8" s="93"/>
      <c r="L8" s="93"/>
      <c r="M8" s="93"/>
      <c r="N8" s="93"/>
      <c r="O8" s="93"/>
      <c r="P8" s="93"/>
      <c r="Q8" s="93"/>
    </row>
    <row r="9">
      <c r="A9" s="161" t="s">
        <v>5</v>
      </c>
      <c r="B9" s="169" t="s">
        <v>145</v>
      </c>
      <c r="C9" s="163">
        <v>1.0</v>
      </c>
      <c r="D9" s="14" t="str">
        <f t="shared" si="1"/>
        <v>SEG.</v>
      </c>
      <c r="E9" s="163">
        <f t="shared" si="2"/>
        <v>3</v>
      </c>
      <c r="F9" s="164"/>
      <c r="G9" s="165">
        <f>fevereiro!K123</f>
        <v>419.58</v>
      </c>
      <c r="H9" s="166"/>
      <c r="I9" s="167" t="s">
        <v>193</v>
      </c>
      <c r="J9" s="169" t="s">
        <v>14</v>
      </c>
      <c r="K9" s="110"/>
      <c r="L9" s="110"/>
      <c r="M9" s="110"/>
      <c r="N9" s="110"/>
      <c r="O9" s="110"/>
      <c r="P9" s="110"/>
      <c r="Q9" s="110"/>
    </row>
    <row r="10">
      <c r="A10" s="89" t="s">
        <v>5</v>
      </c>
      <c r="B10" s="90" t="s">
        <v>145</v>
      </c>
      <c r="C10" s="62">
        <v>1.0</v>
      </c>
      <c r="D10" s="14" t="str">
        <f t="shared" si="1"/>
        <v>SEG.</v>
      </c>
      <c r="E10" s="62">
        <f t="shared" si="2"/>
        <v>3</v>
      </c>
      <c r="F10" s="91"/>
      <c r="G10" s="88">
        <f>fevereiro!K124</f>
        <v>2079.1</v>
      </c>
      <c r="H10" s="92"/>
      <c r="I10" s="33" t="s">
        <v>196</v>
      </c>
      <c r="J10" s="90" t="s">
        <v>14</v>
      </c>
      <c r="K10" s="93"/>
      <c r="L10" s="93"/>
      <c r="M10" s="93"/>
      <c r="N10" s="93"/>
      <c r="O10" s="93"/>
      <c r="P10" s="93"/>
      <c r="Q10" s="93"/>
    </row>
    <row r="11">
      <c r="A11" s="161" t="s">
        <v>5</v>
      </c>
      <c r="B11" s="166" t="s">
        <v>148</v>
      </c>
      <c r="C11" s="163">
        <v>1.0</v>
      </c>
      <c r="D11" s="14" t="str">
        <f t="shared" si="1"/>
        <v>SEG.</v>
      </c>
      <c r="E11" s="163">
        <f t="shared" si="2"/>
        <v>3</v>
      </c>
      <c r="F11" s="43"/>
      <c r="G11" s="45"/>
      <c r="H11" s="170">
        <v>49.03</v>
      </c>
      <c r="I11" s="171" t="s">
        <v>13</v>
      </c>
      <c r="J11" s="169" t="s">
        <v>149</v>
      </c>
      <c r="K11" s="166"/>
      <c r="L11" s="166"/>
      <c r="M11" s="166"/>
      <c r="N11" s="166"/>
      <c r="O11" s="166"/>
      <c r="P11" s="166"/>
      <c r="Q11" s="166"/>
    </row>
    <row r="12">
      <c r="A12" s="158" t="s">
        <v>5</v>
      </c>
      <c r="B12" s="34" t="s">
        <v>234</v>
      </c>
      <c r="C12" s="62">
        <v>1.0</v>
      </c>
      <c r="D12" s="25" t="str">
        <f t="shared" si="1"/>
        <v>SEG.</v>
      </c>
      <c r="E12" s="62">
        <f t="shared" si="2"/>
        <v>3</v>
      </c>
      <c r="F12" s="26"/>
      <c r="G12" s="63"/>
      <c r="H12" s="63">
        <v>327.0</v>
      </c>
      <c r="I12" s="60" t="s">
        <v>193</v>
      </c>
      <c r="J12" s="90" t="s">
        <v>226</v>
      </c>
      <c r="K12" s="59"/>
      <c r="L12" s="59"/>
      <c r="M12" s="59"/>
      <c r="N12" s="59"/>
      <c r="O12" s="59"/>
      <c r="P12" s="59"/>
      <c r="Q12" s="59"/>
    </row>
    <row r="13">
      <c r="A13" s="95" t="s">
        <v>5</v>
      </c>
      <c r="B13" s="44" t="s">
        <v>235</v>
      </c>
      <c r="C13" s="66">
        <v>1.0</v>
      </c>
      <c r="D13" s="14" t="str">
        <f t="shared" si="1"/>
        <v>SEG.</v>
      </c>
      <c r="E13" s="163">
        <f t="shared" si="2"/>
        <v>3</v>
      </c>
      <c r="F13" s="43"/>
      <c r="G13" s="46"/>
      <c r="H13" s="46">
        <v>1500.0</v>
      </c>
      <c r="I13" s="65" t="s">
        <v>196</v>
      </c>
      <c r="J13" s="44" t="s">
        <v>227</v>
      </c>
      <c r="K13" s="68"/>
      <c r="L13" s="68"/>
      <c r="M13" s="68"/>
      <c r="N13" s="68"/>
      <c r="O13" s="68"/>
      <c r="P13" s="68"/>
      <c r="Q13" s="68"/>
    </row>
    <row r="14">
      <c r="A14" s="172" t="s">
        <v>5</v>
      </c>
      <c r="B14" s="92" t="s">
        <v>30</v>
      </c>
      <c r="C14" s="62">
        <v>1.0</v>
      </c>
      <c r="D14" s="25" t="str">
        <f t="shared" si="1"/>
        <v>SEG.</v>
      </c>
      <c r="E14" s="62">
        <f t="shared" si="2"/>
        <v>3</v>
      </c>
      <c r="F14" s="26"/>
      <c r="G14" s="56"/>
      <c r="H14" s="88">
        <v>188.62</v>
      </c>
      <c r="I14" s="33" t="s">
        <v>16</v>
      </c>
      <c r="J14" s="173" t="s">
        <v>31</v>
      </c>
      <c r="K14" s="56"/>
      <c r="L14" s="56"/>
      <c r="M14" s="56"/>
      <c r="N14" s="56"/>
      <c r="O14" s="56"/>
      <c r="P14" s="56"/>
      <c r="Q14" s="56"/>
    </row>
    <row r="15">
      <c r="A15" s="174" t="s">
        <v>5</v>
      </c>
      <c r="B15" s="175" t="s">
        <v>236</v>
      </c>
      <c r="C15" s="163">
        <v>1.0</v>
      </c>
      <c r="D15" s="14" t="str">
        <f t="shared" si="1"/>
        <v>SEG.</v>
      </c>
      <c r="E15" s="163">
        <f t="shared" si="2"/>
        <v>3</v>
      </c>
      <c r="F15" s="43"/>
      <c r="G15" s="45"/>
      <c r="H15" s="165">
        <v>36.15</v>
      </c>
      <c r="I15" s="167" t="s">
        <v>196</v>
      </c>
      <c r="J15" s="176" t="s">
        <v>20</v>
      </c>
      <c r="K15" s="45"/>
      <c r="L15" s="45"/>
      <c r="M15" s="45"/>
      <c r="N15" s="45"/>
      <c r="O15" s="45"/>
      <c r="P15" s="45"/>
      <c r="Q15" s="45"/>
    </row>
    <row r="16">
      <c r="A16" s="89" t="s">
        <v>5</v>
      </c>
      <c r="B16" s="177" t="s">
        <v>21</v>
      </c>
      <c r="C16" s="62">
        <v>4.0</v>
      </c>
      <c r="D16" s="14" t="str">
        <f t="shared" si="1"/>
        <v>QUI.</v>
      </c>
      <c r="E16" s="62">
        <f t="shared" si="2"/>
        <v>3</v>
      </c>
      <c r="F16" s="26"/>
      <c r="G16" s="56"/>
      <c r="H16" s="63">
        <v>308.5</v>
      </c>
      <c r="I16" s="33" t="s">
        <v>196</v>
      </c>
      <c r="J16" s="90" t="s">
        <v>22</v>
      </c>
      <c r="K16" s="56"/>
      <c r="L16" s="56"/>
      <c r="M16" s="56"/>
      <c r="N16" s="56"/>
      <c r="O16" s="56"/>
      <c r="P16" s="56"/>
      <c r="Q16" s="56"/>
    </row>
    <row r="17">
      <c r="A17" s="161" t="s">
        <v>5</v>
      </c>
      <c r="B17" s="178" t="s">
        <v>237</v>
      </c>
      <c r="C17" s="163">
        <v>4.0</v>
      </c>
      <c r="D17" s="14" t="str">
        <f t="shared" si="1"/>
        <v>QUI.</v>
      </c>
      <c r="E17" s="163">
        <f t="shared" si="2"/>
        <v>3</v>
      </c>
      <c r="F17" s="43"/>
      <c r="G17" s="45"/>
      <c r="H17" s="46">
        <v>69.9</v>
      </c>
      <c r="I17" s="33" t="s">
        <v>196</v>
      </c>
      <c r="J17" s="169" t="s">
        <v>22</v>
      </c>
      <c r="K17" s="45"/>
      <c r="L17" s="45"/>
      <c r="M17" s="45"/>
      <c r="N17" s="45"/>
      <c r="O17" s="45"/>
      <c r="P17" s="45"/>
      <c r="Q17" s="45"/>
    </row>
    <row r="18">
      <c r="A18" s="89" t="s">
        <v>5</v>
      </c>
      <c r="B18" s="179" t="s">
        <v>138</v>
      </c>
      <c r="C18" s="62">
        <v>5.0</v>
      </c>
      <c r="D18" s="14" t="str">
        <f t="shared" si="1"/>
        <v>SEX.</v>
      </c>
      <c r="E18" s="62">
        <f t="shared" si="2"/>
        <v>3</v>
      </c>
      <c r="F18" s="26"/>
      <c r="G18" s="56"/>
      <c r="H18" s="63">
        <v>63.8</v>
      </c>
      <c r="I18" s="33" t="s">
        <v>193</v>
      </c>
      <c r="J18" s="173" t="s">
        <v>20</v>
      </c>
      <c r="K18" s="56"/>
      <c r="L18" s="56"/>
      <c r="M18" s="56"/>
      <c r="N18" s="56"/>
      <c r="O18" s="56"/>
      <c r="P18" s="56"/>
      <c r="Q18" s="56"/>
    </row>
    <row r="19">
      <c r="A19" s="161" t="s">
        <v>5</v>
      </c>
      <c r="B19" s="178" t="s">
        <v>21</v>
      </c>
      <c r="C19" s="163">
        <v>5.0</v>
      </c>
      <c r="D19" s="14" t="str">
        <f t="shared" si="1"/>
        <v>SEX.</v>
      </c>
      <c r="E19" s="163">
        <f t="shared" si="2"/>
        <v>3</v>
      </c>
      <c r="F19" s="43"/>
      <c r="G19" s="45"/>
      <c r="H19" s="46">
        <v>20.3</v>
      </c>
      <c r="I19" s="33" t="s">
        <v>193</v>
      </c>
      <c r="J19" s="169" t="s">
        <v>22</v>
      </c>
      <c r="K19" s="45"/>
      <c r="L19" s="45"/>
      <c r="M19" s="45"/>
      <c r="N19" s="45"/>
      <c r="O19" s="45"/>
      <c r="P19" s="45"/>
      <c r="Q19" s="45"/>
    </row>
    <row r="20">
      <c r="A20" s="89" t="s">
        <v>5</v>
      </c>
      <c r="B20" s="44" t="s">
        <v>37</v>
      </c>
      <c r="C20" s="62">
        <v>8.0</v>
      </c>
      <c r="D20" s="14" t="str">
        <f t="shared" si="1"/>
        <v>SEG.</v>
      </c>
      <c r="E20" s="62">
        <f t="shared" si="2"/>
        <v>3</v>
      </c>
      <c r="F20" s="43"/>
      <c r="G20" s="46">
        <v>6000.0</v>
      </c>
      <c r="H20" s="46"/>
      <c r="I20" s="180" t="s">
        <v>17</v>
      </c>
      <c r="J20" s="90" t="s">
        <v>38</v>
      </c>
      <c r="K20" s="39"/>
      <c r="L20" s="39"/>
      <c r="M20" s="39"/>
      <c r="N20" s="39"/>
      <c r="O20" s="39"/>
      <c r="P20" s="39"/>
      <c r="Q20" s="39"/>
    </row>
    <row r="21">
      <c r="A21" s="161" t="s">
        <v>5</v>
      </c>
      <c r="B21" s="39" t="s">
        <v>119</v>
      </c>
      <c r="C21" s="163">
        <v>8.0</v>
      </c>
      <c r="D21" s="14" t="str">
        <f t="shared" si="1"/>
        <v>SEG.</v>
      </c>
      <c r="E21" s="163">
        <f t="shared" si="2"/>
        <v>3</v>
      </c>
      <c r="F21" s="43"/>
      <c r="G21" s="46">
        <v>0.96</v>
      </c>
      <c r="H21" s="45"/>
      <c r="I21" s="65" t="s">
        <v>17</v>
      </c>
      <c r="J21" s="169" t="s">
        <v>120</v>
      </c>
      <c r="K21" s="68"/>
      <c r="L21" s="68"/>
      <c r="M21" s="68"/>
      <c r="N21" s="68"/>
      <c r="O21" s="68"/>
      <c r="P21" s="68"/>
      <c r="Q21" s="68"/>
    </row>
    <row r="22">
      <c r="A22" s="89" t="s">
        <v>5</v>
      </c>
      <c r="B22" s="44" t="s">
        <v>39</v>
      </c>
      <c r="C22" s="62">
        <v>8.0</v>
      </c>
      <c r="D22" s="14" t="str">
        <f t="shared" si="1"/>
        <v>SEG.</v>
      </c>
      <c r="E22" s="62">
        <f t="shared" si="2"/>
        <v>3</v>
      </c>
      <c r="F22" s="43"/>
      <c r="G22" s="45"/>
      <c r="H22" s="63">
        <f>sum(H23:Q29)</f>
        <v>1123.03</v>
      </c>
      <c r="I22" s="180" t="s">
        <v>17</v>
      </c>
      <c r="J22" s="90"/>
      <c r="K22" s="39"/>
      <c r="L22" s="39"/>
      <c r="M22" s="39"/>
      <c r="N22" s="39"/>
      <c r="O22" s="39"/>
      <c r="P22" s="39"/>
      <c r="Q22" s="39"/>
    </row>
    <row r="23" outlineLevel="1">
      <c r="A23" s="161" t="s">
        <v>40</v>
      </c>
      <c r="B23" s="44" t="s">
        <v>238</v>
      </c>
      <c r="C23" s="163"/>
      <c r="D23" s="14"/>
      <c r="E23" s="163">
        <f t="shared" si="2"/>
        <v>3</v>
      </c>
      <c r="F23" s="100">
        <v>44186.0</v>
      </c>
      <c r="G23" s="45"/>
      <c r="H23" s="46">
        <v>144.63</v>
      </c>
      <c r="I23" s="41"/>
      <c r="J23" s="169" t="s">
        <v>56</v>
      </c>
      <c r="K23" s="39"/>
      <c r="L23" s="39"/>
      <c r="M23" s="39"/>
      <c r="N23" s="39"/>
      <c r="O23" s="39"/>
      <c r="P23" s="39"/>
      <c r="Q23" s="39"/>
    </row>
    <row r="24" outlineLevel="1">
      <c r="A24" s="89" t="s">
        <v>40</v>
      </c>
      <c r="B24" s="44" t="s">
        <v>239</v>
      </c>
      <c r="C24" s="62"/>
      <c r="D24" s="14"/>
      <c r="E24" s="62">
        <f t="shared" si="2"/>
        <v>3</v>
      </c>
      <c r="F24" s="94">
        <v>44228.0</v>
      </c>
      <c r="G24" s="45"/>
      <c r="H24" s="63">
        <v>1.0</v>
      </c>
      <c r="I24" s="180"/>
      <c r="J24" s="90" t="s">
        <v>157</v>
      </c>
      <c r="K24" s="39"/>
      <c r="L24" s="39"/>
      <c r="M24" s="39"/>
      <c r="N24" s="39"/>
      <c r="O24" s="39"/>
      <c r="P24" s="39"/>
      <c r="Q24" s="39"/>
    </row>
    <row r="25" outlineLevel="1">
      <c r="A25" s="161" t="s">
        <v>40</v>
      </c>
      <c r="B25" s="44" t="s">
        <v>240</v>
      </c>
      <c r="C25" s="163"/>
      <c r="D25" s="14"/>
      <c r="E25" s="163">
        <f t="shared" si="2"/>
        <v>3</v>
      </c>
      <c r="F25" s="100">
        <v>44242.0</v>
      </c>
      <c r="G25" s="45"/>
      <c r="H25" s="46">
        <v>820.17</v>
      </c>
      <c r="I25" s="41"/>
      <c r="J25" s="169" t="s">
        <v>241</v>
      </c>
      <c r="K25" s="39"/>
      <c r="L25" s="39"/>
      <c r="M25" s="39"/>
      <c r="N25" s="39"/>
      <c r="O25" s="39"/>
      <c r="P25" s="39"/>
      <c r="Q25" s="39"/>
    </row>
    <row r="26" outlineLevel="1">
      <c r="A26" s="89" t="s">
        <v>40</v>
      </c>
      <c r="B26" s="44" t="s">
        <v>242</v>
      </c>
      <c r="C26" s="62"/>
      <c r="D26" s="14"/>
      <c r="E26" s="62">
        <f t="shared" si="2"/>
        <v>3</v>
      </c>
      <c r="F26" s="94">
        <v>44247.0</v>
      </c>
      <c r="G26" s="45"/>
      <c r="H26" s="63">
        <v>108.63</v>
      </c>
      <c r="I26" s="180"/>
      <c r="J26" s="90" t="s">
        <v>243</v>
      </c>
      <c r="K26" s="39"/>
      <c r="L26" s="39"/>
      <c r="M26" s="39"/>
      <c r="N26" s="39"/>
      <c r="O26" s="39"/>
      <c r="P26" s="39"/>
      <c r="Q26" s="39"/>
    </row>
    <row r="27" outlineLevel="1">
      <c r="A27" s="161" t="s">
        <v>40</v>
      </c>
      <c r="B27" s="44" t="s">
        <v>244</v>
      </c>
      <c r="C27" s="163"/>
      <c r="D27" s="14"/>
      <c r="E27" s="163">
        <f t="shared" si="2"/>
        <v>3</v>
      </c>
      <c r="F27" s="100">
        <v>44248.0</v>
      </c>
      <c r="G27" s="45"/>
      <c r="H27" s="46">
        <v>32.9</v>
      </c>
      <c r="I27" s="41"/>
      <c r="J27" s="169" t="s">
        <v>58</v>
      </c>
      <c r="K27" s="39"/>
      <c r="L27" s="39"/>
      <c r="M27" s="39"/>
      <c r="N27" s="39"/>
      <c r="O27" s="39"/>
      <c r="P27" s="39"/>
      <c r="Q27" s="39"/>
    </row>
    <row r="28" outlineLevel="1">
      <c r="A28" s="89" t="s">
        <v>40</v>
      </c>
      <c r="B28" s="44" t="s">
        <v>245</v>
      </c>
      <c r="C28" s="62"/>
      <c r="D28" s="14"/>
      <c r="E28" s="62">
        <f t="shared" si="2"/>
        <v>3</v>
      </c>
      <c r="F28" s="94">
        <v>44252.0</v>
      </c>
      <c r="G28" s="45"/>
      <c r="H28" s="63">
        <v>2.0</v>
      </c>
      <c r="I28" s="180"/>
      <c r="J28" s="90" t="s">
        <v>54</v>
      </c>
      <c r="K28" s="39"/>
      <c r="L28" s="39"/>
      <c r="M28" s="39"/>
      <c r="N28" s="39"/>
      <c r="O28" s="39"/>
      <c r="P28" s="39"/>
      <c r="Q28" s="39"/>
    </row>
    <row r="29" outlineLevel="1">
      <c r="A29" s="161" t="s">
        <v>40</v>
      </c>
      <c r="B29" s="44" t="s">
        <v>47</v>
      </c>
      <c r="C29" s="163"/>
      <c r="D29" s="14"/>
      <c r="E29" s="163">
        <f t="shared" si="2"/>
        <v>3</v>
      </c>
      <c r="F29" s="100">
        <v>44238.0</v>
      </c>
      <c r="G29" s="45"/>
      <c r="H29" s="46">
        <v>13.7</v>
      </c>
      <c r="I29" s="41"/>
      <c r="J29" s="169" t="s">
        <v>48</v>
      </c>
      <c r="K29" s="39"/>
      <c r="L29" s="39"/>
      <c r="M29" s="39"/>
      <c r="N29" s="39"/>
      <c r="O29" s="39"/>
      <c r="P29" s="39"/>
      <c r="Q29" s="39"/>
    </row>
    <row r="30" outlineLevel="1">
      <c r="A30" s="89"/>
      <c r="B30" s="44"/>
      <c r="C30" s="62"/>
      <c r="D30" s="14"/>
      <c r="E30" s="62">
        <f t="shared" si="2"/>
        <v>3</v>
      </c>
      <c r="F30" s="94"/>
      <c r="G30" s="45"/>
      <c r="H30" s="63"/>
      <c r="I30" s="180"/>
      <c r="J30" s="90"/>
      <c r="K30" s="39"/>
      <c r="L30" s="39"/>
      <c r="M30" s="39"/>
      <c r="N30" s="39"/>
      <c r="O30" s="39"/>
      <c r="P30" s="39"/>
      <c r="Q30" s="39"/>
    </row>
    <row r="31">
      <c r="A31" s="161" t="s">
        <v>5</v>
      </c>
      <c r="B31" s="55" t="s">
        <v>59</v>
      </c>
      <c r="C31" s="163">
        <v>8.0</v>
      </c>
      <c r="D31" s="14" t="str">
        <f t="shared" ref="D31:D41" si="3">UPPER(TEXT(WEEKDAY(DATEVALUE(CONCATENATE(C31,"/",$C$3,"/",$A$1))),"DDD"))</f>
        <v>SEG.</v>
      </c>
      <c r="E31" s="163">
        <f t="shared" si="2"/>
        <v>3</v>
      </c>
      <c r="F31" s="26"/>
      <c r="G31" s="56"/>
      <c r="H31" s="57">
        <v>539.99</v>
      </c>
      <c r="I31" s="41" t="s">
        <v>17</v>
      </c>
      <c r="J31" s="169" t="s">
        <v>60</v>
      </c>
      <c r="K31" s="59"/>
      <c r="L31" s="59"/>
      <c r="M31" s="59"/>
      <c r="N31" s="59"/>
      <c r="O31" s="59"/>
      <c r="P31" s="59"/>
      <c r="Q31" s="59"/>
    </row>
    <row r="32">
      <c r="A32" s="89" t="s">
        <v>5</v>
      </c>
      <c r="B32" s="39" t="s">
        <v>61</v>
      </c>
      <c r="C32" s="62">
        <v>8.0</v>
      </c>
      <c r="D32" s="14" t="str">
        <f t="shared" si="3"/>
        <v>SEG.</v>
      </c>
      <c r="E32" s="62">
        <f t="shared" si="2"/>
        <v>3</v>
      </c>
      <c r="F32" s="43"/>
      <c r="G32" s="45"/>
      <c r="H32" s="46">
        <v>149.99</v>
      </c>
      <c r="I32" s="180" t="s">
        <v>16</v>
      </c>
      <c r="J32" s="90" t="s">
        <v>62</v>
      </c>
      <c r="K32" s="39"/>
      <c r="L32" s="39"/>
      <c r="M32" s="39"/>
      <c r="N32" s="39"/>
      <c r="O32" s="39"/>
      <c r="P32" s="39"/>
      <c r="Q32" s="39"/>
    </row>
    <row r="33">
      <c r="A33" s="181" t="s">
        <v>5</v>
      </c>
      <c r="B33" s="39" t="s">
        <v>117</v>
      </c>
      <c r="C33" s="66">
        <v>8.0</v>
      </c>
      <c r="D33" s="14" t="str">
        <f t="shared" si="3"/>
        <v>SEG.</v>
      </c>
      <c r="E33" s="163">
        <f t="shared" si="2"/>
        <v>3</v>
      </c>
      <c r="F33" s="43"/>
      <c r="G33" s="45"/>
      <c r="H33" s="53">
        <v>20.0</v>
      </c>
      <c r="I33" s="41" t="s">
        <v>17</v>
      </c>
      <c r="J33" s="42" t="s">
        <v>118</v>
      </c>
      <c r="K33" s="68"/>
      <c r="L33" s="68"/>
      <c r="M33" s="68"/>
      <c r="N33" s="68"/>
      <c r="O33" s="68"/>
      <c r="P33" s="68"/>
      <c r="Q33" s="68"/>
    </row>
    <row r="34">
      <c r="A34" s="89" t="s">
        <v>5</v>
      </c>
      <c r="B34" s="44" t="s">
        <v>246</v>
      </c>
      <c r="C34" s="62">
        <v>8.0</v>
      </c>
      <c r="D34" s="14" t="str">
        <f t="shared" si="3"/>
        <v>SEG.</v>
      </c>
      <c r="E34" s="62">
        <f t="shared" si="2"/>
        <v>3</v>
      </c>
      <c r="F34" s="94"/>
      <c r="G34" s="45"/>
      <c r="H34" s="46">
        <v>800.0</v>
      </c>
      <c r="I34" s="180" t="s">
        <v>17</v>
      </c>
      <c r="J34" s="137" t="s">
        <v>101</v>
      </c>
      <c r="K34" s="39"/>
      <c r="L34" s="39"/>
      <c r="M34" s="39"/>
      <c r="N34" s="39"/>
      <c r="O34" s="39"/>
      <c r="P34" s="39"/>
      <c r="Q34" s="39"/>
    </row>
    <row r="35">
      <c r="A35" s="161" t="s">
        <v>5</v>
      </c>
      <c r="B35" s="61" t="s">
        <v>21</v>
      </c>
      <c r="C35" s="163">
        <v>10.0</v>
      </c>
      <c r="D35" s="14" t="str">
        <f t="shared" si="3"/>
        <v>QUA.</v>
      </c>
      <c r="E35" s="163">
        <f t="shared" si="2"/>
        <v>3</v>
      </c>
      <c r="F35" s="26"/>
      <c r="G35" s="56"/>
      <c r="H35" s="63">
        <v>8.48</v>
      </c>
      <c r="I35" s="41" t="s">
        <v>193</v>
      </c>
      <c r="J35" s="169" t="s">
        <v>22</v>
      </c>
      <c r="K35" s="59"/>
      <c r="L35" s="59"/>
      <c r="M35" s="59"/>
      <c r="N35" s="59"/>
      <c r="O35" s="59"/>
      <c r="P35" s="59"/>
      <c r="Q35" s="59"/>
    </row>
    <row r="36">
      <c r="A36" s="89" t="s">
        <v>5</v>
      </c>
      <c r="B36" s="61" t="s">
        <v>21</v>
      </c>
      <c r="C36" s="62">
        <v>10.0</v>
      </c>
      <c r="D36" s="14" t="str">
        <f t="shared" si="3"/>
        <v>QUA.</v>
      </c>
      <c r="E36" s="62">
        <f t="shared" si="2"/>
        <v>3</v>
      </c>
      <c r="F36" s="26"/>
      <c r="G36" s="56"/>
      <c r="H36" s="63">
        <v>164.55</v>
      </c>
      <c r="I36" s="180" t="s">
        <v>196</v>
      </c>
      <c r="J36" s="90" t="s">
        <v>22</v>
      </c>
      <c r="K36" s="59"/>
      <c r="L36" s="59"/>
      <c r="M36" s="59"/>
      <c r="N36" s="59"/>
      <c r="O36" s="59"/>
      <c r="P36" s="59"/>
      <c r="Q36" s="59"/>
    </row>
    <row r="37">
      <c r="A37" s="161" t="s">
        <v>5</v>
      </c>
      <c r="B37" s="61" t="s">
        <v>21</v>
      </c>
      <c r="C37" s="163">
        <v>10.0</v>
      </c>
      <c r="D37" s="14" t="str">
        <f t="shared" si="3"/>
        <v>QUA.</v>
      </c>
      <c r="E37" s="163">
        <f t="shared" si="2"/>
        <v>3</v>
      </c>
      <c r="F37" s="26"/>
      <c r="G37" s="56"/>
      <c r="H37" s="63">
        <v>104.23</v>
      </c>
      <c r="I37" s="41" t="s">
        <v>16</v>
      </c>
      <c r="J37" s="169" t="s">
        <v>22</v>
      </c>
      <c r="K37" s="59"/>
      <c r="L37" s="59"/>
      <c r="M37" s="59"/>
      <c r="N37" s="59"/>
      <c r="O37" s="59"/>
      <c r="P37" s="59"/>
      <c r="Q37" s="59"/>
    </row>
    <row r="38">
      <c r="A38" s="89" t="s">
        <v>5</v>
      </c>
      <c r="B38" s="34" t="s">
        <v>225</v>
      </c>
      <c r="C38" s="62">
        <v>10.0</v>
      </c>
      <c r="D38" s="14" t="str">
        <f t="shared" si="3"/>
        <v>QUA.</v>
      </c>
      <c r="E38" s="62">
        <f t="shared" si="2"/>
        <v>3</v>
      </c>
      <c r="F38" s="94">
        <v>44263.0</v>
      </c>
      <c r="G38" s="56"/>
      <c r="H38" s="63">
        <v>735.0</v>
      </c>
      <c r="I38" s="180" t="s">
        <v>17</v>
      </c>
      <c r="J38" s="90" t="s">
        <v>67</v>
      </c>
      <c r="K38" s="59"/>
      <c r="L38" s="59"/>
      <c r="M38" s="59"/>
      <c r="N38" s="59"/>
      <c r="O38" s="59"/>
      <c r="P38" s="59"/>
      <c r="Q38" s="59"/>
    </row>
    <row r="39">
      <c r="A39" s="161" t="s">
        <v>5</v>
      </c>
      <c r="B39" s="44" t="s">
        <v>74</v>
      </c>
      <c r="C39" s="163">
        <v>10.0</v>
      </c>
      <c r="D39" s="14" t="str">
        <f t="shared" si="3"/>
        <v>QUA.</v>
      </c>
      <c r="E39" s="163">
        <f t="shared" si="2"/>
        <v>3</v>
      </c>
      <c r="F39" s="94">
        <v>44263.0</v>
      </c>
      <c r="G39" s="45"/>
      <c r="H39" s="46">
        <v>102.0</v>
      </c>
      <c r="I39" s="41" t="s">
        <v>17</v>
      </c>
      <c r="J39" s="169" t="s">
        <v>75</v>
      </c>
      <c r="K39" s="39"/>
      <c r="L39" s="39"/>
      <c r="M39" s="39"/>
      <c r="N39" s="39"/>
      <c r="O39" s="39"/>
      <c r="P39" s="39"/>
      <c r="Q39" s="39"/>
    </row>
    <row r="40">
      <c r="A40" s="89" t="s">
        <v>5</v>
      </c>
      <c r="B40" s="61" t="s">
        <v>119</v>
      </c>
      <c r="C40" s="62">
        <v>10.0</v>
      </c>
      <c r="D40" s="14" t="str">
        <f t="shared" si="3"/>
        <v>QUA.</v>
      </c>
      <c r="E40" s="62">
        <f t="shared" si="2"/>
        <v>3</v>
      </c>
      <c r="F40" s="26"/>
      <c r="G40" s="63">
        <v>0.08</v>
      </c>
      <c r="H40" s="56"/>
      <c r="I40" s="180" t="s">
        <v>13</v>
      </c>
      <c r="J40" s="90" t="s">
        <v>120</v>
      </c>
      <c r="K40" s="59"/>
      <c r="L40" s="59"/>
      <c r="M40" s="59"/>
      <c r="N40" s="59"/>
      <c r="O40" s="59"/>
      <c r="P40" s="59"/>
      <c r="Q40" s="59"/>
    </row>
    <row r="41">
      <c r="A41" s="161" t="s">
        <v>5</v>
      </c>
      <c r="B41" s="39" t="s">
        <v>84</v>
      </c>
      <c r="C41" s="163">
        <v>11.0</v>
      </c>
      <c r="D41" s="14" t="str">
        <f t="shared" si="3"/>
        <v>QUI.</v>
      </c>
      <c r="E41" s="163">
        <f t="shared" si="2"/>
        <v>3</v>
      </c>
      <c r="F41" s="43"/>
      <c r="G41" s="45"/>
      <c r="H41" s="53">
        <f>SUM(H43)</f>
        <v>0</v>
      </c>
      <c r="I41" s="41" t="s">
        <v>13</v>
      </c>
      <c r="J41" s="169"/>
      <c r="K41" s="39"/>
      <c r="L41" s="39"/>
      <c r="M41" s="39"/>
      <c r="N41" s="39"/>
      <c r="O41" s="39"/>
      <c r="P41" s="39"/>
      <c r="Q41" s="39"/>
    </row>
    <row r="42" outlineLevel="1">
      <c r="A42" s="89"/>
      <c r="B42" s="55"/>
      <c r="C42" s="62"/>
      <c r="D42" s="14"/>
      <c r="E42" s="62">
        <f t="shared" si="2"/>
        <v>3</v>
      </c>
      <c r="F42" s="26"/>
      <c r="G42" s="56"/>
      <c r="H42" s="88"/>
      <c r="I42" s="180"/>
      <c r="J42" s="90"/>
      <c r="K42" s="55"/>
      <c r="L42" s="55"/>
      <c r="M42" s="55"/>
      <c r="N42" s="55"/>
      <c r="O42" s="55"/>
      <c r="P42" s="55"/>
      <c r="Q42" s="55"/>
    </row>
    <row r="43" outlineLevel="1">
      <c r="A43" s="161"/>
      <c r="B43" s="55"/>
      <c r="C43" s="163"/>
      <c r="D43" s="14"/>
      <c r="E43" s="163">
        <f t="shared" si="2"/>
        <v>3</v>
      </c>
      <c r="F43" s="26"/>
      <c r="G43" s="56"/>
      <c r="H43" s="88"/>
      <c r="I43" s="41"/>
      <c r="J43" s="169"/>
      <c r="K43" s="55"/>
      <c r="L43" s="55"/>
      <c r="M43" s="55"/>
      <c r="N43" s="55"/>
      <c r="O43" s="55"/>
      <c r="P43" s="55"/>
      <c r="Q43" s="55"/>
    </row>
    <row r="44">
      <c r="A44" s="89" t="s">
        <v>5</v>
      </c>
      <c r="B44" s="44" t="s">
        <v>73</v>
      </c>
      <c r="C44" s="62">
        <v>11.0</v>
      </c>
      <c r="D44" s="14" t="str">
        <f t="shared" ref="D44:D76" si="4">UPPER(TEXT(WEEKDAY(DATEVALUE(CONCATENATE(C44,"/",$C$3,"/",$A$1))),"DDD"))</f>
        <v>QUI.</v>
      </c>
      <c r="E44" s="62">
        <f t="shared" si="2"/>
        <v>3</v>
      </c>
      <c r="F44" s="85"/>
      <c r="G44" s="45"/>
      <c r="H44" s="46">
        <v>25.0</v>
      </c>
      <c r="I44" s="180" t="s">
        <v>17</v>
      </c>
      <c r="J44" s="90" t="s">
        <v>20</v>
      </c>
      <c r="K44" s="90"/>
      <c r="L44" s="90"/>
      <c r="M44" s="90"/>
      <c r="N44" s="90"/>
      <c r="O44" s="39"/>
      <c r="P44" s="39"/>
      <c r="Q44" s="39"/>
    </row>
    <row r="45">
      <c r="A45" s="161" t="s">
        <v>5</v>
      </c>
      <c r="B45" s="44" t="s">
        <v>247</v>
      </c>
      <c r="C45" s="163">
        <v>12.0</v>
      </c>
      <c r="D45" s="14" t="str">
        <f t="shared" si="4"/>
        <v>SEX.</v>
      </c>
      <c r="E45" s="163">
        <f t="shared" si="2"/>
        <v>3</v>
      </c>
      <c r="F45" s="26"/>
      <c r="G45" s="56"/>
      <c r="H45" s="88">
        <v>33.0</v>
      </c>
      <c r="I45" s="41" t="s">
        <v>17</v>
      </c>
      <c r="J45" s="169" t="s">
        <v>20</v>
      </c>
      <c r="K45" s="169"/>
      <c r="L45" s="169"/>
      <c r="M45" s="169"/>
      <c r="N45" s="169"/>
      <c r="O45" s="55"/>
      <c r="P45" s="55"/>
      <c r="Q45" s="55"/>
    </row>
    <row r="46">
      <c r="A46" s="89" t="s">
        <v>5</v>
      </c>
      <c r="B46" s="39" t="s">
        <v>102</v>
      </c>
      <c r="C46" s="62">
        <v>15.0</v>
      </c>
      <c r="D46" s="14" t="str">
        <f t="shared" si="4"/>
        <v>SEG.</v>
      </c>
      <c r="E46" s="62">
        <f t="shared" si="2"/>
        <v>3</v>
      </c>
      <c r="F46" s="94">
        <v>44263.0</v>
      </c>
      <c r="G46" s="45"/>
      <c r="H46" s="46">
        <v>208.7</v>
      </c>
      <c r="I46" s="180" t="s">
        <v>16</v>
      </c>
      <c r="J46" s="90" t="s">
        <v>75</v>
      </c>
      <c r="K46" s="39"/>
      <c r="L46" s="39"/>
      <c r="M46" s="39"/>
      <c r="N46" s="39"/>
      <c r="O46" s="39"/>
      <c r="P46" s="39"/>
      <c r="Q46" s="39"/>
    </row>
    <row r="47">
      <c r="A47" s="161" t="s">
        <v>5</v>
      </c>
      <c r="B47" s="61" t="s">
        <v>103</v>
      </c>
      <c r="C47" s="163">
        <v>15.0</v>
      </c>
      <c r="D47" s="14" t="str">
        <f t="shared" si="4"/>
        <v>SEG.</v>
      </c>
      <c r="E47" s="163">
        <f t="shared" si="2"/>
        <v>3</v>
      </c>
      <c r="F47" s="94">
        <v>44263.0</v>
      </c>
      <c r="G47" s="56"/>
      <c r="H47" s="63">
        <v>208.7</v>
      </c>
      <c r="I47" s="41" t="s">
        <v>16</v>
      </c>
      <c r="J47" s="169" t="s">
        <v>75</v>
      </c>
      <c r="K47" s="61"/>
      <c r="L47" s="61"/>
      <c r="M47" s="61"/>
      <c r="N47" s="61"/>
      <c r="O47" s="61"/>
      <c r="P47" s="61"/>
      <c r="Q47" s="61"/>
    </row>
    <row r="48">
      <c r="A48" s="89" t="s">
        <v>5</v>
      </c>
      <c r="B48" s="39" t="s">
        <v>104</v>
      </c>
      <c r="C48" s="62">
        <v>15.0</v>
      </c>
      <c r="D48" s="14" t="str">
        <f t="shared" si="4"/>
        <v>SEG.</v>
      </c>
      <c r="E48" s="62">
        <f t="shared" si="2"/>
        <v>3</v>
      </c>
      <c r="F48" s="94">
        <v>44263.0</v>
      </c>
      <c r="G48" s="45"/>
      <c r="H48" s="46">
        <v>293.88</v>
      </c>
      <c r="I48" s="180" t="s">
        <v>16</v>
      </c>
      <c r="J48" s="90" t="s">
        <v>75</v>
      </c>
      <c r="K48" s="39"/>
      <c r="L48" s="39"/>
      <c r="M48" s="39"/>
      <c r="N48" s="39"/>
      <c r="O48" s="39"/>
      <c r="P48" s="39"/>
      <c r="Q48" s="39"/>
    </row>
    <row r="49">
      <c r="A49" s="161" t="s">
        <v>5</v>
      </c>
      <c r="B49" s="44" t="s">
        <v>248</v>
      </c>
      <c r="C49" s="163">
        <v>15.0</v>
      </c>
      <c r="D49" s="14" t="str">
        <f t="shared" si="4"/>
        <v>SEG.</v>
      </c>
      <c r="E49" s="163">
        <f t="shared" si="2"/>
        <v>3</v>
      </c>
      <c r="F49" s="43"/>
      <c r="G49" s="46">
        <v>531.0</v>
      </c>
      <c r="H49" s="46"/>
      <c r="I49" s="33" t="s">
        <v>249</v>
      </c>
      <c r="J49" s="169" t="s">
        <v>250</v>
      </c>
      <c r="K49" s="39"/>
      <c r="L49" s="39"/>
      <c r="M49" s="39"/>
      <c r="N49" s="39"/>
      <c r="O49" s="39"/>
      <c r="P49" s="39"/>
      <c r="Q49" s="39"/>
    </row>
    <row r="50">
      <c r="A50" s="89" t="s">
        <v>5</v>
      </c>
      <c r="B50" s="44" t="s">
        <v>251</v>
      </c>
      <c r="C50" s="62">
        <v>15.0</v>
      </c>
      <c r="D50" s="14" t="str">
        <f t="shared" si="4"/>
        <v>SEG.</v>
      </c>
      <c r="E50" s="62">
        <f t="shared" si="2"/>
        <v>3</v>
      </c>
      <c r="F50" s="43"/>
      <c r="G50" s="46">
        <v>1154.55</v>
      </c>
      <c r="H50" s="46"/>
      <c r="I50" s="33" t="s">
        <v>252</v>
      </c>
      <c r="J50" s="90" t="s">
        <v>253</v>
      </c>
      <c r="K50" s="39"/>
      <c r="L50" s="39"/>
      <c r="M50" s="39"/>
      <c r="N50" s="39"/>
      <c r="O50" s="39"/>
      <c r="P50" s="39"/>
      <c r="Q50" s="39"/>
    </row>
    <row r="51">
      <c r="A51" s="161" t="s">
        <v>5</v>
      </c>
      <c r="B51" s="55" t="s">
        <v>91</v>
      </c>
      <c r="C51" s="163">
        <v>15.0</v>
      </c>
      <c r="D51" s="14" t="str">
        <f t="shared" si="4"/>
        <v>SEG.</v>
      </c>
      <c r="E51" s="163">
        <f t="shared" si="2"/>
        <v>3</v>
      </c>
      <c r="F51" s="26"/>
      <c r="G51" s="56"/>
      <c r="H51" s="88">
        <v>531.0</v>
      </c>
      <c r="I51" s="41" t="s">
        <v>249</v>
      </c>
      <c r="J51" s="169" t="s">
        <v>92</v>
      </c>
      <c r="K51" s="55"/>
      <c r="L51" s="55"/>
      <c r="M51" s="55"/>
      <c r="N51" s="55"/>
      <c r="O51" s="55"/>
      <c r="P51" s="55"/>
      <c r="Q51" s="55"/>
    </row>
    <row r="52">
      <c r="A52" s="89" t="s">
        <v>5</v>
      </c>
      <c r="B52" s="55" t="s">
        <v>91</v>
      </c>
      <c r="C52" s="62">
        <v>15.0</v>
      </c>
      <c r="D52" s="14" t="str">
        <f t="shared" si="4"/>
        <v>SEG.</v>
      </c>
      <c r="E52" s="62">
        <f t="shared" si="2"/>
        <v>3</v>
      </c>
      <c r="F52" s="26"/>
      <c r="G52" s="56"/>
      <c r="H52" s="88">
        <v>138.8</v>
      </c>
      <c r="I52" s="180" t="s">
        <v>17</v>
      </c>
      <c r="J52" s="90" t="s">
        <v>92</v>
      </c>
      <c r="K52" s="55"/>
      <c r="L52" s="55"/>
      <c r="M52" s="55"/>
      <c r="N52" s="55"/>
      <c r="O52" s="55"/>
      <c r="P52" s="55"/>
      <c r="Q52" s="55"/>
    </row>
    <row r="53">
      <c r="A53" s="95" t="s">
        <v>5</v>
      </c>
      <c r="B53" s="42" t="s">
        <v>109</v>
      </c>
      <c r="C53" s="41">
        <v>16.0</v>
      </c>
      <c r="D53" s="14" t="str">
        <f t="shared" si="4"/>
        <v>TER.</v>
      </c>
      <c r="E53" s="163">
        <f t="shared" si="2"/>
        <v>3</v>
      </c>
      <c r="F53" s="14"/>
      <c r="G53" s="53">
        <v>2500.0</v>
      </c>
      <c r="H53" s="53"/>
      <c r="I53" s="41" t="s">
        <v>15</v>
      </c>
      <c r="J53" s="44" t="s">
        <v>110</v>
      </c>
      <c r="K53" s="42"/>
      <c r="L53" s="96"/>
      <c r="M53" s="169"/>
      <c r="N53" s="169"/>
      <c r="O53" s="39"/>
      <c r="P53" s="39"/>
      <c r="Q53" s="39"/>
    </row>
    <row r="54">
      <c r="A54" s="89" t="s">
        <v>5</v>
      </c>
      <c r="B54" s="44" t="s">
        <v>73</v>
      </c>
      <c r="C54" s="62">
        <v>17.0</v>
      </c>
      <c r="D54" s="14" t="str">
        <f t="shared" si="4"/>
        <v>QUA.</v>
      </c>
      <c r="E54" s="62">
        <f t="shared" si="2"/>
        <v>3</v>
      </c>
      <c r="F54" s="85"/>
      <c r="G54" s="45"/>
      <c r="H54" s="46">
        <v>20.0</v>
      </c>
      <c r="I54" s="180" t="s">
        <v>17</v>
      </c>
      <c r="J54" s="90" t="s">
        <v>20</v>
      </c>
      <c r="O54" s="39"/>
      <c r="P54" s="39"/>
      <c r="Q54" s="39"/>
    </row>
    <row r="55">
      <c r="A55" s="161" t="s">
        <v>5</v>
      </c>
      <c r="B55" s="39" t="s">
        <v>119</v>
      </c>
      <c r="C55" s="163">
        <v>18.0</v>
      </c>
      <c r="D55" s="14" t="str">
        <f t="shared" si="4"/>
        <v>QUI.</v>
      </c>
      <c r="E55" s="163">
        <f t="shared" si="2"/>
        <v>3</v>
      </c>
      <c r="F55" s="43"/>
      <c r="G55" s="46">
        <v>0.94</v>
      </c>
      <c r="H55" s="45"/>
      <c r="I55" s="65" t="s">
        <v>17</v>
      </c>
      <c r="J55" s="169" t="s">
        <v>120</v>
      </c>
      <c r="K55" s="68"/>
      <c r="L55" s="68"/>
      <c r="M55" s="68"/>
      <c r="N55" s="68"/>
      <c r="O55" s="68"/>
      <c r="P55" s="68"/>
      <c r="Q55" s="68"/>
    </row>
    <row r="56">
      <c r="A56" s="89" t="s">
        <v>5</v>
      </c>
      <c r="B56" s="39" t="s">
        <v>121</v>
      </c>
      <c r="C56" s="62">
        <v>20.0</v>
      </c>
      <c r="D56" s="14" t="str">
        <f t="shared" si="4"/>
        <v>SÁB.</v>
      </c>
      <c r="E56" s="62">
        <f t="shared" si="2"/>
        <v>3</v>
      </c>
      <c r="F56" s="85"/>
      <c r="G56" s="45"/>
      <c r="H56" s="53">
        <v>140.0</v>
      </c>
      <c r="I56" s="180" t="s">
        <v>17</v>
      </c>
      <c r="J56" s="90" t="s">
        <v>122</v>
      </c>
      <c r="K56" s="39"/>
      <c r="L56" s="39"/>
      <c r="M56" s="39"/>
      <c r="N56" s="39"/>
      <c r="O56" s="39"/>
      <c r="P56" s="39"/>
      <c r="Q56" s="39"/>
    </row>
    <row r="57">
      <c r="A57" s="161" t="s">
        <v>5</v>
      </c>
      <c r="B57" s="55" t="s">
        <v>123</v>
      </c>
      <c r="C57" s="163">
        <v>20.0</v>
      </c>
      <c r="D57" s="14" t="str">
        <f t="shared" si="4"/>
        <v>SÁB.</v>
      </c>
      <c r="E57" s="163">
        <f t="shared" si="2"/>
        <v>3</v>
      </c>
      <c r="F57" s="26"/>
      <c r="G57" s="56"/>
      <c r="H57" s="88">
        <v>218.0</v>
      </c>
      <c r="I57" s="41" t="s">
        <v>17</v>
      </c>
      <c r="J57" s="169" t="s">
        <v>124</v>
      </c>
      <c r="K57" s="55"/>
      <c r="L57" s="55"/>
      <c r="M57" s="55"/>
      <c r="N57" s="55"/>
      <c r="O57" s="55"/>
      <c r="P57" s="55"/>
      <c r="Q57" s="55"/>
    </row>
    <row r="58">
      <c r="A58" s="89" t="s">
        <v>5</v>
      </c>
      <c r="B58" s="39" t="s">
        <v>125</v>
      </c>
      <c r="C58" s="62">
        <v>20.0</v>
      </c>
      <c r="D58" s="14" t="str">
        <f t="shared" si="4"/>
        <v>SÁB.</v>
      </c>
      <c r="E58" s="62">
        <f t="shared" si="2"/>
        <v>3</v>
      </c>
      <c r="F58" s="94">
        <v>44263.0</v>
      </c>
      <c r="G58" s="45"/>
      <c r="H58" s="46">
        <v>413.41</v>
      </c>
      <c r="I58" s="180" t="s">
        <v>17</v>
      </c>
      <c r="J58" s="90" t="s">
        <v>126</v>
      </c>
      <c r="K58" s="39"/>
      <c r="L58" s="39"/>
      <c r="M58" s="39"/>
      <c r="N58" s="39"/>
      <c r="O58" s="39"/>
      <c r="P58" s="39"/>
      <c r="Q58" s="39"/>
    </row>
    <row r="59">
      <c r="A59" s="181" t="s">
        <v>5</v>
      </c>
      <c r="B59" s="44" t="s">
        <v>254</v>
      </c>
      <c r="C59" s="66">
        <v>21.0</v>
      </c>
      <c r="D59" s="14" t="str">
        <f t="shared" si="4"/>
        <v>DOM.</v>
      </c>
      <c r="E59" s="163">
        <f t="shared" si="2"/>
        <v>3</v>
      </c>
      <c r="F59" s="43"/>
      <c r="G59" s="45"/>
      <c r="H59" s="46">
        <v>95.7</v>
      </c>
      <c r="I59" s="41" t="s">
        <v>252</v>
      </c>
      <c r="J59" s="169" t="s">
        <v>20</v>
      </c>
      <c r="K59" s="169"/>
      <c r="L59" s="169"/>
      <c r="M59" s="169"/>
      <c r="N59" s="169"/>
      <c r="O59" s="68"/>
      <c r="P59" s="68"/>
      <c r="Q59" s="68"/>
    </row>
    <row r="60">
      <c r="A60" s="95" t="s">
        <v>5</v>
      </c>
      <c r="B60" s="42" t="s">
        <v>114</v>
      </c>
      <c r="C60" s="66">
        <v>22.0</v>
      </c>
      <c r="D60" s="14" t="str">
        <f t="shared" si="4"/>
        <v>SEG.</v>
      </c>
      <c r="E60" s="62">
        <f t="shared" si="2"/>
        <v>3</v>
      </c>
      <c r="F60" s="43"/>
      <c r="G60" s="45"/>
      <c r="H60" s="53">
        <v>2500.0</v>
      </c>
      <c r="I60" s="65" t="s">
        <v>15</v>
      </c>
      <c r="J60" s="44" t="s">
        <v>115</v>
      </c>
      <c r="K60" s="68"/>
      <c r="L60" s="68"/>
      <c r="M60" s="68"/>
      <c r="N60" s="68"/>
      <c r="O60" s="68"/>
      <c r="P60" s="68"/>
      <c r="Q60" s="68"/>
    </row>
    <row r="61">
      <c r="A61" s="161" t="s">
        <v>5</v>
      </c>
      <c r="B61" s="39" t="s">
        <v>134</v>
      </c>
      <c r="C61" s="163">
        <v>22.0</v>
      </c>
      <c r="D61" s="14" t="str">
        <f t="shared" si="4"/>
        <v>SEG.</v>
      </c>
      <c r="E61" s="163">
        <f t="shared" si="2"/>
        <v>3</v>
      </c>
      <c r="F61" s="43"/>
      <c r="G61" s="45"/>
      <c r="H61" s="46">
        <v>244.85</v>
      </c>
      <c r="I61" s="60" t="s">
        <v>13</v>
      </c>
      <c r="J61" s="169" t="s">
        <v>135</v>
      </c>
      <c r="K61" s="39"/>
      <c r="L61" s="39"/>
      <c r="M61" s="39"/>
      <c r="N61" s="39"/>
      <c r="O61" s="39"/>
      <c r="P61" s="39"/>
      <c r="Q61" s="39"/>
    </row>
    <row r="62">
      <c r="A62" s="89" t="s">
        <v>5</v>
      </c>
      <c r="B62" s="34" t="s">
        <v>255</v>
      </c>
      <c r="C62" s="62">
        <v>23.0</v>
      </c>
      <c r="D62" s="14" t="str">
        <f t="shared" si="4"/>
        <v>TER.</v>
      </c>
      <c r="E62" s="62">
        <f t="shared" si="2"/>
        <v>3</v>
      </c>
      <c r="F62" s="94"/>
      <c r="G62" s="56"/>
      <c r="H62" s="63">
        <v>400.0</v>
      </c>
      <c r="I62" s="180" t="s">
        <v>17</v>
      </c>
      <c r="J62" s="90" t="s">
        <v>147</v>
      </c>
      <c r="K62" s="61"/>
      <c r="L62" s="61"/>
      <c r="M62" s="61"/>
      <c r="N62" s="61"/>
      <c r="O62" s="61"/>
      <c r="P62" s="61"/>
      <c r="Q62" s="61"/>
    </row>
    <row r="63">
      <c r="A63" s="161" t="s">
        <v>5</v>
      </c>
      <c r="B63" s="44" t="s">
        <v>256</v>
      </c>
      <c r="C63" s="163">
        <v>24.0</v>
      </c>
      <c r="D63" s="14" t="str">
        <f t="shared" si="4"/>
        <v>QUA.</v>
      </c>
      <c r="E63" s="163">
        <f t="shared" si="2"/>
        <v>3</v>
      </c>
      <c r="F63" s="94"/>
      <c r="G63" s="45"/>
      <c r="H63" s="46">
        <v>98.2</v>
      </c>
      <c r="I63" s="41" t="s">
        <v>16</v>
      </c>
      <c r="J63" s="169" t="s">
        <v>98</v>
      </c>
      <c r="K63" s="39"/>
      <c r="L63" s="39"/>
      <c r="M63" s="39"/>
      <c r="N63" s="39"/>
      <c r="O63" s="39"/>
      <c r="P63" s="39"/>
      <c r="Q63" s="39"/>
    </row>
    <row r="64">
      <c r="A64" s="60" t="s">
        <v>5</v>
      </c>
      <c r="B64" s="55" t="s">
        <v>133</v>
      </c>
      <c r="C64" s="33">
        <v>24.0</v>
      </c>
      <c r="D64" s="25" t="str">
        <f t="shared" si="4"/>
        <v>QUA.</v>
      </c>
      <c r="E64" s="62">
        <f t="shared" si="2"/>
        <v>3</v>
      </c>
      <c r="F64" s="146"/>
      <c r="G64" s="147"/>
      <c r="H64" s="63">
        <v>61.98</v>
      </c>
      <c r="I64" s="180" t="s">
        <v>17</v>
      </c>
      <c r="J64" s="34" t="s">
        <v>188</v>
      </c>
      <c r="K64" s="39"/>
      <c r="L64" s="39"/>
      <c r="M64" s="39"/>
      <c r="N64" s="39"/>
      <c r="O64" s="39"/>
      <c r="P64" s="39"/>
      <c r="Q64" s="39"/>
    </row>
    <row r="65">
      <c r="A65" s="161" t="s">
        <v>5</v>
      </c>
      <c r="B65" s="61" t="s">
        <v>21</v>
      </c>
      <c r="C65" s="163">
        <v>24.0</v>
      </c>
      <c r="D65" s="14" t="str">
        <f t="shared" si="4"/>
        <v>QUA.</v>
      </c>
      <c r="E65" s="163">
        <f t="shared" si="2"/>
        <v>3</v>
      </c>
      <c r="F65" s="26"/>
      <c r="G65" s="56"/>
      <c r="H65" s="63">
        <v>236.87</v>
      </c>
      <c r="I65" s="41" t="s">
        <v>252</v>
      </c>
      <c r="J65" s="169" t="s">
        <v>22</v>
      </c>
      <c r="K65" s="59"/>
      <c r="L65" s="59"/>
      <c r="M65" s="59"/>
      <c r="N65" s="59"/>
      <c r="O65" s="59"/>
      <c r="P65" s="59"/>
      <c r="Q65" s="59"/>
    </row>
    <row r="66">
      <c r="A66" s="89" t="s">
        <v>5</v>
      </c>
      <c r="B66" s="61" t="s">
        <v>127</v>
      </c>
      <c r="C66" s="62">
        <v>24.0</v>
      </c>
      <c r="D66" s="14" t="str">
        <f t="shared" si="4"/>
        <v>QUA.</v>
      </c>
      <c r="E66" s="62">
        <f t="shared" si="2"/>
        <v>3</v>
      </c>
      <c r="F66" s="94">
        <v>44277.0</v>
      </c>
      <c r="G66" s="56"/>
      <c r="H66" s="101">
        <v>54.41</v>
      </c>
      <c r="I66" s="180" t="s">
        <v>17</v>
      </c>
      <c r="J66" s="90" t="s">
        <v>128</v>
      </c>
      <c r="K66" s="61"/>
      <c r="L66" s="61"/>
      <c r="M66" s="61"/>
      <c r="N66" s="61"/>
      <c r="O66" s="61"/>
      <c r="P66" s="61"/>
      <c r="Q66" s="61"/>
    </row>
    <row r="67">
      <c r="A67" s="161" t="s">
        <v>5</v>
      </c>
      <c r="B67" s="44" t="s">
        <v>257</v>
      </c>
      <c r="C67" s="163">
        <v>26.0</v>
      </c>
      <c r="D67" s="14" t="str">
        <f t="shared" si="4"/>
        <v>SEX.</v>
      </c>
      <c r="E67" s="163">
        <f t="shared" si="2"/>
        <v>3</v>
      </c>
      <c r="F67" s="85"/>
      <c r="G67" s="45"/>
      <c r="H67" s="46">
        <v>64.89</v>
      </c>
      <c r="I67" s="41" t="s">
        <v>17</v>
      </c>
      <c r="J67" s="169" t="s">
        <v>20</v>
      </c>
      <c r="O67" s="39"/>
      <c r="P67" s="39"/>
      <c r="Q67" s="39"/>
    </row>
    <row r="68">
      <c r="A68" s="89" t="s">
        <v>5</v>
      </c>
      <c r="B68" s="44" t="s">
        <v>258</v>
      </c>
      <c r="C68" s="62">
        <v>27.0</v>
      </c>
      <c r="D68" s="14" t="str">
        <f t="shared" si="4"/>
        <v>SÁB.</v>
      </c>
      <c r="E68" s="62">
        <f t="shared" si="2"/>
        <v>3</v>
      </c>
      <c r="F68" s="85"/>
      <c r="G68" s="45"/>
      <c r="H68" s="46">
        <v>74.7</v>
      </c>
      <c r="I68" s="180" t="s">
        <v>17</v>
      </c>
      <c r="J68" s="90" t="s">
        <v>20</v>
      </c>
      <c r="O68" s="39"/>
      <c r="P68" s="39"/>
      <c r="Q68" s="39"/>
    </row>
    <row r="69">
      <c r="A69" s="161" t="s">
        <v>5</v>
      </c>
      <c r="B69" s="44" t="s">
        <v>259</v>
      </c>
      <c r="C69" s="163">
        <v>28.0</v>
      </c>
      <c r="D69" s="14" t="str">
        <f t="shared" si="4"/>
        <v>DOM.</v>
      </c>
      <c r="E69" s="163">
        <f t="shared" si="2"/>
        <v>3</v>
      </c>
      <c r="F69" s="85"/>
      <c r="G69" s="45"/>
      <c r="H69" s="46">
        <v>32.0</v>
      </c>
      <c r="I69" s="41" t="s">
        <v>252</v>
      </c>
      <c r="J69" s="169" t="s">
        <v>20</v>
      </c>
      <c r="O69" s="39"/>
      <c r="P69" s="39"/>
      <c r="Q69" s="39"/>
    </row>
    <row r="70">
      <c r="A70" s="180" t="s">
        <v>5</v>
      </c>
      <c r="B70" s="177" t="s">
        <v>260</v>
      </c>
      <c r="C70" s="148">
        <v>31.0</v>
      </c>
      <c r="D70" s="25" t="str">
        <f t="shared" si="4"/>
        <v>QUA.</v>
      </c>
      <c r="E70" s="62">
        <f t="shared" si="2"/>
        <v>3</v>
      </c>
      <c r="F70" s="26"/>
      <c r="G70" s="63">
        <v>5848.28</v>
      </c>
      <c r="H70" s="56"/>
      <c r="I70" s="180" t="s">
        <v>261</v>
      </c>
      <c r="J70" s="34" t="s">
        <v>64</v>
      </c>
      <c r="K70" s="56"/>
      <c r="L70" s="56"/>
      <c r="M70" s="56"/>
      <c r="N70" s="56"/>
      <c r="O70" s="56"/>
      <c r="P70" s="56"/>
      <c r="Q70" s="56"/>
    </row>
    <row r="71">
      <c r="A71" s="65" t="s">
        <v>25</v>
      </c>
      <c r="B71" s="39" t="s">
        <v>26</v>
      </c>
      <c r="C71" s="66">
        <v>31.0</v>
      </c>
      <c r="D71" s="14" t="str">
        <f t="shared" si="4"/>
        <v>QUA.</v>
      </c>
      <c r="E71" s="163">
        <f t="shared" si="2"/>
        <v>3</v>
      </c>
      <c r="F71" s="43"/>
      <c r="G71" s="45"/>
      <c r="H71" s="46">
        <v>5848.28</v>
      </c>
      <c r="I71" s="149" t="s">
        <v>261</v>
      </c>
      <c r="J71" s="44"/>
      <c r="K71" s="68"/>
      <c r="L71" s="68"/>
      <c r="M71" s="68"/>
      <c r="N71" s="68"/>
      <c r="O71" s="68"/>
      <c r="P71" s="68"/>
      <c r="Q71" s="68"/>
    </row>
    <row r="72">
      <c r="A72" s="23" t="s">
        <v>25</v>
      </c>
      <c r="B72" s="61" t="s">
        <v>27</v>
      </c>
      <c r="C72" s="148">
        <v>31.0</v>
      </c>
      <c r="D72" s="25" t="str">
        <f t="shared" si="4"/>
        <v>QUA.</v>
      </c>
      <c r="E72" s="62">
        <f t="shared" si="2"/>
        <v>3</v>
      </c>
      <c r="F72" s="26"/>
      <c r="G72" s="63">
        <v>5848.28</v>
      </c>
      <c r="H72" s="56"/>
      <c r="I72" s="64" t="s">
        <v>17</v>
      </c>
      <c r="J72" s="34"/>
      <c r="K72" s="59"/>
      <c r="L72" s="59"/>
      <c r="M72" s="59"/>
      <c r="N72" s="59"/>
      <c r="O72" s="59"/>
      <c r="P72" s="59"/>
      <c r="Q72" s="59"/>
    </row>
    <row r="73">
      <c r="A73" s="161" t="s">
        <v>5</v>
      </c>
      <c r="B73" s="39" t="s">
        <v>119</v>
      </c>
      <c r="C73" s="163">
        <v>18.0</v>
      </c>
      <c r="D73" s="14" t="str">
        <f t="shared" si="4"/>
        <v>QUI.</v>
      </c>
      <c r="E73" s="163">
        <f t="shared" si="2"/>
        <v>3</v>
      </c>
      <c r="F73" s="43"/>
      <c r="G73" s="46">
        <v>0.63</v>
      </c>
      <c r="H73" s="45"/>
      <c r="I73" s="65" t="s">
        <v>17</v>
      </c>
      <c r="J73" s="169" t="s">
        <v>120</v>
      </c>
      <c r="K73" s="68"/>
      <c r="L73" s="68"/>
      <c r="M73" s="68"/>
      <c r="N73" s="68"/>
      <c r="O73" s="68"/>
      <c r="P73" s="68"/>
      <c r="Q73" s="68"/>
    </row>
    <row r="74">
      <c r="A74" s="89" t="s">
        <v>5</v>
      </c>
      <c r="B74" s="61" t="s">
        <v>65</v>
      </c>
      <c r="C74" s="62">
        <v>21.0</v>
      </c>
      <c r="D74" s="25" t="str">
        <f t="shared" si="4"/>
        <v>DOM.</v>
      </c>
      <c r="E74" s="62">
        <f t="shared" si="2"/>
        <v>3</v>
      </c>
      <c r="F74" s="85"/>
      <c r="G74" s="45"/>
      <c r="H74" s="46">
        <v>6000.0</v>
      </c>
      <c r="I74" s="180" t="s">
        <v>17</v>
      </c>
      <c r="J74" s="34" t="s">
        <v>191</v>
      </c>
      <c r="K74" s="39"/>
      <c r="L74" s="39"/>
      <c r="M74" s="39"/>
      <c r="N74" s="39"/>
      <c r="O74" s="39"/>
      <c r="P74" s="39"/>
      <c r="Q74" s="39"/>
    </row>
    <row r="75">
      <c r="A75" s="161" t="s">
        <v>5</v>
      </c>
      <c r="B75" s="34" t="s">
        <v>262</v>
      </c>
      <c r="C75" s="163">
        <v>31.0</v>
      </c>
      <c r="D75" s="14" t="str">
        <f t="shared" si="4"/>
        <v>QUA.</v>
      </c>
      <c r="E75" s="163">
        <f t="shared" si="2"/>
        <v>3</v>
      </c>
      <c r="F75" s="26"/>
      <c r="G75" s="56"/>
      <c r="H75" s="63">
        <v>109.89</v>
      </c>
      <c r="I75" s="41" t="s">
        <v>17</v>
      </c>
      <c r="J75" s="169" t="s">
        <v>263</v>
      </c>
      <c r="K75" s="59"/>
      <c r="L75" s="59"/>
      <c r="M75" s="59"/>
      <c r="N75" s="59"/>
      <c r="O75" s="59"/>
      <c r="P75" s="59"/>
      <c r="Q75" s="59"/>
    </row>
    <row r="76">
      <c r="A76" s="89" t="s">
        <v>5</v>
      </c>
      <c r="B76" s="61" t="s">
        <v>21</v>
      </c>
      <c r="C76" s="62">
        <v>31.0</v>
      </c>
      <c r="D76" s="14" t="str">
        <f t="shared" si="4"/>
        <v>QUA.</v>
      </c>
      <c r="E76" s="62">
        <f t="shared" si="2"/>
        <v>3</v>
      </c>
      <c r="F76" s="26"/>
      <c r="G76" s="56"/>
      <c r="H76" s="63">
        <v>252.82</v>
      </c>
      <c r="I76" s="180" t="s">
        <v>252</v>
      </c>
      <c r="J76" s="90" t="s">
        <v>22</v>
      </c>
      <c r="K76" s="59"/>
      <c r="L76" s="59"/>
      <c r="M76" s="59"/>
      <c r="N76" s="59"/>
      <c r="O76" s="59"/>
      <c r="P76" s="59"/>
      <c r="Q76" s="59"/>
    </row>
    <row r="77">
      <c r="A77" s="161"/>
      <c r="B77" s="59"/>
      <c r="C77" s="26"/>
      <c r="D77" s="107"/>
      <c r="E77" s="26"/>
      <c r="F77" s="26"/>
      <c r="G77" s="56"/>
      <c r="H77" s="56"/>
      <c r="I77" s="41"/>
      <c r="J77" s="169"/>
      <c r="K77" s="59"/>
      <c r="L77" s="59"/>
      <c r="M77" s="59"/>
      <c r="N77" s="59"/>
      <c r="O77" s="59"/>
      <c r="P77" s="59"/>
      <c r="Q77" s="59"/>
    </row>
    <row r="78">
      <c r="A78" s="89"/>
      <c r="B78" s="68"/>
      <c r="C78" s="43"/>
      <c r="D78" s="108"/>
      <c r="E78" s="43"/>
      <c r="F78" s="43"/>
      <c r="G78" s="45"/>
      <c r="H78" s="45"/>
      <c r="I78" s="180"/>
      <c r="J78" s="90"/>
      <c r="K78" s="68"/>
      <c r="L78" s="68"/>
      <c r="M78" s="68"/>
      <c r="N78" s="68"/>
      <c r="O78" s="68"/>
      <c r="P78" s="68"/>
      <c r="Q78" s="68"/>
    </row>
    <row r="79">
      <c r="A79" s="109"/>
      <c r="B79" s="110"/>
      <c r="C79" s="111"/>
      <c r="D79" s="112"/>
      <c r="E79" s="111"/>
      <c r="F79" s="111"/>
      <c r="G79" s="113"/>
      <c r="H79" s="113"/>
      <c r="I79" s="114"/>
      <c r="J79" s="169"/>
      <c r="K79" s="110"/>
      <c r="L79" s="110"/>
      <c r="M79" s="110"/>
      <c r="N79" s="110"/>
      <c r="O79" s="110"/>
      <c r="P79" s="110"/>
      <c r="Q79" s="110"/>
    </row>
    <row r="80" ht="15.75" customHeight="1">
      <c r="A80" s="115"/>
      <c r="B80" s="116" t="s">
        <v>142</v>
      </c>
      <c r="C80" s="117"/>
      <c r="D80" s="118"/>
      <c r="E80" s="119"/>
      <c r="F80" s="119"/>
      <c r="G80" s="120">
        <f>SUMIF(A3:A79,"PAGO",G3:G79)</f>
        <v>20679.37</v>
      </c>
      <c r="H80" s="120">
        <f>SUMIF(A3:A79,"PAGO",H3:H79)</f>
        <v>18767.37</v>
      </c>
      <c r="I80" s="121"/>
      <c r="J80" s="117"/>
      <c r="K80" s="120">
        <f t="shared" ref="K80:K81" si="5">G80-H80</f>
        <v>1912</v>
      </c>
      <c r="L80" s="120"/>
      <c r="M80" s="120"/>
      <c r="N80" s="120"/>
      <c r="O80" s="120"/>
      <c r="P80" s="120"/>
      <c r="Q80" s="120"/>
    </row>
    <row r="81" ht="15.75" customHeight="1">
      <c r="A81" s="115"/>
      <c r="B81" s="122" t="s">
        <v>143</v>
      </c>
      <c r="C81" s="117"/>
      <c r="D81" s="123"/>
      <c r="E81" s="124"/>
      <c r="F81" s="124"/>
      <c r="G81" s="125">
        <f>SUMIF(A3:A79,"PAGO",G3:G79) + SUMIF(A3:A79,"PREVISTO",G3:G79)</f>
        <v>20679.37</v>
      </c>
      <c r="H81" s="125">
        <f>SUMIF(A3:A79,"PAGO",H3:H79) + SUMIF(A3:A79,"PREVISTO",H3:H79)</f>
        <v>18767.37</v>
      </c>
      <c r="I81" s="121"/>
      <c r="J81" s="122" t="s">
        <v>144</v>
      </c>
      <c r="K81" s="125">
        <f t="shared" si="5"/>
        <v>1912</v>
      </c>
      <c r="L81" s="125"/>
      <c r="M81" s="125"/>
      <c r="N81" s="125"/>
      <c r="O81" s="125"/>
      <c r="P81" s="125"/>
      <c r="Q81" s="125"/>
    </row>
    <row r="82">
      <c r="A82" s="126"/>
      <c r="B82" s="127"/>
      <c r="C82" s="93"/>
      <c r="D82" s="128"/>
      <c r="E82" s="129"/>
      <c r="F82" s="129"/>
      <c r="G82" s="130"/>
      <c r="H82" s="130"/>
      <c r="I82" s="131"/>
      <c r="J82" s="132" t="s">
        <v>13</v>
      </c>
      <c r="K82" s="133">
        <f>(SUMIFS(G3:G79,I3:I79,J82,A3:A79,"PAGO") + SUMIFS(G3:G79,I3:I79,J82,A3:A79,"CONTAS")) - (SUMIFS(H3:H79,I3:I79,J82,A3:A79,"PAGO") + SUMIFS(H3:H79,I3:I79,J82,A3:A79,"CONTAS"))</f>
        <v>247.75</v>
      </c>
      <c r="L82" s="133"/>
      <c r="M82" s="133"/>
      <c r="N82" s="133"/>
      <c r="O82" s="133"/>
      <c r="P82" s="133"/>
      <c r="Q82" s="133"/>
    </row>
    <row r="83">
      <c r="A83" s="134"/>
      <c r="B83" s="135"/>
      <c r="C83" s="93"/>
      <c r="D83" s="128"/>
      <c r="E83" s="129"/>
      <c r="F83" s="129"/>
      <c r="G83" s="130"/>
      <c r="H83" s="130"/>
      <c r="I83" s="131"/>
      <c r="J83" s="132" t="s">
        <v>15</v>
      </c>
      <c r="K83" s="133">
        <f>(SUMIFS(G3:G79,I3:I79,J83,A3:A79,"PAGO") + SUMIFS(G3:G79,I3:I79,J83,A3:A79,"CONTAS")) - (SUMIFS(H3:H79,I3:I79,J83,A3:A79,"PAGO") + SUMIFS(H3:H79,I3:I79,J83,A3:A79,"CONTAS"))</f>
        <v>2.85</v>
      </c>
      <c r="L83" s="133"/>
      <c r="M83" s="133"/>
      <c r="N83" s="133"/>
      <c r="O83" s="133"/>
      <c r="P83" s="133"/>
      <c r="Q83" s="133"/>
    </row>
    <row r="84">
      <c r="A84" s="134"/>
      <c r="B84" s="136"/>
      <c r="C84" s="137"/>
      <c r="D84" s="128"/>
      <c r="E84" s="129"/>
      <c r="F84" s="129"/>
      <c r="G84" s="130"/>
      <c r="H84" s="130"/>
      <c r="I84" s="131"/>
      <c r="J84" s="132" t="s">
        <v>16</v>
      </c>
      <c r="K84" s="133">
        <f>(SUMIFS(G3:G79,I3:I79,J84,A3:A79,"PAGO") + SUMIFS(G3:G79,I3:I79,J84,A3:A79,"CONTAS")) - (SUMIFS(H3:H79,I3:I79,J84,A3:A79,"PAGO") + SUMIFS(H3:H79,I3:I79,J84,A3:A79,"CONTAS"))</f>
        <v>52.73</v>
      </c>
      <c r="L84" s="133"/>
      <c r="M84" s="133"/>
      <c r="N84" s="133"/>
      <c r="O84" s="133"/>
      <c r="P84" s="133"/>
      <c r="Q84" s="133"/>
    </row>
    <row r="85">
      <c r="A85" s="134"/>
      <c r="B85" s="136"/>
      <c r="C85" s="137"/>
      <c r="D85" s="128"/>
      <c r="E85" s="129"/>
      <c r="F85" s="129"/>
      <c r="G85" s="130"/>
      <c r="H85" s="130"/>
      <c r="I85" s="131"/>
      <c r="J85" s="132" t="s">
        <v>17</v>
      </c>
      <c r="K85" s="133">
        <f>(SUMIFS(G3:G79,I3:I79,J85,A3:A79,"PAGO") + SUMIFS(G3:G79,I3:I79,J85,A3:A79,"CONTAS")) - (SUMIFS(H3:H79,I3:I79,J85,A3:A79,"PAGO") + SUMIFS(H3:H79,I3:I79,J85,A3:A79,"CONTAS"))</f>
        <v>1061.99</v>
      </c>
      <c r="L85" s="133"/>
      <c r="M85" s="133"/>
      <c r="N85" s="133"/>
      <c r="O85" s="133"/>
      <c r="P85" s="133"/>
      <c r="Q85" s="133"/>
    </row>
    <row r="86">
      <c r="A86" s="134"/>
      <c r="B86" s="93"/>
      <c r="C86" s="137"/>
      <c r="D86" s="138"/>
      <c r="E86" s="139"/>
      <c r="F86" s="139"/>
      <c r="G86" s="140"/>
      <c r="H86" s="140"/>
      <c r="I86" s="131"/>
      <c r="J86" s="132" t="s">
        <v>18</v>
      </c>
      <c r="K86" s="133">
        <f t="shared" ref="K86:K91" si="6">(SUMIFS(G3:G79,I3:I79,J86,A3:A79,"PAGO") + SUMIFS(G3:G79,I3:I79,J86,A3:A79,"CONTAS")) - (SUMIFS(H3:H79,I3:I79,J86,A3:A79,"PAGO") + SUMIFS(H3:H79,I3:I79,J86,A3:A79,"CONTAS"))</f>
        <v>9.52</v>
      </c>
      <c r="L86" s="133"/>
      <c r="M86" s="133"/>
      <c r="N86" s="133"/>
      <c r="O86" s="133"/>
      <c r="P86" s="133"/>
      <c r="Q86" s="133"/>
    </row>
    <row r="87">
      <c r="A87" s="134"/>
      <c r="B87" s="137"/>
      <c r="C87" s="93"/>
      <c r="D87" s="138"/>
      <c r="E87" s="139"/>
      <c r="F87" s="139"/>
      <c r="G87" s="140"/>
      <c r="H87" s="140"/>
      <c r="I87" s="131"/>
      <c r="J87" s="182" t="s">
        <v>193</v>
      </c>
      <c r="K87" s="133">
        <f t="shared" si="6"/>
        <v>0</v>
      </c>
      <c r="L87" s="93"/>
      <c r="M87" s="93"/>
      <c r="N87" s="93"/>
      <c r="O87" s="93"/>
      <c r="P87" s="93"/>
      <c r="Q87" s="93"/>
    </row>
    <row r="88">
      <c r="A88" s="134"/>
      <c r="B88" s="137"/>
      <c r="C88" s="93"/>
      <c r="D88" s="138"/>
      <c r="E88" s="139"/>
      <c r="F88" s="139"/>
      <c r="G88" s="140"/>
      <c r="H88" s="140"/>
      <c r="I88" s="131"/>
      <c r="J88" s="182" t="s">
        <v>196</v>
      </c>
      <c r="K88" s="133">
        <f t="shared" si="6"/>
        <v>0</v>
      </c>
      <c r="L88" s="93"/>
      <c r="M88" s="93"/>
      <c r="N88" s="93"/>
      <c r="O88" s="93"/>
      <c r="P88" s="93"/>
      <c r="Q88" s="93"/>
    </row>
    <row r="89">
      <c r="A89" s="134"/>
      <c r="B89" s="137"/>
      <c r="C89" s="93"/>
      <c r="D89" s="138"/>
      <c r="E89" s="139"/>
      <c r="F89" s="139"/>
      <c r="G89" s="140"/>
      <c r="H89" s="140"/>
      <c r="I89" s="131"/>
      <c r="J89" s="183" t="s">
        <v>261</v>
      </c>
      <c r="K89" s="133">
        <f t="shared" si="6"/>
        <v>0</v>
      </c>
      <c r="L89" s="93"/>
      <c r="M89" s="93"/>
      <c r="N89" s="93"/>
      <c r="O89" s="93"/>
      <c r="P89" s="93"/>
      <c r="Q89" s="93"/>
    </row>
    <row r="90">
      <c r="A90" s="134"/>
      <c r="B90" s="137"/>
      <c r="C90" s="93"/>
      <c r="D90" s="138"/>
      <c r="E90" s="139"/>
      <c r="F90" s="139"/>
      <c r="G90" s="140"/>
      <c r="H90" s="140"/>
      <c r="I90" s="131"/>
      <c r="J90" s="182" t="s">
        <v>252</v>
      </c>
      <c r="K90" s="133">
        <f t="shared" si="6"/>
        <v>537.16</v>
      </c>
      <c r="L90" s="93"/>
      <c r="M90" s="93"/>
      <c r="N90" s="93"/>
      <c r="O90" s="93"/>
      <c r="P90" s="93"/>
      <c r="Q90" s="93"/>
    </row>
    <row r="91">
      <c r="A91" s="134"/>
      <c r="B91" s="137"/>
      <c r="C91" s="93"/>
      <c r="D91" s="138"/>
      <c r="E91" s="139"/>
      <c r="F91" s="139"/>
      <c r="G91" s="140"/>
      <c r="H91" s="140"/>
      <c r="I91" s="131"/>
      <c r="J91" s="182" t="s">
        <v>249</v>
      </c>
      <c r="K91" s="133">
        <f t="shared" si="6"/>
        <v>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55ED7845-B94B-4003-AD57-D4008EE7E009}" filter="1" showAutoFilter="1">
      <autoFilter ref="$A$2:$K$10"/>
    </customSheetView>
    <customSheetView guid="{F6E0E906-D63E-467F-B486-84E6C0126E80}" filter="1" showAutoFilter="1">
      <autoFilter ref="$A$2:$K$3"/>
    </customSheetView>
    <customSheetView guid="{5F890A4C-8AFA-4126-80E7-AF0191C5590F}" filter="1" showAutoFilter="1">
      <autoFilter ref="$A$2:$K$3"/>
    </customSheetView>
    <customSheetView guid="{8E320149-1ED8-4245-AE83-2AF08A85D2EE}" filter="1" showAutoFilter="1">
      <autoFilter ref="$A$2:$K$3"/>
    </customSheetView>
    <customSheetView guid="{FF238D65-B29E-47B3-BB76-09A78DB37DDE}" filter="1" showAutoFilter="1">
      <autoFilter ref="$A$2:$K$3"/>
    </customSheetView>
  </customSheetViews>
  <mergeCells count="4">
    <mergeCell ref="J54:N54"/>
    <mergeCell ref="J67:N67"/>
    <mergeCell ref="J68:N68"/>
    <mergeCell ref="J69:N69"/>
  </mergeCells>
  <conditionalFormatting sqref="A3:Q79">
    <cfRule type="expression" dxfId="0" priority="1">
      <formula>ISEVEN(ROW())</formula>
    </cfRule>
  </conditionalFormatting>
  <conditionalFormatting sqref="A3:Q79">
    <cfRule type="expression" dxfId="1" priority="2">
      <formula>ISODD(ROW())</formula>
    </cfRule>
  </conditionalFormatting>
  <dataValidations>
    <dataValidation type="list" allowBlank="1" sqref="A3:A78">
      <formula1>listas!$A$1:$A$17</formula1>
    </dataValidation>
    <dataValidation type="list" allowBlank="1" sqref="I3:I78">
      <formula1>listas!$B$1:$B$21</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61"/>
      <c r="B3" s="162" t="s">
        <v>11</v>
      </c>
      <c r="C3" s="163">
        <v>4.0</v>
      </c>
      <c r="D3" s="14"/>
      <c r="E3" s="164"/>
      <c r="F3" s="164"/>
      <c r="G3" s="165"/>
      <c r="H3" s="166"/>
      <c r="I3" s="167"/>
      <c r="J3" s="19"/>
      <c r="K3" s="168"/>
      <c r="L3" s="168"/>
      <c r="M3" s="168"/>
      <c r="N3" s="168"/>
      <c r="O3" s="168"/>
      <c r="P3" s="168"/>
      <c r="Q3" s="168"/>
    </row>
    <row r="4">
      <c r="A4" s="89" t="s">
        <v>5</v>
      </c>
      <c r="B4" s="90" t="s">
        <v>145</v>
      </c>
      <c r="C4" s="62">
        <v>1.0</v>
      </c>
      <c r="D4" s="14" t="str">
        <f t="shared" ref="D4:D23" si="1">UPPER(TEXT(WEEKDAY(DATEVALUE(CONCATENATE(C4,"/",$C$3,"/",$A$1))),"DDD"))</f>
        <v>QUI.</v>
      </c>
      <c r="E4" s="62">
        <f t="shared" ref="E4:E85" si="2">$C$3</f>
        <v>4</v>
      </c>
      <c r="F4" s="91"/>
      <c r="G4" s="88">
        <f>'março'!K82</f>
        <v>247.75</v>
      </c>
      <c r="H4" s="92"/>
      <c r="I4" s="33" t="s">
        <v>13</v>
      </c>
      <c r="J4" s="90" t="s">
        <v>14</v>
      </c>
      <c r="K4" s="93"/>
      <c r="L4" s="93"/>
      <c r="M4" s="93"/>
      <c r="N4" s="93"/>
      <c r="O4" s="93"/>
      <c r="P4" s="93"/>
      <c r="Q4" s="93"/>
    </row>
    <row r="5">
      <c r="A5" s="161" t="s">
        <v>5</v>
      </c>
      <c r="B5" s="169" t="s">
        <v>145</v>
      </c>
      <c r="C5" s="163">
        <v>1.0</v>
      </c>
      <c r="D5" s="14" t="str">
        <f t="shared" si="1"/>
        <v>QUI.</v>
      </c>
      <c r="E5" s="163">
        <f t="shared" si="2"/>
        <v>4</v>
      </c>
      <c r="F5" s="164"/>
      <c r="G5" s="165">
        <f>'março'!K83</f>
        <v>2.85</v>
      </c>
      <c r="H5" s="166"/>
      <c r="I5" s="167" t="s">
        <v>15</v>
      </c>
      <c r="J5" s="169" t="s">
        <v>14</v>
      </c>
      <c r="K5" s="110"/>
      <c r="L5" s="110"/>
      <c r="M5" s="110"/>
      <c r="N5" s="110"/>
      <c r="O5" s="110"/>
      <c r="P5" s="110"/>
      <c r="Q5" s="110"/>
    </row>
    <row r="6">
      <c r="A6" s="89" t="s">
        <v>5</v>
      </c>
      <c r="B6" s="90" t="s">
        <v>145</v>
      </c>
      <c r="C6" s="62">
        <v>1.0</v>
      </c>
      <c r="D6" s="14" t="str">
        <f t="shared" si="1"/>
        <v>QUI.</v>
      </c>
      <c r="E6" s="62">
        <f t="shared" si="2"/>
        <v>4</v>
      </c>
      <c r="F6" s="91"/>
      <c r="G6" s="88">
        <f>'março'!K84</f>
        <v>52.73</v>
      </c>
      <c r="H6" s="92"/>
      <c r="I6" s="33" t="s">
        <v>16</v>
      </c>
      <c r="J6" s="90" t="s">
        <v>14</v>
      </c>
      <c r="K6" s="93"/>
      <c r="L6" s="93"/>
      <c r="M6" s="93"/>
      <c r="N6" s="93"/>
      <c r="O6" s="93"/>
      <c r="P6" s="93"/>
      <c r="Q6" s="93"/>
    </row>
    <row r="7">
      <c r="A7" s="161" t="s">
        <v>5</v>
      </c>
      <c r="B7" s="169" t="s">
        <v>145</v>
      </c>
      <c r="C7" s="163">
        <v>1.0</v>
      </c>
      <c r="D7" s="14" t="str">
        <f t="shared" si="1"/>
        <v>QUI.</v>
      </c>
      <c r="E7" s="163">
        <f t="shared" si="2"/>
        <v>4</v>
      </c>
      <c r="F7" s="164"/>
      <c r="G7" s="165">
        <f>'março'!K85</f>
        <v>1061.99</v>
      </c>
      <c r="H7" s="166"/>
      <c r="I7" s="167" t="s">
        <v>17</v>
      </c>
      <c r="J7" s="169" t="s">
        <v>14</v>
      </c>
      <c r="K7" s="110"/>
      <c r="L7" s="110"/>
      <c r="M7" s="110"/>
      <c r="N7" s="110"/>
      <c r="O7" s="110"/>
      <c r="P7" s="110"/>
      <c r="Q7" s="110"/>
    </row>
    <row r="8">
      <c r="A8" s="89" t="s">
        <v>5</v>
      </c>
      <c r="B8" s="90" t="s">
        <v>145</v>
      </c>
      <c r="C8" s="62">
        <v>1.0</v>
      </c>
      <c r="D8" s="14" t="str">
        <f t="shared" si="1"/>
        <v>QUI.</v>
      </c>
      <c r="E8" s="62">
        <f t="shared" si="2"/>
        <v>4</v>
      </c>
      <c r="F8" s="91"/>
      <c r="G8" s="88">
        <f>'março'!K86</f>
        <v>9.52</v>
      </c>
      <c r="H8" s="92"/>
      <c r="I8" s="33" t="s">
        <v>18</v>
      </c>
      <c r="J8" s="90" t="s">
        <v>14</v>
      </c>
      <c r="K8" s="93"/>
      <c r="L8" s="93"/>
      <c r="M8" s="93"/>
      <c r="N8" s="93"/>
      <c r="O8" s="93"/>
      <c r="P8" s="93"/>
      <c r="Q8" s="93"/>
    </row>
    <row r="9">
      <c r="A9" s="181" t="s">
        <v>5</v>
      </c>
      <c r="B9" s="42" t="s">
        <v>145</v>
      </c>
      <c r="C9" s="144">
        <v>1.0</v>
      </c>
      <c r="D9" s="14" t="str">
        <f t="shared" si="1"/>
        <v>QUI.</v>
      </c>
      <c r="E9" s="163">
        <f t="shared" si="2"/>
        <v>4</v>
      </c>
      <c r="F9" s="43"/>
      <c r="G9" s="165">
        <f>'março'!K89</f>
        <v>0</v>
      </c>
      <c r="H9" s="45"/>
      <c r="I9" s="41" t="s">
        <v>261</v>
      </c>
      <c r="J9" s="42" t="s">
        <v>14</v>
      </c>
      <c r="K9" s="68"/>
      <c r="L9" s="68"/>
      <c r="M9" s="68"/>
      <c r="N9" s="68"/>
      <c r="O9" s="68"/>
      <c r="P9" s="68"/>
      <c r="Q9" s="68"/>
    </row>
    <row r="10">
      <c r="A10" s="172" t="s">
        <v>5</v>
      </c>
      <c r="B10" s="173" t="s">
        <v>145</v>
      </c>
      <c r="C10" s="184">
        <v>1.0</v>
      </c>
      <c r="D10" s="25" t="str">
        <f t="shared" si="1"/>
        <v>QUI.</v>
      </c>
      <c r="E10" s="62">
        <f t="shared" si="2"/>
        <v>4</v>
      </c>
      <c r="F10" s="26"/>
      <c r="G10" s="88">
        <f>'março'!K90</f>
        <v>537.16</v>
      </c>
      <c r="H10" s="56"/>
      <c r="I10" s="33" t="s">
        <v>252</v>
      </c>
      <c r="J10" s="173" t="s">
        <v>14</v>
      </c>
      <c r="K10" s="59"/>
      <c r="L10" s="59"/>
      <c r="M10" s="59"/>
      <c r="N10" s="59"/>
      <c r="O10" s="59"/>
      <c r="P10" s="59"/>
      <c r="Q10" s="59"/>
    </row>
    <row r="11">
      <c r="A11" s="181" t="s">
        <v>5</v>
      </c>
      <c r="B11" s="42" t="s">
        <v>145</v>
      </c>
      <c r="C11" s="144">
        <v>1.0</v>
      </c>
      <c r="D11" s="14" t="str">
        <f t="shared" si="1"/>
        <v>QUI.</v>
      </c>
      <c r="E11" s="163">
        <f t="shared" si="2"/>
        <v>4</v>
      </c>
      <c r="F11" s="43"/>
      <c r="G11" s="165">
        <f>'março'!K91</f>
        <v>0</v>
      </c>
      <c r="H11" s="45"/>
      <c r="I11" s="41" t="s">
        <v>249</v>
      </c>
      <c r="J11" s="42" t="s">
        <v>14</v>
      </c>
      <c r="K11" s="68"/>
      <c r="L11" s="68"/>
      <c r="M11" s="68"/>
      <c r="N11" s="68"/>
      <c r="O11" s="68"/>
      <c r="P11" s="68"/>
      <c r="Q11" s="68"/>
    </row>
    <row r="12">
      <c r="A12" s="89" t="s">
        <v>5</v>
      </c>
      <c r="B12" s="92" t="s">
        <v>148</v>
      </c>
      <c r="C12" s="62">
        <v>1.0</v>
      </c>
      <c r="D12" s="14" t="str">
        <f t="shared" si="1"/>
        <v>QUI.</v>
      </c>
      <c r="E12" s="62">
        <f t="shared" si="2"/>
        <v>4</v>
      </c>
      <c r="F12" s="26"/>
      <c r="G12" s="56"/>
      <c r="H12" s="57">
        <v>49.03</v>
      </c>
      <c r="I12" s="60" t="s">
        <v>13</v>
      </c>
      <c r="J12" s="90" t="s">
        <v>149</v>
      </c>
      <c r="K12" s="92"/>
      <c r="L12" s="92"/>
      <c r="M12" s="92"/>
      <c r="N12" s="92"/>
      <c r="O12" s="92"/>
      <c r="P12" s="92"/>
      <c r="Q12" s="92"/>
    </row>
    <row r="13">
      <c r="A13" s="95" t="s">
        <v>5</v>
      </c>
      <c r="B13" s="178" t="s">
        <v>264</v>
      </c>
      <c r="C13" s="144">
        <v>1.0</v>
      </c>
      <c r="D13" s="14" t="str">
        <f t="shared" si="1"/>
        <v>QUI.</v>
      </c>
      <c r="E13" s="163">
        <f t="shared" si="2"/>
        <v>4</v>
      </c>
      <c r="F13" s="43"/>
      <c r="G13" s="45"/>
      <c r="H13" s="53">
        <v>49.03</v>
      </c>
      <c r="I13" s="65" t="s">
        <v>13</v>
      </c>
      <c r="J13" s="44" t="s">
        <v>149</v>
      </c>
      <c r="K13" s="185"/>
      <c r="L13" s="185"/>
      <c r="M13" s="185"/>
      <c r="N13" s="185"/>
      <c r="O13" s="185"/>
      <c r="P13" s="185"/>
      <c r="Q13" s="185"/>
    </row>
    <row r="14">
      <c r="A14" s="89" t="s">
        <v>5</v>
      </c>
      <c r="B14" s="44" t="s">
        <v>265</v>
      </c>
      <c r="C14" s="62">
        <v>2.0</v>
      </c>
      <c r="D14" s="14" t="str">
        <f t="shared" si="1"/>
        <v>SEX.</v>
      </c>
      <c r="E14" s="62">
        <f t="shared" si="2"/>
        <v>4</v>
      </c>
      <c r="F14" s="85"/>
      <c r="G14" s="45"/>
      <c r="H14" s="46">
        <v>74.7</v>
      </c>
      <c r="I14" s="180" t="s">
        <v>17</v>
      </c>
      <c r="J14" s="90" t="s">
        <v>20</v>
      </c>
      <c r="O14" s="39"/>
      <c r="P14" s="39"/>
      <c r="Q14" s="39"/>
    </row>
    <row r="15">
      <c r="A15" s="161" t="s">
        <v>5</v>
      </c>
      <c r="B15" s="39" t="s">
        <v>117</v>
      </c>
      <c r="C15" s="163">
        <v>2.0</v>
      </c>
      <c r="D15" s="14" t="str">
        <f t="shared" si="1"/>
        <v>SEX.</v>
      </c>
      <c r="E15" s="163">
        <f t="shared" si="2"/>
        <v>4</v>
      </c>
      <c r="F15" s="43"/>
      <c r="G15" s="45"/>
      <c r="H15" s="46">
        <v>20.0</v>
      </c>
      <c r="I15" s="41" t="s">
        <v>17</v>
      </c>
      <c r="J15" s="169" t="s">
        <v>118</v>
      </c>
      <c r="K15" s="68"/>
      <c r="L15" s="68"/>
      <c r="M15" s="68"/>
      <c r="N15" s="68"/>
      <c r="O15" s="68"/>
      <c r="P15" s="68"/>
      <c r="Q15" s="68"/>
    </row>
    <row r="16">
      <c r="A16" s="89" t="s">
        <v>5</v>
      </c>
      <c r="B16" s="61" t="s">
        <v>119</v>
      </c>
      <c r="C16" s="62">
        <v>2.0</v>
      </c>
      <c r="D16" s="14" t="str">
        <f t="shared" si="1"/>
        <v>SEX.</v>
      </c>
      <c r="E16" s="62">
        <f t="shared" si="2"/>
        <v>4</v>
      </c>
      <c r="F16" s="26"/>
      <c r="G16" s="63">
        <v>0.85</v>
      </c>
      <c r="H16" s="56"/>
      <c r="I16" s="23" t="s">
        <v>17</v>
      </c>
      <c r="J16" s="90" t="s">
        <v>120</v>
      </c>
      <c r="K16" s="59"/>
      <c r="L16" s="59"/>
      <c r="M16" s="59"/>
      <c r="N16" s="59"/>
      <c r="O16" s="59"/>
      <c r="P16" s="59"/>
      <c r="Q16" s="59"/>
    </row>
    <row r="17">
      <c r="A17" s="161" t="s">
        <v>5</v>
      </c>
      <c r="B17" s="34" t="s">
        <v>138</v>
      </c>
      <c r="C17" s="163">
        <v>4.0</v>
      </c>
      <c r="D17" s="14" t="str">
        <f t="shared" si="1"/>
        <v>DOM.</v>
      </c>
      <c r="E17" s="163">
        <f t="shared" si="2"/>
        <v>4</v>
      </c>
      <c r="F17" s="26"/>
      <c r="G17" s="56"/>
      <c r="H17" s="63">
        <v>63.8</v>
      </c>
      <c r="I17" s="33" t="s">
        <v>252</v>
      </c>
      <c r="J17" s="169" t="s">
        <v>20</v>
      </c>
      <c r="O17" s="59"/>
      <c r="P17" s="59"/>
      <c r="Q17" s="59"/>
    </row>
    <row r="18">
      <c r="A18" s="89" t="s">
        <v>5</v>
      </c>
      <c r="B18" s="34" t="s">
        <v>266</v>
      </c>
      <c r="C18" s="62">
        <v>4.0</v>
      </c>
      <c r="D18" s="14" t="str">
        <f t="shared" si="1"/>
        <v>DOM.</v>
      </c>
      <c r="E18" s="62">
        <f t="shared" si="2"/>
        <v>4</v>
      </c>
      <c r="F18" s="26"/>
      <c r="G18" s="56"/>
      <c r="H18" s="63">
        <v>166.52</v>
      </c>
      <c r="I18" s="33" t="s">
        <v>252</v>
      </c>
      <c r="J18" s="90" t="s">
        <v>267</v>
      </c>
      <c r="K18" s="59"/>
      <c r="L18" s="59"/>
      <c r="M18" s="59"/>
      <c r="N18" s="59"/>
      <c r="O18" s="59"/>
      <c r="P18" s="59"/>
      <c r="Q18" s="59"/>
    </row>
    <row r="19">
      <c r="A19" s="161" t="s">
        <v>5</v>
      </c>
      <c r="B19" s="44" t="s">
        <v>73</v>
      </c>
      <c r="C19" s="163">
        <v>5.0</v>
      </c>
      <c r="D19" s="14" t="str">
        <f t="shared" si="1"/>
        <v>SEG.</v>
      </c>
      <c r="E19" s="163">
        <f t="shared" si="2"/>
        <v>4</v>
      </c>
      <c r="F19" s="85"/>
      <c r="G19" s="45"/>
      <c r="H19" s="46">
        <v>12.0</v>
      </c>
      <c r="I19" s="41" t="s">
        <v>17</v>
      </c>
      <c r="J19" s="169" t="s">
        <v>20</v>
      </c>
      <c r="K19" s="169"/>
      <c r="L19" s="169"/>
      <c r="M19" s="169"/>
      <c r="N19" s="169"/>
      <c r="O19" s="39"/>
      <c r="P19" s="39"/>
      <c r="Q19" s="39"/>
    </row>
    <row r="20">
      <c r="A20" s="89" t="s">
        <v>5</v>
      </c>
      <c r="B20" s="44" t="s">
        <v>268</v>
      </c>
      <c r="C20" s="62">
        <v>5.0</v>
      </c>
      <c r="D20" s="14" t="str">
        <f t="shared" si="1"/>
        <v>SEG.</v>
      </c>
      <c r="E20" s="62">
        <f t="shared" si="2"/>
        <v>4</v>
      </c>
      <c r="F20" s="85"/>
      <c r="G20" s="45"/>
      <c r="H20" s="46">
        <v>33.0</v>
      </c>
      <c r="I20" s="180" t="s">
        <v>17</v>
      </c>
      <c r="J20" s="90" t="s">
        <v>269</v>
      </c>
      <c r="K20" s="90"/>
      <c r="L20" s="90"/>
      <c r="M20" s="90"/>
      <c r="N20" s="90"/>
      <c r="O20" s="39"/>
      <c r="P20" s="39"/>
      <c r="Q20" s="39"/>
    </row>
    <row r="21">
      <c r="A21" s="161" t="s">
        <v>5</v>
      </c>
      <c r="B21" s="34" t="s">
        <v>270</v>
      </c>
      <c r="C21" s="163">
        <v>8.0</v>
      </c>
      <c r="D21" s="14" t="str">
        <f t="shared" si="1"/>
        <v>QUI.</v>
      </c>
      <c r="E21" s="163">
        <f t="shared" si="2"/>
        <v>4</v>
      </c>
      <c r="F21" s="26"/>
      <c r="G21" s="63">
        <v>2070.3</v>
      </c>
      <c r="H21" s="63"/>
      <c r="I21" s="41" t="s">
        <v>17</v>
      </c>
      <c r="J21" s="169" t="s">
        <v>271</v>
      </c>
      <c r="K21" s="59"/>
      <c r="L21" s="59"/>
      <c r="M21" s="59"/>
      <c r="N21" s="59"/>
      <c r="O21" s="59"/>
      <c r="P21" s="59"/>
      <c r="Q21" s="59"/>
    </row>
    <row r="22">
      <c r="A22" s="89" t="s">
        <v>5</v>
      </c>
      <c r="B22" s="34" t="s">
        <v>272</v>
      </c>
      <c r="C22" s="62">
        <v>8.0</v>
      </c>
      <c r="D22" s="25" t="str">
        <f t="shared" si="1"/>
        <v>QUI.</v>
      </c>
      <c r="E22" s="62">
        <f t="shared" si="2"/>
        <v>4</v>
      </c>
      <c r="F22" s="26"/>
      <c r="G22" s="56"/>
      <c r="H22" s="63">
        <v>2070.0</v>
      </c>
      <c r="I22" s="180" t="s">
        <v>17</v>
      </c>
      <c r="J22" s="90" t="s">
        <v>273</v>
      </c>
      <c r="K22" s="59"/>
      <c r="L22" s="59"/>
      <c r="M22" s="59"/>
      <c r="N22" s="59"/>
      <c r="O22" s="59"/>
      <c r="P22" s="59"/>
      <c r="Q22" s="59"/>
    </row>
    <row r="23">
      <c r="A23" s="161" t="s">
        <v>5</v>
      </c>
      <c r="B23" s="44" t="s">
        <v>39</v>
      </c>
      <c r="C23" s="163">
        <v>8.0</v>
      </c>
      <c r="D23" s="14" t="str">
        <f t="shared" si="1"/>
        <v>QUI.</v>
      </c>
      <c r="E23" s="163">
        <f t="shared" si="2"/>
        <v>4</v>
      </c>
      <c r="F23" s="87">
        <v>44295.0</v>
      </c>
      <c r="G23" s="45"/>
      <c r="H23" s="53">
        <f>SUM(H24:H33)</f>
        <v>482.57</v>
      </c>
      <c r="I23" s="41" t="s">
        <v>17</v>
      </c>
      <c r="J23" s="169"/>
      <c r="K23" s="39"/>
      <c r="L23" s="39"/>
      <c r="M23" s="39"/>
      <c r="N23" s="39"/>
      <c r="O23" s="39"/>
      <c r="P23" s="39"/>
      <c r="Q23" s="39"/>
    </row>
    <row r="24" outlineLevel="1">
      <c r="A24" s="89" t="s">
        <v>40</v>
      </c>
      <c r="B24" s="44" t="s">
        <v>239</v>
      </c>
      <c r="C24" s="62"/>
      <c r="D24" s="14"/>
      <c r="E24" s="62">
        <f t="shared" si="2"/>
        <v>4</v>
      </c>
      <c r="F24" s="94">
        <v>44256.0</v>
      </c>
      <c r="G24" s="45"/>
      <c r="H24" s="46">
        <v>1.0</v>
      </c>
      <c r="I24" s="180"/>
      <c r="J24" s="90" t="s">
        <v>157</v>
      </c>
      <c r="K24" s="39"/>
      <c r="L24" s="39"/>
      <c r="M24" s="39"/>
      <c r="N24" s="39"/>
      <c r="O24" s="39"/>
      <c r="P24" s="39"/>
      <c r="Q24" s="39"/>
    </row>
    <row r="25" outlineLevel="1">
      <c r="A25" s="161" t="s">
        <v>40</v>
      </c>
      <c r="B25" s="44" t="s">
        <v>274</v>
      </c>
      <c r="C25" s="163"/>
      <c r="D25" s="14"/>
      <c r="E25" s="163">
        <f t="shared" si="2"/>
        <v>4</v>
      </c>
      <c r="F25" s="100">
        <v>44265.0</v>
      </c>
      <c r="G25" s="45"/>
      <c r="H25" s="46">
        <v>10.61</v>
      </c>
      <c r="I25" s="41"/>
      <c r="J25" s="169" t="s">
        <v>275</v>
      </c>
      <c r="K25" s="39"/>
      <c r="L25" s="39"/>
      <c r="M25" s="39"/>
      <c r="N25" s="39"/>
      <c r="O25" s="39"/>
      <c r="P25" s="39"/>
      <c r="Q25" s="39"/>
    </row>
    <row r="26" outlineLevel="1">
      <c r="A26" s="89" t="s">
        <v>40</v>
      </c>
      <c r="B26" s="44" t="s">
        <v>274</v>
      </c>
      <c r="C26" s="62"/>
      <c r="D26" s="14"/>
      <c r="E26" s="62">
        <f t="shared" si="2"/>
        <v>4</v>
      </c>
      <c r="F26" s="94">
        <v>44265.0</v>
      </c>
      <c r="G26" s="45"/>
      <c r="H26" s="46">
        <v>9.8</v>
      </c>
      <c r="I26" s="180"/>
      <c r="J26" s="90" t="s">
        <v>275</v>
      </c>
      <c r="K26" s="39"/>
      <c r="L26" s="39"/>
      <c r="M26" s="39"/>
      <c r="N26" s="39"/>
      <c r="O26" s="39"/>
      <c r="P26" s="39"/>
      <c r="Q26" s="39"/>
    </row>
    <row r="27" outlineLevel="1">
      <c r="A27" s="161" t="s">
        <v>40</v>
      </c>
      <c r="B27" s="44" t="s">
        <v>47</v>
      </c>
      <c r="C27" s="163"/>
      <c r="D27" s="14"/>
      <c r="E27" s="163">
        <f t="shared" si="2"/>
        <v>4</v>
      </c>
      <c r="F27" s="100">
        <v>44273.0</v>
      </c>
      <c r="G27" s="45"/>
      <c r="H27" s="46">
        <v>13.7</v>
      </c>
      <c r="I27" s="41"/>
      <c r="J27" s="169" t="s">
        <v>48</v>
      </c>
      <c r="K27" s="39"/>
      <c r="L27" s="39"/>
      <c r="M27" s="39"/>
      <c r="N27" s="39"/>
      <c r="O27" s="39"/>
      <c r="P27" s="39"/>
      <c r="Q27" s="39"/>
    </row>
    <row r="28" outlineLevel="1">
      <c r="A28" s="89" t="s">
        <v>40</v>
      </c>
      <c r="B28" s="44" t="s">
        <v>276</v>
      </c>
      <c r="C28" s="62"/>
      <c r="D28" s="14"/>
      <c r="E28" s="62">
        <f t="shared" si="2"/>
        <v>4</v>
      </c>
      <c r="F28" s="94">
        <v>44275.0</v>
      </c>
      <c r="G28" s="45"/>
      <c r="H28" s="46">
        <v>210.38</v>
      </c>
      <c r="I28" s="180"/>
      <c r="J28" s="90" t="s">
        <v>277</v>
      </c>
      <c r="K28" s="39"/>
      <c r="L28" s="39"/>
      <c r="M28" s="39"/>
      <c r="N28" s="39"/>
      <c r="O28" s="39"/>
      <c r="P28" s="39"/>
      <c r="Q28" s="39"/>
    </row>
    <row r="29" outlineLevel="1">
      <c r="A29" s="161" t="s">
        <v>40</v>
      </c>
      <c r="B29" s="44" t="s">
        <v>278</v>
      </c>
      <c r="C29" s="163"/>
      <c r="D29" s="14"/>
      <c r="E29" s="163">
        <f t="shared" si="2"/>
        <v>4</v>
      </c>
      <c r="F29" s="100">
        <v>44275.0</v>
      </c>
      <c r="G29" s="45"/>
      <c r="H29" s="46">
        <v>83.06</v>
      </c>
      <c r="I29" s="41"/>
      <c r="J29" s="169" t="s">
        <v>279</v>
      </c>
      <c r="K29" s="39"/>
      <c r="L29" s="39"/>
      <c r="M29" s="39"/>
      <c r="N29" s="39"/>
      <c r="O29" s="39"/>
      <c r="P29" s="39"/>
      <c r="Q29" s="39"/>
    </row>
    <row r="30" outlineLevel="1">
      <c r="A30" s="89" t="s">
        <v>40</v>
      </c>
      <c r="B30" s="44" t="s">
        <v>280</v>
      </c>
      <c r="C30" s="62"/>
      <c r="D30" s="14"/>
      <c r="E30" s="62">
        <f t="shared" si="2"/>
        <v>4</v>
      </c>
      <c r="F30" s="94">
        <v>44275.0</v>
      </c>
      <c r="G30" s="45"/>
      <c r="H30" s="46">
        <v>32.18</v>
      </c>
      <c r="I30" s="180"/>
      <c r="J30" s="90" t="s">
        <v>279</v>
      </c>
      <c r="K30" s="39"/>
      <c r="L30" s="39"/>
      <c r="M30" s="39"/>
      <c r="N30" s="39"/>
      <c r="O30" s="39"/>
      <c r="P30" s="39"/>
      <c r="Q30" s="39"/>
    </row>
    <row r="31" outlineLevel="1">
      <c r="A31" s="186" t="s">
        <v>40</v>
      </c>
      <c r="B31" s="42" t="s">
        <v>244</v>
      </c>
      <c r="C31" s="187"/>
      <c r="D31" s="108"/>
      <c r="E31" s="163">
        <f t="shared" si="2"/>
        <v>4</v>
      </c>
      <c r="F31" s="100">
        <v>44276.0</v>
      </c>
      <c r="G31" s="45"/>
      <c r="H31" s="53">
        <v>32.9</v>
      </c>
      <c r="I31" s="188"/>
      <c r="J31" s="169" t="s">
        <v>281</v>
      </c>
      <c r="K31" s="68"/>
      <c r="L31" s="68"/>
      <c r="M31" s="68"/>
      <c r="N31" s="68"/>
      <c r="O31" s="68"/>
      <c r="P31" s="68"/>
      <c r="Q31" s="68"/>
    </row>
    <row r="32" outlineLevel="1">
      <c r="A32" s="89" t="s">
        <v>40</v>
      </c>
      <c r="B32" s="44" t="s">
        <v>282</v>
      </c>
      <c r="C32" s="62"/>
      <c r="D32" s="14"/>
      <c r="E32" s="62">
        <f t="shared" si="2"/>
        <v>4</v>
      </c>
      <c r="F32" s="94">
        <v>44280.0</v>
      </c>
      <c r="G32" s="45"/>
      <c r="H32" s="46">
        <v>88.94</v>
      </c>
      <c r="I32" s="180"/>
      <c r="J32" s="90" t="s">
        <v>157</v>
      </c>
      <c r="K32" s="39"/>
      <c r="L32" s="39"/>
      <c r="M32" s="39"/>
      <c r="N32" s="39"/>
      <c r="O32" s="39"/>
      <c r="P32" s="39"/>
      <c r="Q32" s="39"/>
    </row>
    <row r="33" outlineLevel="1">
      <c r="A33" s="161"/>
      <c r="B33" s="44"/>
      <c r="C33" s="163"/>
      <c r="D33" s="14"/>
      <c r="E33" s="163">
        <f t="shared" si="2"/>
        <v>4</v>
      </c>
      <c r="F33" s="43"/>
      <c r="G33" s="45"/>
      <c r="H33" s="53"/>
      <c r="I33" s="41"/>
      <c r="J33" s="169"/>
      <c r="K33" s="39"/>
      <c r="L33" s="39"/>
      <c r="M33" s="39"/>
      <c r="N33" s="39"/>
      <c r="O33" s="39"/>
      <c r="P33" s="39"/>
      <c r="Q33" s="39"/>
    </row>
    <row r="34">
      <c r="A34" s="89" t="s">
        <v>5</v>
      </c>
      <c r="B34" s="90" t="s">
        <v>283</v>
      </c>
      <c r="C34" s="62">
        <v>8.0</v>
      </c>
      <c r="D34" s="14" t="str">
        <f t="shared" ref="D34:D42" si="3">UPPER(TEXT(WEEKDAY(DATEVALUE(CONCATENATE(C34,"/",$C$3,"/",$A$1))),"DDD"))</f>
        <v>QUI.</v>
      </c>
      <c r="E34" s="62">
        <f t="shared" si="2"/>
        <v>4</v>
      </c>
      <c r="F34" s="87">
        <v>44295.0</v>
      </c>
      <c r="G34" s="56"/>
      <c r="H34" s="88">
        <v>550.96</v>
      </c>
      <c r="I34" s="180" t="s">
        <v>17</v>
      </c>
      <c r="J34" s="90" t="s">
        <v>60</v>
      </c>
      <c r="K34" s="59"/>
      <c r="L34" s="59"/>
      <c r="M34" s="59"/>
      <c r="N34" s="59"/>
      <c r="O34" s="59"/>
      <c r="P34" s="59"/>
      <c r="Q34" s="59"/>
    </row>
    <row r="35">
      <c r="A35" s="161" t="s">
        <v>5</v>
      </c>
      <c r="B35" s="39" t="s">
        <v>61</v>
      </c>
      <c r="C35" s="163">
        <v>8.0</v>
      </c>
      <c r="D35" s="14" t="str">
        <f t="shared" si="3"/>
        <v>QUI.</v>
      </c>
      <c r="E35" s="163">
        <f t="shared" si="2"/>
        <v>4</v>
      </c>
      <c r="F35" s="87">
        <v>44295.0</v>
      </c>
      <c r="G35" s="45"/>
      <c r="H35" s="46">
        <v>149.99</v>
      </c>
      <c r="I35" s="41" t="s">
        <v>17</v>
      </c>
      <c r="J35" s="169" t="s">
        <v>62</v>
      </c>
      <c r="K35" s="39"/>
      <c r="L35" s="39"/>
      <c r="M35" s="39"/>
      <c r="N35" s="39"/>
      <c r="O35" s="39"/>
      <c r="P35" s="39"/>
      <c r="Q35" s="39"/>
    </row>
    <row r="36">
      <c r="A36" s="89" t="s">
        <v>5</v>
      </c>
      <c r="B36" s="44" t="s">
        <v>284</v>
      </c>
      <c r="C36" s="62">
        <v>8.0</v>
      </c>
      <c r="D36" s="14" t="str">
        <f t="shared" si="3"/>
        <v>QUI.</v>
      </c>
      <c r="E36" s="62">
        <f t="shared" si="2"/>
        <v>4</v>
      </c>
      <c r="F36" s="85"/>
      <c r="G36" s="45"/>
      <c r="H36" s="46">
        <v>59.46</v>
      </c>
      <c r="I36" s="180" t="s">
        <v>252</v>
      </c>
      <c r="J36" s="90" t="s">
        <v>285</v>
      </c>
      <c r="K36" s="90"/>
      <c r="L36" s="90"/>
      <c r="M36" s="90"/>
      <c r="N36" s="90"/>
      <c r="O36" s="39"/>
      <c r="P36" s="39"/>
      <c r="Q36" s="39"/>
    </row>
    <row r="37">
      <c r="A37" s="161" t="s">
        <v>5</v>
      </c>
      <c r="B37" s="44" t="s">
        <v>37</v>
      </c>
      <c r="C37" s="163">
        <v>9.0</v>
      </c>
      <c r="D37" s="14" t="str">
        <f t="shared" si="3"/>
        <v>SEX.</v>
      </c>
      <c r="E37" s="163">
        <f t="shared" si="2"/>
        <v>4</v>
      </c>
      <c r="F37" s="43"/>
      <c r="G37" s="46">
        <v>1300.0</v>
      </c>
      <c r="H37" s="46"/>
      <c r="I37" s="41" t="s">
        <v>17</v>
      </c>
      <c r="J37" s="169" t="s">
        <v>38</v>
      </c>
      <c r="K37" s="39"/>
      <c r="L37" s="39"/>
      <c r="M37" s="39"/>
      <c r="N37" s="39"/>
      <c r="O37" s="39"/>
      <c r="P37" s="39"/>
      <c r="Q37" s="39"/>
    </row>
    <row r="38">
      <c r="A38" s="89" t="s">
        <v>5</v>
      </c>
      <c r="B38" s="61" t="s">
        <v>21</v>
      </c>
      <c r="C38" s="62">
        <v>9.0</v>
      </c>
      <c r="D38" s="14" t="str">
        <f t="shared" si="3"/>
        <v>SEX.</v>
      </c>
      <c r="E38" s="62">
        <f t="shared" si="2"/>
        <v>4</v>
      </c>
      <c r="F38" s="26"/>
      <c r="G38" s="56"/>
      <c r="H38" s="63">
        <v>167.23</v>
      </c>
      <c r="I38" s="180" t="s">
        <v>252</v>
      </c>
      <c r="J38" s="90" t="s">
        <v>22</v>
      </c>
      <c r="K38" s="59"/>
      <c r="L38" s="59"/>
      <c r="M38" s="59"/>
      <c r="N38" s="59"/>
      <c r="O38" s="59"/>
      <c r="P38" s="59"/>
      <c r="Q38" s="59"/>
    </row>
    <row r="39">
      <c r="A39" s="161" t="s">
        <v>5</v>
      </c>
      <c r="B39" s="34" t="s">
        <v>225</v>
      </c>
      <c r="C39" s="163">
        <v>9.0</v>
      </c>
      <c r="D39" s="14" t="str">
        <f t="shared" si="3"/>
        <v>SEX.</v>
      </c>
      <c r="E39" s="163">
        <f t="shared" si="2"/>
        <v>4</v>
      </c>
      <c r="F39" s="26"/>
      <c r="G39" s="56"/>
      <c r="H39" s="63">
        <v>735.0</v>
      </c>
      <c r="I39" s="41" t="s">
        <v>17</v>
      </c>
      <c r="J39" s="169" t="s">
        <v>67</v>
      </c>
      <c r="K39" s="59"/>
      <c r="L39" s="59"/>
      <c r="M39" s="59"/>
      <c r="N39" s="59"/>
      <c r="O39" s="59"/>
      <c r="P39" s="59"/>
      <c r="Q39" s="59"/>
    </row>
    <row r="40">
      <c r="A40" s="89" t="s">
        <v>5</v>
      </c>
      <c r="B40" s="44" t="s">
        <v>74</v>
      </c>
      <c r="C40" s="62">
        <v>9.0</v>
      </c>
      <c r="D40" s="14" t="str">
        <f t="shared" si="3"/>
        <v>SEX.</v>
      </c>
      <c r="E40" s="62">
        <f t="shared" si="2"/>
        <v>4</v>
      </c>
      <c r="F40" s="85"/>
      <c r="G40" s="45"/>
      <c r="H40" s="46">
        <v>102.0</v>
      </c>
      <c r="I40" s="180" t="s">
        <v>17</v>
      </c>
      <c r="J40" s="90" t="s">
        <v>75</v>
      </c>
      <c r="K40" s="39"/>
      <c r="L40" s="39"/>
      <c r="M40" s="39"/>
      <c r="N40" s="39"/>
      <c r="O40" s="39"/>
      <c r="P40" s="39"/>
      <c r="Q40" s="39"/>
    </row>
    <row r="41">
      <c r="A41" s="161" t="s">
        <v>5</v>
      </c>
      <c r="B41" s="39" t="s">
        <v>119</v>
      </c>
      <c r="C41" s="163">
        <v>9.0</v>
      </c>
      <c r="D41" s="14" t="str">
        <f t="shared" si="3"/>
        <v>SEX.</v>
      </c>
      <c r="E41" s="163">
        <f t="shared" si="2"/>
        <v>4</v>
      </c>
      <c r="F41" s="43"/>
      <c r="G41" s="46">
        <v>0.02</v>
      </c>
      <c r="H41" s="45"/>
      <c r="I41" s="41" t="s">
        <v>13</v>
      </c>
      <c r="J41" s="169" t="s">
        <v>120</v>
      </c>
      <c r="K41" s="68"/>
      <c r="L41" s="68"/>
      <c r="M41" s="68"/>
      <c r="N41" s="68"/>
      <c r="O41" s="68"/>
      <c r="P41" s="68"/>
      <c r="Q41" s="68"/>
    </row>
    <row r="42">
      <c r="A42" s="89" t="s">
        <v>5</v>
      </c>
      <c r="B42" s="39" t="s">
        <v>84</v>
      </c>
      <c r="C42" s="62">
        <v>11.0</v>
      </c>
      <c r="D42" s="14" t="str">
        <f t="shared" si="3"/>
        <v>DOM.</v>
      </c>
      <c r="E42" s="62">
        <f t="shared" si="2"/>
        <v>4</v>
      </c>
      <c r="F42" s="87">
        <v>44295.0</v>
      </c>
      <c r="G42" s="45"/>
      <c r="H42" s="53">
        <f>SUM(H43:H46)</f>
        <v>93.35</v>
      </c>
      <c r="I42" s="180" t="s">
        <v>17</v>
      </c>
      <c r="J42" s="90"/>
      <c r="K42" s="39"/>
      <c r="L42" s="39"/>
      <c r="M42" s="39"/>
      <c r="N42" s="39"/>
      <c r="O42" s="39"/>
      <c r="P42" s="39"/>
      <c r="Q42" s="39"/>
    </row>
    <row r="43" outlineLevel="1">
      <c r="A43" s="161" t="s">
        <v>40</v>
      </c>
      <c r="B43" s="44" t="s">
        <v>87</v>
      </c>
      <c r="C43" s="163"/>
      <c r="D43" s="14"/>
      <c r="E43" s="163">
        <f t="shared" si="2"/>
        <v>4</v>
      </c>
      <c r="F43" s="100">
        <v>44268.0</v>
      </c>
      <c r="G43" s="45"/>
      <c r="H43" s="46">
        <v>9.9</v>
      </c>
      <c r="I43" s="41"/>
      <c r="J43" s="169" t="s">
        <v>206</v>
      </c>
      <c r="K43" s="39"/>
      <c r="L43" s="39"/>
      <c r="M43" s="39"/>
      <c r="N43" s="39"/>
      <c r="O43" s="39"/>
      <c r="P43" s="39"/>
      <c r="Q43" s="39"/>
    </row>
    <row r="44" outlineLevel="1">
      <c r="A44" s="89" t="s">
        <v>40</v>
      </c>
      <c r="B44" s="90" t="s">
        <v>217</v>
      </c>
      <c r="C44" s="62"/>
      <c r="D44" s="14"/>
      <c r="E44" s="62">
        <f t="shared" si="2"/>
        <v>4</v>
      </c>
      <c r="F44" s="94">
        <v>44270.0</v>
      </c>
      <c r="G44" s="56"/>
      <c r="H44" s="88">
        <v>49.65</v>
      </c>
      <c r="I44" s="33"/>
      <c r="J44" s="90" t="s">
        <v>218</v>
      </c>
      <c r="K44" s="59"/>
      <c r="L44" s="59"/>
      <c r="M44" s="59"/>
      <c r="N44" s="59"/>
      <c r="O44" s="59"/>
      <c r="P44" s="59"/>
      <c r="Q44" s="59"/>
    </row>
    <row r="45" outlineLevel="1">
      <c r="A45" s="161" t="s">
        <v>40</v>
      </c>
      <c r="B45" s="169" t="s">
        <v>286</v>
      </c>
      <c r="C45" s="163"/>
      <c r="D45" s="14"/>
      <c r="E45" s="163">
        <f t="shared" si="2"/>
        <v>4</v>
      </c>
      <c r="F45" s="100">
        <v>44273.0</v>
      </c>
      <c r="G45" s="45"/>
      <c r="H45" s="165">
        <v>3.9</v>
      </c>
      <c r="I45" s="167"/>
      <c r="J45" s="169" t="s">
        <v>287</v>
      </c>
      <c r="K45" s="68"/>
      <c r="L45" s="68"/>
      <c r="M45" s="68"/>
      <c r="N45" s="68"/>
      <c r="O45" s="68"/>
      <c r="P45" s="68"/>
      <c r="Q45" s="68"/>
    </row>
    <row r="46" outlineLevel="1">
      <c r="A46" s="89" t="s">
        <v>40</v>
      </c>
      <c r="B46" s="90" t="s">
        <v>288</v>
      </c>
      <c r="C46" s="62"/>
      <c r="D46" s="14"/>
      <c r="E46" s="62">
        <f t="shared" si="2"/>
        <v>4</v>
      </c>
      <c r="F46" s="94">
        <v>44278.0</v>
      </c>
      <c r="G46" s="56"/>
      <c r="H46" s="88">
        <v>29.9</v>
      </c>
      <c r="I46" s="33"/>
      <c r="J46" s="90" t="s">
        <v>289</v>
      </c>
      <c r="K46" s="59"/>
      <c r="L46" s="59"/>
      <c r="M46" s="59"/>
      <c r="N46" s="59"/>
      <c r="O46" s="59"/>
      <c r="P46" s="59"/>
      <c r="Q46" s="59"/>
    </row>
    <row r="47">
      <c r="A47" s="161" t="s">
        <v>5</v>
      </c>
      <c r="B47" s="44" t="s">
        <v>73</v>
      </c>
      <c r="C47" s="163">
        <v>11.0</v>
      </c>
      <c r="D47" s="14" t="str">
        <f t="shared" ref="D47:D60" si="4">UPPER(TEXT(WEEKDAY(DATEVALUE(CONCATENATE(C47,"/",$C$3,"/",$A$1))),"DDD"))</f>
        <v>DOM.</v>
      </c>
      <c r="E47" s="163">
        <f t="shared" si="2"/>
        <v>4</v>
      </c>
      <c r="F47" s="85"/>
      <c r="G47" s="45"/>
      <c r="H47" s="46">
        <v>53.8</v>
      </c>
      <c r="I47" s="41" t="s">
        <v>17</v>
      </c>
      <c r="J47" s="169" t="s">
        <v>20</v>
      </c>
      <c r="K47" s="169"/>
      <c r="L47" s="169"/>
      <c r="M47" s="169"/>
      <c r="N47" s="169"/>
      <c r="O47" s="39"/>
      <c r="P47" s="39"/>
      <c r="Q47" s="39"/>
    </row>
    <row r="48">
      <c r="A48" s="89" t="s">
        <v>5</v>
      </c>
      <c r="B48" s="44" t="s">
        <v>290</v>
      </c>
      <c r="C48" s="62">
        <v>14.0</v>
      </c>
      <c r="D48" s="14" t="str">
        <f t="shared" si="4"/>
        <v>QUA.</v>
      </c>
      <c r="E48" s="62">
        <f t="shared" si="2"/>
        <v>4</v>
      </c>
      <c r="F48" s="85"/>
      <c r="G48" s="45"/>
      <c r="H48" s="46">
        <v>60.0</v>
      </c>
      <c r="I48" s="180" t="s">
        <v>13</v>
      </c>
      <c r="J48" s="90" t="s">
        <v>20</v>
      </c>
      <c r="K48" s="90"/>
      <c r="L48" s="90"/>
      <c r="M48" s="90"/>
      <c r="N48" s="90"/>
      <c r="O48" s="39"/>
      <c r="P48" s="39"/>
      <c r="Q48" s="39"/>
    </row>
    <row r="49">
      <c r="A49" s="174" t="s">
        <v>5</v>
      </c>
      <c r="B49" s="185" t="s">
        <v>260</v>
      </c>
      <c r="C49" s="189">
        <v>15.0</v>
      </c>
      <c r="D49" s="14" t="str">
        <f t="shared" si="4"/>
        <v>QUI.</v>
      </c>
      <c r="E49" s="163">
        <f t="shared" si="2"/>
        <v>4</v>
      </c>
      <c r="F49" s="43"/>
      <c r="G49" s="46">
        <v>5000.0</v>
      </c>
      <c r="H49" s="45"/>
      <c r="I49" s="65" t="s">
        <v>261</v>
      </c>
      <c r="J49" s="169" t="s">
        <v>64</v>
      </c>
      <c r="K49" s="45"/>
      <c r="L49" s="45"/>
      <c r="M49" s="45"/>
      <c r="N49" s="45"/>
      <c r="O49" s="45"/>
      <c r="P49" s="45"/>
      <c r="Q49" s="45"/>
    </row>
    <row r="50">
      <c r="A50" s="23" t="s">
        <v>25</v>
      </c>
      <c r="B50" s="40" t="s">
        <v>26</v>
      </c>
      <c r="C50" s="148">
        <v>15.0</v>
      </c>
      <c r="D50" s="25" t="str">
        <f t="shared" si="4"/>
        <v>QUI.</v>
      </c>
      <c r="E50" s="62">
        <f t="shared" si="2"/>
        <v>4</v>
      </c>
      <c r="F50" s="26"/>
      <c r="G50" s="56"/>
      <c r="H50" s="63">
        <v>5000.0</v>
      </c>
      <c r="I50" s="64" t="s">
        <v>261</v>
      </c>
      <c r="J50" s="40"/>
      <c r="K50" s="59"/>
      <c r="L50" s="59"/>
      <c r="M50" s="59"/>
      <c r="N50" s="59"/>
      <c r="O50" s="59"/>
      <c r="P50" s="59"/>
      <c r="Q50" s="59"/>
    </row>
    <row r="51">
      <c r="A51" s="65" t="s">
        <v>25</v>
      </c>
      <c r="B51" s="42" t="s">
        <v>27</v>
      </c>
      <c r="C51" s="66">
        <v>15.0</v>
      </c>
      <c r="D51" s="14" t="str">
        <f t="shared" si="4"/>
        <v>QUI.</v>
      </c>
      <c r="E51" s="163">
        <f t="shared" si="2"/>
        <v>4</v>
      </c>
      <c r="F51" s="43"/>
      <c r="G51" s="46">
        <v>5000.0</v>
      </c>
      <c r="H51" s="45"/>
      <c r="I51" s="67" t="s">
        <v>17</v>
      </c>
      <c r="J51" s="42"/>
      <c r="K51" s="68"/>
      <c r="L51" s="68"/>
      <c r="M51" s="68"/>
      <c r="N51" s="68"/>
      <c r="O51" s="68"/>
      <c r="P51" s="68"/>
      <c r="Q51" s="68"/>
    </row>
    <row r="52">
      <c r="A52" s="89" t="s">
        <v>5</v>
      </c>
      <c r="B52" s="61" t="s">
        <v>65</v>
      </c>
      <c r="C52" s="62">
        <v>15.0</v>
      </c>
      <c r="D52" s="25" t="str">
        <f t="shared" si="4"/>
        <v>QUI.</v>
      </c>
      <c r="E52" s="62">
        <f t="shared" si="2"/>
        <v>4</v>
      </c>
      <c r="F52" s="85"/>
      <c r="G52" s="45"/>
      <c r="H52" s="46">
        <v>1300.0</v>
      </c>
      <c r="I52" s="180" t="s">
        <v>17</v>
      </c>
      <c r="J52" s="34" t="s">
        <v>191</v>
      </c>
      <c r="K52" s="39"/>
      <c r="L52" s="39"/>
      <c r="M52" s="39"/>
      <c r="N52" s="39"/>
      <c r="O52" s="39"/>
      <c r="P52" s="39"/>
      <c r="Q52" s="39"/>
    </row>
    <row r="53">
      <c r="A53" s="65" t="s">
        <v>25</v>
      </c>
      <c r="B53" s="39" t="s">
        <v>26</v>
      </c>
      <c r="C53" s="144">
        <v>15.0</v>
      </c>
      <c r="D53" s="14" t="str">
        <f t="shared" si="4"/>
        <v>QUI.</v>
      </c>
      <c r="E53" s="163">
        <f t="shared" si="2"/>
        <v>4</v>
      </c>
      <c r="F53" s="43"/>
      <c r="G53" s="45"/>
      <c r="H53" s="46">
        <v>200.0</v>
      </c>
      <c r="I53" s="149" t="s">
        <v>17</v>
      </c>
      <c r="J53" s="44"/>
      <c r="K53" s="68"/>
      <c r="L53" s="68"/>
      <c r="M53" s="68"/>
      <c r="N53" s="68"/>
      <c r="O53" s="68"/>
      <c r="P53" s="68"/>
      <c r="Q53" s="68"/>
    </row>
    <row r="54">
      <c r="A54" s="23" t="s">
        <v>25</v>
      </c>
      <c r="B54" s="61" t="s">
        <v>27</v>
      </c>
      <c r="C54" s="143">
        <v>15.0</v>
      </c>
      <c r="D54" s="25" t="str">
        <f t="shared" si="4"/>
        <v>QUI.</v>
      </c>
      <c r="E54" s="62">
        <f t="shared" si="2"/>
        <v>4</v>
      </c>
      <c r="F54" s="26"/>
      <c r="G54" s="63">
        <v>200.0</v>
      </c>
      <c r="H54" s="56"/>
      <c r="I54" s="37" t="s">
        <v>13</v>
      </c>
      <c r="J54" s="34"/>
      <c r="K54" s="59"/>
      <c r="L54" s="59"/>
      <c r="M54" s="59"/>
      <c r="N54" s="59"/>
      <c r="O54" s="59"/>
      <c r="P54" s="59"/>
      <c r="Q54" s="59"/>
    </row>
    <row r="55">
      <c r="A55" s="161" t="s">
        <v>5</v>
      </c>
      <c r="B55" s="39" t="s">
        <v>102</v>
      </c>
      <c r="C55" s="163">
        <v>15.0</v>
      </c>
      <c r="D55" s="14" t="str">
        <f t="shared" si="4"/>
        <v>QUI.</v>
      </c>
      <c r="E55" s="163">
        <f t="shared" si="2"/>
        <v>4</v>
      </c>
      <c r="F55" s="94"/>
      <c r="G55" s="45"/>
      <c r="H55" s="46">
        <v>208.7</v>
      </c>
      <c r="I55" s="41" t="s">
        <v>17</v>
      </c>
      <c r="J55" s="169" t="s">
        <v>75</v>
      </c>
      <c r="K55" s="39"/>
      <c r="L55" s="39"/>
      <c r="M55" s="39"/>
      <c r="N55" s="39"/>
      <c r="O55" s="39"/>
      <c r="P55" s="39"/>
      <c r="Q55" s="39"/>
    </row>
    <row r="56">
      <c r="A56" s="89" t="s">
        <v>5</v>
      </c>
      <c r="B56" s="61" t="s">
        <v>103</v>
      </c>
      <c r="C56" s="62">
        <v>15.0</v>
      </c>
      <c r="D56" s="14" t="str">
        <f t="shared" si="4"/>
        <v>QUI.</v>
      </c>
      <c r="E56" s="62">
        <f t="shared" si="2"/>
        <v>4</v>
      </c>
      <c r="F56" s="94"/>
      <c r="G56" s="56"/>
      <c r="H56" s="63">
        <v>208.7</v>
      </c>
      <c r="I56" s="180" t="s">
        <v>17</v>
      </c>
      <c r="J56" s="90" t="s">
        <v>75</v>
      </c>
      <c r="K56" s="61"/>
      <c r="L56" s="61"/>
      <c r="M56" s="61"/>
      <c r="N56" s="61"/>
      <c r="O56" s="61"/>
      <c r="P56" s="61"/>
      <c r="Q56" s="61"/>
    </row>
    <row r="57">
      <c r="A57" s="161" t="s">
        <v>5</v>
      </c>
      <c r="B57" s="39" t="s">
        <v>104</v>
      </c>
      <c r="C57" s="163">
        <v>15.0</v>
      </c>
      <c r="D57" s="14" t="str">
        <f t="shared" si="4"/>
        <v>QUI.</v>
      </c>
      <c r="E57" s="163">
        <f t="shared" si="2"/>
        <v>4</v>
      </c>
      <c r="F57" s="94"/>
      <c r="G57" s="45"/>
      <c r="H57" s="46">
        <v>263.88</v>
      </c>
      <c r="I57" s="41" t="s">
        <v>17</v>
      </c>
      <c r="J57" s="169" t="s">
        <v>291</v>
      </c>
      <c r="K57" s="39"/>
      <c r="L57" s="39"/>
      <c r="M57" s="39"/>
      <c r="N57" s="39"/>
      <c r="O57" s="39"/>
      <c r="P57" s="39"/>
      <c r="Q57" s="39"/>
    </row>
    <row r="58">
      <c r="A58" s="89" t="s">
        <v>5</v>
      </c>
      <c r="B58" s="39" t="s">
        <v>21</v>
      </c>
      <c r="C58" s="62">
        <v>15.0</v>
      </c>
      <c r="D58" s="14" t="str">
        <f t="shared" si="4"/>
        <v>QUI.</v>
      </c>
      <c r="E58" s="62">
        <f t="shared" si="2"/>
        <v>4</v>
      </c>
      <c r="F58" s="43"/>
      <c r="G58" s="45"/>
      <c r="H58" s="46">
        <v>218.42</v>
      </c>
      <c r="I58" s="180" t="s">
        <v>17</v>
      </c>
      <c r="J58" s="90" t="s">
        <v>22</v>
      </c>
      <c r="K58" s="68"/>
      <c r="L58" s="68"/>
      <c r="M58" s="68"/>
      <c r="N58" s="68"/>
      <c r="O58" s="68"/>
      <c r="P58" s="68"/>
      <c r="Q58" s="68"/>
    </row>
    <row r="59">
      <c r="A59" s="161" t="s">
        <v>5</v>
      </c>
      <c r="B59" s="169" t="s">
        <v>130</v>
      </c>
      <c r="C59" s="163">
        <v>15.0</v>
      </c>
      <c r="D59" s="14" t="str">
        <f t="shared" si="4"/>
        <v>QUI.</v>
      </c>
      <c r="E59" s="163">
        <f t="shared" si="2"/>
        <v>4</v>
      </c>
      <c r="F59" s="190"/>
      <c r="G59" s="45"/>
      <c r="H59" s="165">
        <v>44.85</v>
      </c>
      <c r="I59" s="167" t="s">
        <v>17</v>
      </c>
      <c r="J59" s="169" t="s">
        <v>292</v>
      </c>
      <c r="K59" s="168"/>
      <c r="L59" s="168"/>
      <c r="M59" s="168"/>
      <c r="N59" s="168"/>
      <c r="O59" s="168"/>
      <c r="P59" s="168"/>
      <c r="Q59" s="68"/>
    </row>
    <row r="60">
      <c r="A60" s="95" t="s">
        <v>5</v>
      </c>
      <c r="B60" s="39" t="s">
        <v>293</v>
      </c>
      <c r="C60" s="62">
        <v>16.0</v>
      </c>
      <c r="D60" s="14" t="str">
        <f t="shared" si="4"/>
        <v>SEX.</v>
      </c>
      <c r="E60" s="62">
        <f t="shared" si="2"/>
        <v>4</v>
      </c>
      <c r="F60" s="14"/>
      <c r="G60" s="145"/>
      <c r="H60" s="88">
        <v>103.0</v>
      </c>
      <c r="I60" s="180" t="s">
        <v>17</v>
      </c>
      <c r="J60" s="90" t="s">
        <v>294</v>
      </c>
      <c r="K60" s="44"/>
      <c r="L60" s="191"/>
      <c r="M60" s="55"/>
      <c r="N60" s="55"/>
      <c r="O60" s="55"/>
      <c r="P60" s="55"/>
      <c r="Q60" s="55"/>
    </row>
    <row r="61">
      <c r="A61" s="95" t="s">
        <v>5</v>
      </c>
      <c r="B61" s="44" t="s">
        <v>295</v>
      </c>
      <c r="C61" s="163">
        <v>16.0</v>
      </c>
      <c r="D61" s="14" t="str">
        <f>UPPER(TEXT(WEEKDAY(C61),"DDD"))</f>
        <v>SEG.</v>
      </c>
      <c r="E61" s="163">
        <f t="shared" si="2"/>
        <v>4</v>
      </c>
      <c r="F61" s="14"/>
      <c r="G61" s="46">
        <v>477.32</v>
      </c>
      <c r="H61" s="46"/>
      <c r="I61" s="41" t="s">
        <v>13</v>
      </c>
      <c r="J61" s="169" t="s">
        <v>296</v>
      </c>
      <c r="K61" s="42"/>
      <c r="L61" s="191"/>
      <c r="M61" s="55"/>
      <c r="N61" s="55"/>
      <c r="O61" s="55"/>
      <c r="P61" s="55"/>
      <c r="Q61" s="55"/>
    </row>
    <row r="62">
      <c r="A62" s="89" t="s">
        <v>5</v>
      </c>
      <c r="B62" s="34" t="s">
        <v>297</v>
      </c>
      <c r="C62" s="62">
        <v>16.0</v>
      </c>
      <c r="D62" s="25" t="str">
        <f t="shared" ref="D62:D85" si="5">UPPER(TEXT(WEEKDAY(DATEVALUE(CONCATENATE(C62,"/",$C$3,"/",$A$1))),"DDD"))</f>
        <v>SEX.</v>
      </c>
      <c r="E62" s="62">
        <f t="shared" si="2"/>
        <v>4</v>
      </c>
      <c r="F62" s="85"/>
      <c r="G62" s="45"/>
      <c r="H62" s="46">
        <v>477.32</v>
      </c>
      <c r="I62" s="180" t="s">
        <v>17</v>
      </c>
      <c r="J62" s="34" t="s">
        <v>101</v>
      </c>
      <c r="K62" s="39"/>
      <c r="L62" s="39"/>
      <c r="M62" s="39"/>
      <c r="N62" s="39"/>
      <c r="O62" s="39"/>
      <c r="P62" s="39"/>
      <c r="Q62" s="39"/>
    </row>
    <row r="63">
      <c r="A63" s="161" t="s">
        <v>5</v>
      </c>
      <c r="B63" s="55" t="s">
        <v>91</v>
      </c>
      <c r="C63" s="163">
        <v>17.0</v>
      </c>
      <c r="D63" s="14" t="str">
        <f t="shared" si="5"/>
        <v>SÁB.</v>
      </c>
      <c r="E63" s="163">
        <f t="shared" si="2"/>
        <v>4</v>
      </c>
      <c r="F63" s="26"/>
      <c r="G63" s="56"/>
      <c r="H63" s="88">
        <v>495.44</v>
      </c>
      <c r="I63" s="41" t="s">
        <v>17</v>
      </c>
      <c r="J63" s="169" t="s">
        <v>92</v>
      </c>
      <c r="K63" s="55"/>
      <c r="L63" s="55"/>
      <c r="M63" s="55"/>
      <c r="N63" s="55"/>
      <c r="O63" s="55"/>
      <c r="P63" s="55"/>
      <c r="Q63" s="55"/>
    </row>
    <row r="64">
      <c r="A64" s="158" t="s">
        <v>5</v>
      </c>
      <c r="B64" s="40" t="s">
        <v>117</v>
      </c>
      <c r="C64" s="62">
        <v>19.0</v>
      </c>
      <c r="D64" s="25" t="str">
        <f t="shared" si="5"/>
        <v>SEG.</v>
      </c>
      <c r="E64" s="62">
        <f t="shared" si="2"/>
        <v>4</v>
      </c>
      <c r="F64" s="26"/>
      <c r="G64" s="56"/>
      <c r="H64" s="101">
        <v>20.0</v>
      </c>
      <c r="I64" s="23" t="s">
        <v>17</v>
      </c>
      <c r="J64" s="173" t="s">
        <v>118</v>
      </c>
      <c r="K64" s="59"/>
      <c r="L64" s="59"/>
      <c r="M64" s="59"/>
      <c r="N64" s="59"/>
      <c r="O64" s="59"/>
      <c r="P64" s="59"/>
      <c r="Q64" s="59"/>
    </row>
    <row r="65">
      <c r="A65" s="161" t="s">
        <v>5</v>
      </c>
      <c r="B65" s="90" t="s">
        <v>298</v>
      </c>
      <c r="C65" s="163">
        <v>20.0</v>
      </c>
      <c r="D65" s="14" t="str">
        <f t="shared" si="5"/>
        <v>TER.</v>
      </c>
      <c r="E65" s="163">
        <f t="shared" si="2"/>
        <v>4</v>
      </c>
      <c r="F65" s="26"/>
      <c r="G65" s="56"/>
      <c r="H65" s="88">
        <v>200.0</v>
      </c>
      <c r="I65" s="41" t="s">
        <v>17</v>
      </c>
      <c r="J65" s="169" t="s">
        <v>299</v>
      </c>
      <c r="K65" s="55"/>
      <c r="L65" s="55"/>
      <c r="M65" s="55"/>
      <c r="N65" s="55"/>
      <c r="O65" s="55"/>
      <c r="P65" s="55"/>
      <c r="Q65" s="55"/>
    </row>
    <row r="66">
      <c r="A66" s="89" t="s">
        <v>5</v>
      </c>
      <c r="B66" s="44" t="s">
        <v>300</v>
      </c>
      <c r="C66" s="62">
        <v>20.0</v>
      </c>
      <c r="D66" s="14" t="str">
        <f t="shared" si="5"/>
        <v>TER.</v>
      </c>
      <c r="E66" s="62">
        <f t="shared" si="2"/>
        <v>4</v>
      </c>
      <c r="F66" s="94"/>
      <c r="G66" s="45"/>
      <c r="H66" s="46">
        <v>108.83</v>
      </c>
      <c r="I66" s="180" t="s">
        <v>17</v>
      </c>
      <c r="J66" s="90" t="s">
        <v>98</v>
      </c>
      <c r="K66" s="39"/>
      <c r="L66" s="39"/>
      <c r="M66" s="39"/>
      <c r="N66" s="39"/>
      <c r="O66" s="39"/>
      <c r="P66" s="39"/>
      <c r="Q66" s="39"/>
    </row>
    <row r="67">
      <c r="A67" s="161" t="s">
        <v>5</v>
      </c>
      <c r="B67" s="39" t="s">
        <v>121</v>
      </c>
      <c r="C67" s="163">
        <v>20.0</v>
      </c>
      <c r="D67" s="14" t="str">
        <f t="shared" si="5"/>
        <v>TER.</v>
      </c>
      <c r="E67" s="163">
        <f t="shared" si="2"/>
        <v>4</v>
      </c>
      <c r="F67" s="85"/>
      <c r="G67" s="45"/>
      <c r="H67" s="53">
        <v>140.0</v>
      </c>
      <c r="I67" s="41" t="s">
        <v>17</v>
      </c>
      <c r="J67" s="169" t="s">
        <v>122</v>
      </c>
      <c r="K67" s="39"/>
      <c r="L67" s="39"/>
      <c r="M67" s="39"/>
      <c r="N67" s="39"/>
      <c r="O67" s="39"/>
      <c r="P67" s="39"/>
      <c r="Q67" s="39"/>
    </row>
    <row r="68">
      <c r="A68" s="89" t="s">
        <v>5</v>
      </c>
      <c r="B68" s="90" t="s">
        <v>301</v>
      </c>
      <c r="C68" s="62">
        <v>20.0</v>
      </c>
      <c r="D68" s="14" t="str">
        <f t="shared" si="5"/>
        <v>TER.</v>
      </c>
      <c r="E68" s="62">
        <f t="shared" si="2"/>
        <v>4</v>
      </c>
      <c r="F68" s="26"/>
      <c r="G68" s="56"/>
      <c r="H68" s="88">
        <v>0.0</v>
      </c>
      <c r="I68" s="180" t="s">
        <v>17</v>
      </c>
      <c r="J68" s="90" t="s">
        <v>124</v>
      </c>
      <c r="K68" s="55"/>
      <c r="L68" s="55"/>
      <c r="M68" s="55"/>
      <c r="N68" s="55"/>
      <c r="O68" s="55"/>
      <c r="P68" s="55"/>
      <c r="Q68" s="55"/>
    </row>
    <row r="69">
      <c r="A69" s="161" t="s">
        <v>5</v>
      </c>
      <c r="B69" s="39" t="s">
        <v>125</v>
      </c>
      <c r="C69" s="163">
        <v>20.0</v>
      </c>
      <c r="D69" s="14" t="str">
        <f t="shared" si="5"/>
        <v>TER.</v>
      </c>
      <c r="E69" s="163">
        <f t="shared" si="2"/>
        <v>4</v>
      </c>
      <c r="F69" s="100">
        <v>44301.0</v>
      </c>
      <c r="G69" s="45"/>
      <c r="H69" s="46">
        <v>413.41</v>
      </c>
      <c r="I69" s="41" t="s">
        <v>17</v>
      </c>
      <c r="J69" s="169" t="s">
        <v>126</v>
      </c>
      <c r="K69" s="39"/>
      <c r="L69" s="39"/>
      <c r="M69" s="39"/>
      <c r="N69" s="39"/>
      <c r="O69" s="39"/>
      <c r="P69" s="39"/>
      <c r="Q69" s="39"/>
    </row>
    <row r="70">
      <c r="A70" s="95" t="s">
        <v>5</v>
      </c>
      <c r="B70" s="185" t="s">
        <v>138</v>
      </c>
      <c r="C70" s="66">
        <v>20.0</v>
      </c>
      <c r="D70" s="14" t="str">
        <f t="shared" si="5"/>
        <v>TER.</v>
      </c>
      <c r="E70" s="62">
        <f t="shared" si="2"/>
        <v>4</v>
      </c>
      <c r="F70" s="43"/>
      <c r="G70" s="45"/>
      <c r="H70" s="53">
        <v>63.8</v>
      </c>
      <c r="I70" s="41" t="s">
        <v>17</v>
      </c>
      <c r="J70" s="42" t="s">
        <v>20</v>
      </c>
      <c r="K70" s="45"/>
      <c r="L70" s="45"/>
      <c r="M70" s="45"/>
      <c r="N70" s="45"/>
      <c r="O70" s="45"/>
      <c r="P70" s="45"/>
      <c r="Q70" s="45"/>
    </row>
    <row r="71">
      <c r="A71" s="158" t="s">
        <v>5</v>
      </c>
      <c r="B71" s="177" t="s">
        <v>21</v>
      </c>
      <c r="C71" s="62">
        <v>20.0</v>
      </c>
      <c r="D71" s="25" t="str">
        <f t="shared" si="5"/>
        <v>TER.</v>
      </c>
      <c r="E71" s="163">
        <f t="shared" si="2"/>
        <v>4</v>
      </c>
      <c r="F71" s="26"/>
      <c r="G71" s="56"/>
      <c r="H71" s="63">
        <v>57.47</v>
      </c>
      <c r="I71" s="33" t="s">
        <v>17</v>
      </c>
      <c r="J71" s="173" t="s">
        <v>22</v>
      </c>
      <c r="K71" s="56"/>
      <c r="L71" s="56"/>
      <c r="M71" s="56"/>
      <c r="N71" s="56"/>
      <c r="O71" s="56"/>
      <c r="P71" s="56"/>
      <c r="Q71" s="56"/>
    </row>
    <row r="72">
      <c r="A72" s="89" t="s">
        <v>5</v>
      </c>
      <c r="B72" s="39" t="s">
        <v>134</v>
      </c>
      <c r="C72" s="62">
        <v>22.0</v>
      </c>
      <c r="D72" s="14" t="str">
        <f t="shared" si="5"/>
        <v>QUI.</v>
      </c>
      <c r="E72" s="62">
        <f t="shared" si="2"/>
        <v>4</v>
      </c>
      <c r="F72" s="43"/>
      <c r="G72" s="45"/>
      <c r="H72" s="46">
        <v>243.32</v>
      </c>
      <c r="I72" s="60" t="s">
        <v>13</v>
      </c>
      <c r="J72" s="90" t="s">
        <v>135</v>
      </c>
      <c r="K72" s="39"/>
      <c r="L72" s="39"/>
      <c r="M72" s="39"/>
      <c r="N72" s="39"/>
      <c r="O72" s="39"/>
      <c r="P72" s="39"/>
      <c r="Q72" s="39"/>
    </row>
    <row r="73">
      <c r="A73" s="161" t="s">
        <v>5</v>
      </c>
      <c r="B73" s="61" t="s">
        <v>127</v>
      </c>
      <c r="C73" s="163">
        <v>23.0</v>
      </c>
      <c r="D73" s="14" t="str">
        <f t="shared" si="5"/>
        <v>SEX.</v>
      </c>
      <c r="E73" s="163">
        <f t="shared" si="2"/>
        <v>4</v>
      </c>
      <c r="F73" s="100">
        <v>44301.0</v>
      </c>
      <c r="G73" s="56"/>
      <c r="H73" s="101">
        <v>54.41</v>
      </c>
      <c r="I73" s="41" t="s">
        <v>17</v>
      </c>
      <c r="J73" s="169" t="s">
        <v>128</v>
      </c>
      <c r="K73" s="61"/>
      <c r="L73" s="61"/>
      <c r="M73" s="61"/>
      <c r="N73" s="61"/>
      <c r="O73" s="61"/>
      <c r="P73" s="61"/>
      <c r="Q73" s="61"/>
    </row>
    <row r="74">
      <c r="A74" s="158" t="s">
        <v>5</v>
      </c>
      <c r="B74" s="40" t="s">
        <v>248</v>
      </c>
      <c r="C74" s="62">
        <v>23.0</v>
      </c>
      <c r="D74" s="25" t="str">
        <f t="shared" si="5"/>
        <v>SEX.</v>
      </c>
      <c r="E74" s="62">
        <f t="shared" si="2"/>
        <v>4</v>
      </c>
      <c r="F74" s="26"/>
      <c r="G74" s="63">
        <v>295.0</v>
      </c>
      <c r="H74" s="101"/>
      <c r="I74" s="60" t="s">
        <v>249</v>
      </c>
      <c r="J74" s="173" t="s">
        <v>250</v>
      </c>
      <c r="K74" s="59"/>
      <c r="L74" s="59"/>
      <c r="M74" s="59"/>
      <c r="N74" s="59"/>
      <c r="O74" s="59"/>
      <c r="P74" s="59"/>
      <c r="Q74" s="59"/>
    </row>
    <row r="75">
      <c r="A75" s="95" t="s">
        <v>5</v>
      </c>
      <c r="B75" s="42" t="s">
        <v>251</v>
      </c>
      <c r="C75" s="66">
        <v>23.0</v>
      </c>
      <c r="D75" s="14" t="str">
        <f t="shared" si="5"/>
        <v>SEX.</v>
      </c>
      <c r="E75" s="163">
        <f t="shared" si="2"/>
        <v>4</v>
      </c>
      <c r="F75" s="43"/>
      <c r="G75" s="46">
        <v>635.0</v>
      </c>
      <c r="H75" s="53"/>
      <c r="I75" s="65" t="s">
        <v>252</v>
      </c>
      <c r="J75" s="42" t="s">
        <v>253</v>
      </c>
      <c r="K75" s="68"/>
      <c r="L75" s="68"/>
      <c r="M75" s="68"/>
      <c r="N75" s="68"/>
      <c r="O75" s="68"/>
      <c r="P75" s="68"/>
      <c r="Q75" s="68"/>
    </row>
    <row r="76">
      <c r="A76" s="172" t="s">
        <v>5</v>
      </c>
      <c r="B76" s="34" t="s">
        <v>302</v>
      </c>
      <c r="C76" s="62">
        <v>23.0</v>
      </c>
      <c r="D76" s="25" t="str">
        <f t="shared" si="5"/>
        <v>SEX.</v>
      </c>
      <c r="E76" s="62">
        <f t="shared" si="2"/>
        <v>4</v>
      </c>
      <c r="F76" s="26"/>
      <c r="G76" s="56"/>
      <c r="H76" s="63">
        <v>72.2</v>
      </c>
      <c r="I76" s="180" t="s">
        <v>252</v>
      </c>
      <c r="J76" s="90" t="s">
        <v>20</v>
      </c>
      <c r="K76" s="59"/>
      <c r="L76" s="59"/>
      <c r="M76" s="59"/>
      <c r="N76" s="59"/>
      <c r="O76" s="59"/>
      <c r="P76" s="59"/>
      <c r="Q76" s="59"/>
    </row>
    <row r="77">
      <c r="A77" s="161" t="s">
        <v>5</v>
      </c>
      <c r="B77" s="44" t="s">
        <v>303</v>
      </c>
      <c r="C77" s="163">
        <v>24.0</v>
      </c>
      <c r="D77" s="14" t="str">
        <f t="shared" si="5"/>
        <v>SÁB.</v>
      </c>
      <c r="E77" s="163">
        <f t="shared" si="2"/>
        <v>4</v>
      </c>
      <c r="F77" s="85"/>
      <c r="G77" s="45"/>
      <c r="H77" s="46">
        <v>79.39</v>
      </c>
      <c r="I77" s="41" t="s">
        <v>17</v>
      </c>
      <c r="J77" s="169" t="s">
        <v>20</v>
      </c>
      <c r="K77" s="169"/>
      <c r="L77" s="169"/>
      <c r="M77" s="169"/>
      <c r="N77" s="169"/>
      <c r="O77" s="39"/>
      <c r="P77" s="39"/>
      <c r="Q77" s="39"/>
    </row>
    <row r="78">
      <c r="A78" s="89" t="s">
        <v>5</v>
      </c>
      <c r="B78" s="44" t="s">
        <v>73</v>
      </c>
      <c r="C78" s="62">
        <v>25.0</v>
      </c>
      <c r="D78" s="14" t="str">
        <f t="shared" si="5"/>
        <v>DOM.</v>
      </c>
      <c r="E78" s="62">
        <f t="shared" si="2"/>
        <v>4</v>
      </c>
      <c r="F78" s="85"/>
      <c r="G78" s="45"/>
      <c r="H78" s="46">
        <v>20.0</v>
      </c>
      <c r="I78" s="180" t="s">
        <v>17</v>
      </c>
      <c r="J78" s="90" t="s">
        <v>20</v>
      </c>
      <c r="K78" s="90"/>
      <c r="L78" s="90"/>
      <c r="M78" s="90"/>
      <c r="N78" s="90"/>
      <c r="O78" s="39"/>
      <c r="P78" s="39"/>
      <c r="Q78" s="39"/>
    </row>
    <row r="79">
      <c r="A79" s="95" t="s">
        <v>5</v>
      </c>
      <c r="B79" s="178" t="s">
        <v>304</v>
      </c>
      <c r="C79" s="66">
        <v>26.0</v>
      </c>
      <c r="D79" s="14" t="str">
        <f t="shared" si="5"/>
        <v>SEG.</v>
      </c>
      <c r="E79" s="163">
        <f t="shared" si="2"/>
        <v>4</v>
      </c>
      <c r="F79" s="43"/>
      <c r="G79" s="45"/>
      <c r="H79" s="46">
        <v>17.0</v>
      </c>
      <c r="I79" s="41" t="s">
        <v>249</v>
      </c>
      <c r="J79" s="42" t="s">
        <v>20</v>
      </c>
      <c r="K79" s="45"/>
      <c r="L79" s="45"/>
      <c r="M79" s="45"/>
      <c r="N79" s="45"/>
      <c r="O79" s="45"/>
      <c r="P79" s="45"/>
      <c r="Q79" s="45"/>
    </row>
    <row r="80">
      <c r="A80" s="89" t="s">
        <v>5</v>
      </c>
      <c r="B80" s="61" t="s">
        <v>21</v>
      </c>
      <c r="C80" s="62">
        <v>27.0</v>
      </c>
      <c r="D80" s="14" t="str">
        <f t="shared" si="5"/>
        <v>TER.</v>
      </c>
      <c r="E80" s="62">
        <f t="shared" si="2"/>
        <v>4</v>
      </c>
      <c r="F80" s="26"/>
      <c r="G80" s="56"/>
      <c r="H80" s="63">
        <v>240.14</v>
      </c>
      <c r="I80" s="180" t="s">
        <v>249</v>
      </c>
      <c r="J80" s="90" t="s">
        <v>22</v>
      </c>
      <c r="K80" s="59"/>
      <c r="L80" s="59"/>
      <c r="M80" s="59"/>
      <c r="N80" s="59"/>
      <c r="O80" s="59"/>
      <c r="P80" s="59"/>
      <c r="Q80" s="59"/>
    </row>
    <row r="81">
      <c r="A81" s="161" t="s">
        <v>5</v>
      </c>
      <c r="B81" s="178" t="s">
        <v>260</v>
      </c>
      <c r="C81" s="163">
        <v>30.0</v>
      </c>
      <c r="D81" s="14" t="str">
        <f t="shared" si="5"/>
        <v>SEX.</v>
      </c>
      <c r="E81" s="163">
        <f t="shared" si="2"/>
        <v>4</v>
      </c>
      <c r="F81" s="100"/>
      <c r="G81" s="46">
        <v>2574.18</v>
      </c>
      <c r="H81" s="45"/>
      <c r="I81" s="41" t="s">
        <v>261</v>
      </c>
      <c r="J81" s="169" t="s">
        <v>64</v>
      </c>
      <c r="K81" s="45"/>
      <c r="L81" s="45"/>
      <c r="M81" s="45"/>
      <c r="N81" s="45"/>
      <c r="O81" s="45"/>
      <c r="P81" s="45"/>
      <c r="Q81" s="45"/>
    </row>
    <row r="82">
      <c r="A82" s="23" t="s">
        <v>25</v>
      </c>
      <c r="B82" s="40" t="s">
        <v>26</v>
      </c>
      <c r="C82" s="148">
        <v>15.0</v>
      </c>
      <c r="D82" s="25" t="str">
        <f t="shared" si="5"/>
        <v>QUI.</v>
      </c>
      <c r="E82" s="62">
        <f t="shared" si="2"/>
        <v>4</v>
      </c>
      <c r="F82" s="26"/>
      <c r="G82" s="56"/>
      <c r="H82" s="63">
        <v>2574.18</v>
      </c>
      <c r="I82" s="64" t="s">
        <v>261</v>
      </c>
      <c r="J82" s="40"/>
      <c r="K82" s="59"/>
      <c r="L82" s="59"/>
      <c r="M82" s="59"/>
      <c r="N82" s="59"/>
      <c r="O82" s="59"/>
      <c r="P82" s="59"/>
      <c r="Q82" s="59"/>
    </row>
    <row r="83">
      <c r="A83" s="65" t="s">
        <v>25</v>
      </c>
      <c r="B83" s="42" t="s">
        <v>27</v>
      </c>
      <c r="C83" s="66">
        <v>15.0</v>
      </c>
      <c r="D83" s="14" t="str">
        <f t="shared" si="5"/>
        <v>QUI.</v>
      </c>
      <c r="E83" s="163">
        <f t="shared" si="2"/>
        <v>4</v>
      </c>
      <c r="F83" s="43"/>
      <c r="G83" s="46">
        <v>2574.18</v>
      </c>
      <c r="H83" s="45"/>
      <c r="I83" s="67" t="s">
        <v>17</v>
      </c>
      <c r="J83" s="42"/>
      <c r="K83" s="68"/>
      <c r="L83" s="68"/>
      <c r="M83" s="68"/>
      <c r="N83" s="68"/>
      <c r="O83" s="68"/>
      <c r="P83" s="68"/>
      <c r="Q83" s="68"/>
    </row>
    <row r="84">
      <c r="A84" s="95" t="s">
        <v>5</v>
      </c>
      <c r="B84" s="178" t="s">
        <v>305</v>
      </c>
      <c r="C84" s="66">
        <v>30.0</v>
      </c>
      <c r="D84" s="14" t="str">
        <f t="shared" si="5"/>
        <v>SEX.</v>
      </c>
      <c r="E84" s="62">
        <f t="shared" si="2"/>
        <v>4</v>
      </c>
      <c r="F84" s="43"/>
      <c r="G84" s="45"/>
      <c r="H84" s="46">
        <v>100.0</v>
      </c>
      <c r="I84" s="41" t="s">
        <v>17</v>
      </c>
      <c r="J84" s="44" t="s">
        <v>306</v>
      </c>
      <c r="K84" s="45"/>
      <c r="L84" s="45"/>
      <c r="M84" s="45"/>
      <c r="N84" s="45"/>
      <c r="O84" s="45"/>
      <c r="P84" s="45"/>
      <c r="Q84" s="45"/>
    </row>
    <row r="85">
      <c r="A85" s="161" t="s">
        <v>5</v>
      </c>
      <c r="B85" s="44" t="s">
        <v>307</v>
      </c>
      <c r="C85" s="163">
        <v>30.0</v>
      </c>
      <c r="D85" s="14" t="str">
        <f t="shared" si="5"/>
        <v>SEX.</v>
      </c>
      <c r="E85" s="163">
        <f t="shared" si="2"/>
        <v>4</v>
      </c>
      <c r="F85" s="85"/>
      <c r="G85" s="45"/>
      <c r="H85" s="46">
        <v>36.0</v>
      </c>
      <c r="I85" s="41" t="s">
        <v>17</v>
      </c>
      <c r="J85" s="169" t="s">
        <v>20</v>
      </c>
      <c r="K85" s="169"/>
      <c r="L85" s="169"/>
      <c r="M85" s="169"/>
      <c r="N85" s="169"/>
      <c r="O85" s="39"/>
      <c r="P85" s="39"/>
      <c r="Q85" s="39"/>
    </row>
    <row r="86">
      <c r="A86" s="89"/>
      <c r="B86" s="59"/>
      <c r="C86" s="26"/>
      <c r="D86" s="107"/>
      <c r="E86" s="26"/>
      <c r="F86" s="26"/>
      <c r="G86" s="56"/>
      <c r="H86" s="56"/>
      <c r="I86" s="180"/>
      <c r="J86" s="90"/>
      <c r="K86" s="59"/>
      <c r="L86" s="59"/>
      <c r="M86" s="59"/>
      <c r="N86" s="59"/>
      <c r="O86" s="59"/>
      <c r="P86" s="59"/>
      <c r="Q86" s="59"/>
    </row>
    <row r="87">
      <c r="A87" s="161"/>
      <c r="B87" s="68"/>
      <c r="C87" s="43"/>
      <c r="D87" s="108"/>
      <c r="E87" s="43"/>
      <c r="F87" s="43"/>
      <c r="G87" s="45"/>
      <c r="H87" s="45"/>
      <c r="I87" s="41"/>
      <c r="J87" s="169"/>
      <c r="K87" s="68"/>
      <c r="L87" s="68"/>
      <c r="M87" s="68"/>
      <c r="N87" s="68"/>
      <c r="O87" s="68"/>
      <c r="P87" s="68"/>
      <c r="Q87" s="68"/>
    </row>
    <row r="88">
      <c r="A88" s="109"/>
      <c r="B88" s="110"/>
      <c r="C88" s="111"/>
      <c r="D88" s="112"/>
      <c r="E88" s="111"/>
      <c r="F88" s="111"/>
      <c r="G88" s="113"/>
      <c r="H88" s="113"/>
      <c r="I88" s="114"/>
      <c r="J88" s="90"/>
      <c r="K88" s="110"/>
      <c r="L88" s="110"/>
      <c r="M88" s="110"/>
      <c r="N88" s="110"/>
      <c r="O88" s="110"/>
      <c r="P88" s="110"/>
      <c r="Q88" s="110"/>
    </row>
    <row r="89" ht="15.75" customHeight="1">
      <c r="A89" s="115"/>
      <c r="B89" s="116" t="s">
        <v>142</v>
      </c>
      <c r="C89" s="117"/>
      <c r="D89" s="118"/>
      <c r="E89" s="119"/>
      <c r="F89" s="119"/>
      <c r="G89" s="120">
        <f>SUMIF(A3:A88,"PAGO",G3:G88)</f>
        <v>14264.67</v>
      </c>
      <c r="H89" s="120">
        <f>SUMIF(A3:A88,"PAGO",H3:H88)</f>
        <v>10178.72</v>
      </c>
      <c r="I89" s="121"/>
      <c r="J89" s="117"/>
      <c r="K89" s="120">
        <f t="shared" ref="K89:K90" si="6">G89-H89</f>
        <v>4085.95</v>
      </c>
      <c r="L89" s="120"/>
      <c r="M89" s="120"/>
      <c r="N89" s="120"/>
      <c r="O89" s="120"/>
      <c r="P89" s="120"/>
      <c r="Q89" s="120"/>
    </row>
    <row r="90" ht="15.75" customHeight="1">
      <c r="A90" s="115"/>
      <c r="B90" s="122" t="s">
        <v>143</v>
      </c>
      <c r="C90" s="117"/>
      <c r="D90" s="123"/>
      <c r="E90" s="124"/>
      <c r="F90" s="124"/>
      <c r="G90" s="125">
        <f>SUMIF(A3:A88,"PAGO",G3:G88) + SUMIF(A3:A88,"PREVISTO",G3:G88)</f>
        <v>14264.67</v>
      </c>
      <c r="H90" s="125">
        <f>SUMIF(A3:A88,"PAGO",H3:H88) + SUMIF(A3:A88,"PREVISTO",H3:H88)</f>
        <v>10178.72</v>
      </c>
      <c r="I90" s="121"/>
      <c r="J90" s="122" t="s">
        <v>144</v>
      </c>
      <c r="K90" s="125">
        <f t="shared" si="6"/>
        <v>4085.95</v>
      </c>
      <c r="L90" s="125"/>
      <c r="M90" s="125"/>
      <c r="N90" s="125"/>
      <c r="O90" s="125"/>
      <c r="P90" s="125"/>
      <c r="Q90" s="125"/>
    </row>
    <row r="91">
      <c r="A91" s="126"/>
      <c r="B91" s="127"/>
      <c r="C91" s="93"/>
      <c r="D91" s="128"/>
      <c r="E91" s="129"/>
      <c r="F91" s="129"/>
      <c r="G91" s="130"/>
      <c r="H91" s="130"/>
      <c r="I91" s="131"/>
      <c r="J91" s="132" t="s">
        <v>13</v>
      </c>
      <c r="K91" s="133">
        <f t="shared" ref="K91:K98" si="7">(SUMIFS($G$3:$G$88,$I$3:$I$88,J91,$A$3:$A$88,"PAGO") + SUMIFS($G$3:$G$88,$I$3:$I$88,J91,$A$3:$A$88,"CONTAS")) - (SUMIFS($H$3:$H$88,$I$3:$I$88,J91,$A$3:$A$88,"PAGO") + SUMIFS($H$3:$H$88,$I$3:$I$88,J91,$A$3:$A$88,"CONTAS"))</f>
        <v>523.71</v>
      </c>
      <c r="L91" s="133"/>
      <c r="M91" s="133"/>
      <c r="N91" s="133"/>
      <c r="O91" s="133"/>
      <c r="P91" s="133"/>
      <c r="Q91" s="133"/>
    </row>
    <row r="92">
      <c r="A92" s="134"/>
      <c r="B92" s="135"/>
      <c r="C92" s="93"/>
      <c r="D92" s="128"/>
      <c r="E92" s="129"/>
      <c r="F92" s="129"/>
      <c r="G92" s="130"/>
      <c r="H92" s="130"/>
      <c r="I92" s="131"/>
      <c r="J92" s="132" t="s">
        <v>15</v>
      </c>
      <c r="K92" s="133">
        <f t="shared" si="7"/>
        <v>2.85</v>
      </c>
      <c r="L92" s="133"/>
      <c r="M92" s="133"/>
      <c r="N92" s="133"/>
      <c r="O92" s="133"/>
      <c r="P92" s="133"/>
      <c r="Q92" s="133"/>
    </row>
    <row r="93">
      <c r="A93" s="134"/>
      <c r="B93" s="136"/>
      <c r="C93" s="137"/>
      <c r="D93" s="128"/>
      <c r="E93" s="129"/>
      <c r="F93" s="129"/>
      <c r="G93" s="130"/>
      <c r="H93" s="130"/>
      <c r="I93" s="131"/>
      <c r="J93" s="132" t="s">
        <v>16</v>
      </c>
      <c r="K93" s="133">
        <f t="shared" si="7"/>
        <v>52.73</v>
      </c>
      <c r="L93" s="133"/>
      <c r="M93" s="133"/>
      <c r="N93" s="133"/>
      <c r="O93" s="133"/>
      <c r="P93" s="133"/>
      <c r="Q93" s="133"/>
    </row>
    <row r="94">
      <c r="A94" s="134"/>
      <c r="B94" s="136"/>
      <c r="C94" s="137"/>
      <c r="D94" s="128"/>
      <c r="E94" s="129"/>
      <c r="F94" s="129"/>
      <c r="G94" s="130"/>
      <c r="H94" s="130"/>
      <c r="I94" s="131"/>
      <c r="J94" s="132" t="s">
        <v>17</v>
      </c>
      <c r="K94" s="133">
        <f t="shared" si="7"/>
        <v>2816.33</v>
      </c>
      <c r="L94" s="133"/>
      <c r="M94" s="133"/>
      <c r="N94" s="133"/>
      <c r="O94" s="133"/>
      <c r="P94" s="133"/>
      <c r="Q94" s="133"/>
    </row>
    <row r="95">
      <c r="A95" s="134"/>
      <c r="B95" s="93"/>
      <c r="C95" s="137"/>
      <c r="D95" s="138"/>
      <c r="E95" s="139"/>
      <c r="F95" s="139"/>
      <c r="G95" s="140"/>
      <c r="H95" s="140"/>
      <c r="I95" s="131"/>
      <c r="J95" s="132" t="s">
        <v>18</v>
      </c>
      <c r="K95" s="133">
        <f t="shared" si="7"/>
        <v>9.52</v>
      </c>
      <c r="L95" s="133"/>
      <c r="M95" s="133"/>
      <c r="N95" s="133"/>
      <c r="O95" s="133"/>
      <c r="P95" s="133"/>
      <c r="Q95" s="133"/>
    </row>
    <row r="96">
      <c r="A96" s="134"/>
      <c r="B96" s="137"/>
      <c r="C96" s="93"/>
      <c r="D96" s="138"/>
      <c r="E96" s="139"/>
      <c r="F96" s="139"/>
      <c r="G96" s="140"/>
      <c r="H96" s="140"/>
      <c r="I96" s="131"/>
      <c r="J96" s="183" t="s">
        <v>261</v>
      </c>
      <c r="K96" s="133">
        <f t="shared" si="7"/>
        <v>0</v>
      </c>
      <c r="L96" s="93"/>
      <c r="M96" s="93"/>
      <c r="N96" s="93"/>
      <c r="O96" s="93"/>
      <c r="P96" s="93"/>
      <c r="Q96" s="93"/>
    </row>
    <row r="97">
      <c r="A97" s="134"/>
      <c r="B97" s="137"/>
      <c r="C97" s="93"/>
      <c r="D97" s="138"/>
      <c r="E97" s="139"/>
      <c r="F97" s="139"/>
      <c r="G97" s="140"/>
      <c r="H97" s="140"/>
      <c r="I97" s="131"/>
      <c r="J97" s="182" t="s">
        <v>252</v>
      </c>
      <c r="K97" s="133">
        <f t="shared" si="7"/>
        <v>642.95</v>
      </c>
      <c r="L97" s="93"/>
      <c r="M97" s="93"/>
      <c r="N97" s="93"/>
      <c r="O97" s="93"/>
      <c r="P97" s="93"/>
      <c r="Q97" s="93"/>
    </row>
    <row r="98">
      <c r="A98" s="134"/>
      <c r="B98" s="137"/>
      <c r="C98" s="93"/>
      <c r="D98" s="138"/>
      <c r="E98" s="139"/>
      <c r="F98" s="139"/>
      <c r="G98" s="140"/>
      <c r="H98" s="140"/>
      <c r="I98" s="131"/>
      <c r="J98" s="182" t="s">
        <v>249</v>
      </c>
      <c r="K98" s="133">
        <f t="shared" si="7"/>
        <v>37.86</v>
      </c>
      <c r="L98" s="93"/>
      <c r="M98" s="93"/>
      <c r="N98" s="93"/>
      <c r="O98" s="93"/>
      <c r="P98" s="93"/>
      <c r="Q98" s="93"/>
    </row>
    <row r="99">
      <c r="A99" s="134"/>
      <c r="B99" s="137"/>
      <c r="C99" s="93"/>
      <c r="D99" s="138"/>
      <c r="E99" s="139"/>
      <c r="F99" s="139"/>
      <c r="G99" s="140"/>
      <c r="H99" s="140"/>
      <c r="I99" s="131"/>
      <c r="J99" s="93"/>
      <c r="K99" s="93"/>
      <c r="L99" s="93"/>
      <c r="M99" s="93"/>
      <c r="N99" s="93"/>
      <c r="O99" s="93"/>
      <c r="P99" s="93"/>
      <c r="Q99" s="93"/>
    </row>
  </sheetData>
  <customSheetViews>
    <customSheetView guid="{55ED7845-B94B-4003-AD57-D4008EE7E009}" filter="1" showAutoFilter="1">
      <autoFilter ref="$A$2:$K$11"/>
    </customSheetView>
    <customSheetView guid="{FF238D65-B29E-47B3-BB76-09A78DB37DDE}" filter="1" showAutoFilter="1">
      <autoFilter ref="$A$2:$K$3"/>
    </customSheetView>
    <customSheetView guid="{8E320149-1ED8-4245-AE83-2AF08A85D2EE}" filter="1" showAutoFilter="1">
      <autoFilter ref="$A$2:$K$3"/>
    </customSheetView>
    <customSheetView guid="{5F890A4C-8AFA-4126-80E7-AF0191C5590F}" filter="1" showAutoFilter="1">
      <autoFilter ref="$A$2:$K$3"/>
    </customSheetView>
    <customSheetView guid="{F6E0E906-D63E-467F-B486-84E6C0126E80}" filter="1" showAutoFilter="1">
      <autoFilter ref="$A$2:$K$3"/>
    </customSheetView>
  </customSheetViews>
  <mergeCells count="2">
    <mergeCell ref="J14:N14"/>
    <mergeCell ref="J17:N17"/>
  </mergeCells>
  <conditionalFormatting sqref="A3:Q88">
    <cfRule type="expression" dxfId="0" priority="1">
      <formula>ISEVEN(ROW())</formula>
    </cfRule>
  </conditionalFormatting>
  <conditionalFormatting sqref="A3:Q88">
    <cfRule type="expression" dxfId="1" priority="2">
      <formula>ISODD(ROW())</formula>
    </cfRule>
  </conditionalFormatting>
  <dataValidations>
    <dataValidation type="list" allowBlank="1" sqref="A3:A87">
      <formula1>listas!$A$1:$A$17</formula1>
    </dataValidation>
    <dataValidation type="list" allowBlank="1" sqref="I3:I87">
      <formula1>listas!$B$1:$B$21</formula1>
    </dataValidation>
  </dataValidations>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145</v>
      </c>
      <c r="C4" s="13">
        <v>1.0</v>
      </c>
      <c r="D4" s="14" t="str">
        <f t="shared" ref="D4:D14" si="1">UPPER(TEXT(WEEKDAY(DATEVALUE(CONCATENATE(C4,"/",$C$3,"/",$A$1))),"DDD"))</f>
        <v>SÁB.</v>
      </c>
      <c r="E4" s="13">
        <f t="shared" ref="E4:E90" si="2">$C$3</f>
        <v>5</v>
      </c>
      <c r="F4" s="15"/>
      <c r="G4" s="16">
        <f>abril!K91</f>
        <v>523.71</v>
      </c>
      <c r="H4" s="17"/>
      <c r="I4" s="18" t="s">
        <v>13</v>
      </c>
      <c r="J4" s="21" t="s">
        <v>14</v>
      </c>
      <c r="K4" s="22"/>
      <c r="L4" s="22"/>
      <c r="M4" s="22"/>
      <c r="N4" s="22"/>
      <c r="O4" s="22"/>
      <c r="P4" s="22"/>
      <c r="Q4" s="22"/>
    </row>
    <row r="5">
      <c r="A5" s="192" t="s">
        <v>5</v>
      </c>
      <c r="B5" s="21" t="s">
        <v>145</v>
      </c>
      <c r="C5" s="13">
        <v>1.0</v>
      </c>
      <c r="D5" s="14" t="str">
        <f t="shared" si="1"/>
        <v>SÁB.</v>
      </c>
      <c r="E5" s="13">
        <f t="shared" si="2"/>
        <v>5</v>
      </c>
      <c r="F5" s="15"/>
      <c r="G5" s="16">
        <f>abril!K92</f>
        <v>2.85</v>
      </c>
      <c r="H5" s="17"/>
      <c r="I5" s="18" t="s">
        <v>15</v>
      </c>
      <c r="J5" s="21" t="s">
        <v>14</v>
      </c>
      <c r="K5" s="22"/>
      <c r="L5" s="22"/>
      <c r="M5" s="22"/>
      <c r="N5" s="22"/>
      <c r="O5" s="22"/>
      <c r="P5" s="22"/>
      <c r="Q5" s="22"/>
    </row>
    <row r="6">
      <c r="A6" s="192" t="s">
        <v>5</v>
      </c>
      <c r="B6" s="21" t="s">
        <v>145</v>
      </c>
      <c r="C6" s="13">
        <v>1.0</v>
      </c>
      <c r="D6" s="14" t="str">
        <f t="shared" si="1"/>
        <v>SÁB.</v>
      </c>
      <c r="E6" s="13">
        <f t="shared" si="2"/>
        <v>5</v>
      </c>
      <c r="F6" s="15"/>
      <c r="G6" s="16">
        <f>abril!K93</f>
        <v>52.73</v>
      </c>
      <c r="H6" s="17"/>
      <c r="I6" s="18" t="s">
        <v>16</v>
      </c>
      <c r="J6" s="21" t="s">
        <v>14</v>
      </c>
      <c r="K6" s="22"/>
      <c r="L6" s="22"/>
      <c r="M6" s="22"/>
      <c r="N6" s="22"/>
      <c r="O6" s="22"/>
      <c r="P6" s="22"/>
      <c r="Q6" s="22"/>
    </row>
    <row r="7">
      <c r="A7" s="192" t="s">
        <v>5</v>
      </c>
      <c r="B7" s="21" t="s">
        <v>145</v>
      </c>
      <c r="C7" s="13">
        <v>1.0</v>
      </c>
      <c r="D7" s="14" t="str">
        <f t="shared" si="1"/>
        <v>SÁB.</v>
      </c>
      <c r="E7" s="13">
        <f t="shared" si="2"/>
        <v>5</v>
      </c>
      <c r="F7" s="15"/>
      <c r="G7" s="16">
        <f>abril!K94</f>
        <v>2816.33</v>
      </c>
      <c r="H7" s="17"/>
      <c r="I7" s="18" t="s">
        <v>17</v>
      </c>
      <c r="J7" s="21" t="s">
        <v>14</v>
      </c>
      <c r="K7" s="22"/>
      <c r="L7" s="22"/>
      <c r="M7" s="22"/>
      <c r="N7" s="22"/>
      <c r="O7" s="22"/>
      <c r="P7" s="22"/>
      <c r="Q7" s="22"/>
    </row>
    <row r="8">
      <c r="A8" s="192" t="s">
        <v>5</v>
      </c>
      <c r="B8" s="21" t="s">
        <v>145</v>
      </c>
      <c r="C8" s="13">
        <v>1.0</v>
      </c>
      <c r="D8" s="14" t="str">
        <f t="shared" si="1"/>
        <v>SÁB.</v>
      </c>
      <c r="E8" s="13">
        <f t="shared" si="2"/>
        <v>5</v>
      </c>
      <c r="F8" s="15"/>
      <c r="G8" s="16">
        <f>abril!K95</f>
        <v>9.52</v>
      </c>
      <c r="H8" s="17"/>
      <c r="I8" s="18" t="s">
        <v>18</v>
      </c>
      <c r="J8" s="21" t="s">
        <v>14</v>
      </c>
      <c r="K8" s="22"/>
      <c r="L8" s="22"/>
      <c r="M8" s="22"/>
      <c r="N8" s="22"/>
      <c r="O8" s="22"/>
      <c r="P8" s="22"/>
      <c r="Q8" s="22"/>
    </row>
    <row r="9">
      <c r="A9" s="192" t="s">
        <v>5</v>
      </c>
      <c r="B9" s="72" t="s">
        <v>145</v>
      </c>
      <c r="C9" s="193">
        <v>1.0</v>
      </c>
      <c r="D9" s="74" t="str">
        <f t="shared" si="1"/>
        <v>SÁB.</v>
      </c>
      <c r="E9" s="13">
        <f t="shared" si="2"/>
        <v>5</v>
      </c>
      <c r="F9" s="30"/>
      <c r="G9" s="16">
        <f>abril!K96</f>
        <v>0</v>
      </c>
      <c r="H9" s="31"/>
      <c r="I9" s="58" t="s">
        <v>261</v>
      </c>
      <c r="J9" s="72" t="s">
        <v>14</v>
      </c>
      <c r="K9" s="77"/>
      <c r="L9" s="77"/>
      <c r="M9" s="77"/>
      <c r="N9" s="77"/>
      <c r="O9" s="77"/>
      <c r="P9" s="77"/>
      <c r="Q9" s="77"/>
    </row>
    <row r="10">
      <c r="A10" s="192" t="s">
        <v>5</v>
      </c>
      <c r="B10" s="173" t="s">
        <v>145</v>
      </c>
      <c r="C10" s="184">
        <v>1.0</v>
      </c>
      <c r="D10" s="25" t="str">
        <f t="shared" si="1"/>
        <v>SÁB.</v>
      </c>
      <c r="E10" s="13">
        <f t="shared" si="2"/>
        <v>5</v>
      </c>
      <c r="F10" s="26"/>
      <c r="G10" s="16">
        <f>abril!K97</f>
        <v>642.95</v>
      </c>
      <c r="H10" s="56"/>
      <c r="I10" s="33" t="s">
        <v>252</v>
      </c>
      <c r="J10" s="173" t="s">
        <v>14</v>
      </c>
      <c r="K10" s="59"/>
      <c r="L10" s="59"/>
      <c r="M10" s="59"/>
      <c r="N10" s="59"/>
      <c r="O10" s="59"/>
      <c r="P10" s="59"/>
      <c r="Q10" s="59"/>
    </row>
    <row r="11">
      <c r="A11" s="192" t="s">
        <v>5</v>
      </c>
      <c r="B11" s="42" t="s">
        <v>145</v>
      </c>
      <c r="C11" s="144">
        <v>1.0</v>
      </c>
      <c r="D11" s="14" t="str">
        <f t="shared" si="1"/>
        <v>SÁB.</v>
      </c>
      <c r="E11" s="13">
        <f t="shared" si="2"/>
        <v>5</v>
      </c>
      <c r="F11" s="43"/>
      <c r="G11" s="16">
        <f>abril!K98</f>
        <v>37.86</v>
      </c>
      <c r="H11" s="45"/>
      <c r="I11" s="41" t="s">
        <v>249</v>
      </c>
      <c r="J11" s="42" t="s">
        <v>14</v>
      </c>
      <c r="K11" s="68"/>
      <c r="L11" s="68"/>
      <c r="M11" s="68"/>
      <c r="N11" s="68"/>
      <c r="O11" s="68"/>
      <c r="P11" s="68"/>
      <c r="Q11" s="68"/>
    </row>
    <row r="12">
      <c r="A12" s="65" t="s">
        <v>25</v>
      </c>
      <c r="B12" s="39" t="s">
        <v>26</v>
      </c>
      <c r="C12" s="66">
        <v>1.0</v>
      </c>
      <c r="D12" s="14" t="str">
        <f t="shared" si="1"/>
        <v>SÁB.</v>
      </c>
      <c r="E12" s="13">
        <f t="shared" si="2"/>
        <v>5</v>
      </c>
      <c r="F12" s="43"/>
      <c r="G12" s="45"/>
      <c r="H12" s="46">
        <v>457.0</v>
      </c>
      <c r="I12" s="149" t="s">
        <v>13</v>
      </c>
      <c r="J12" s="44"/>
      <c r="K12" s="68"/>
      <c r="L12" s="68"/>
      <c r="M12" s="68"/>
      <c r="N12" s="68"/>
      <c r="O12" s="68"/>
      <c r="P12" s="68"/>
      <c r="Q12" s="68"/>
    </row>
    <row r="13">
      <c r="A13" s="23" t="s">
        <v>25</v>
      </c>
      <c r="B13" s="61" t="s">
        <v>27</v>
      </c>
      <c r="C13" s="148">
        <v>1.0</v>
      </c>
      <c r="D13" s="25" t="str">
        <f t="shared" si="1"/>
        <v>SÁB.</v>
      </c>
      <c r="E13" s="13">
        <f t="shared" si="2"/>
        <v>5</v>
      </c>
      <c r="F13" s="26"/>
      <c r="G13" s="63">
        <v>457.0</v>
      </c>
      <c r="H13" s="56"/>
      <c r="I13" s="37" t="s">
        <v>17</v>
      </c>
      <c r="J13" s="34"/>
      <c r="K13" s="59"/>
      <c r="L13" s="59"/>
      <c r="M13" s="59"/>
      <c r="N13" s="59"/>
      <c r="O13" s="59"/>
      <c r="P13" s="59"/>
      <c r="Q13" s="59"/>
    </row>
    <row r="14">
      <c r="A14" s="192" t="s">
        <v>5</v>
      </c>
      <c r="B14" s="29" t="s">
        <v>84</v>
      </c>
      <c r="C14" s="73">
        <v>1.0</v>
      </c>
      <c r="D14" s="74" t="str">
        <f t="shared" si="1"/>
        <v>SÁB.</v>
      </c>
      <c r="E14" s="13">
        <f t="shared" si="2"/>
        <v>5</v>
      </c>
      <c r="F14" s="87"/>
      <c r="G14" s="31"/>
      <c r="H14" s="153">
        <f>SUM(H15:H21)</f>
        <v>435.47</v>
      </c>
      <c r="I14" s="71" t="s">
        <v>17</v>
      </c>
      <c r="J14" s="72"/>
      <c r="K14" s="39"/>
      <c r="L14" s="39"/>
      <c r="M14" s="39"/>
      <c r="N14" s="39"/>
      <c r="O14" s="39"/>
      <c r="P14" s="39"/>
      <c r="Q14" s="39"/>
    </row>
    <row r="15" outlineLevel="1">
      <c r="A15" s="102" t="s">
        <v>40</v>
      </c>
      <c r="B15" s="69" t="s">
        <v>308</v>
      </c>
      <c r="C15" s="194"/>
      <c r="D15" s="195"/>
      <c r="E15" s="13">
        <f t="shared" si="2"/>
        <v>5</v>
      </c>
      <c r="F15" s="196">
        <v>44292.0</v>
      </c>
      <c r="G15" s="70"/>
      <c r="H15" s="36">
        <v>29.9</v>
      </c>
      <c r="I15" s="197"/>
      <c r="J15" s="103" t="s">
        <v>309</v>
      </c>
      <c r="K15" s="39"/>
      <c r="L15" s="39"/>
      <c r="M15" s="39"/>
      <c r="N15" s="39"/>
      <c r="O15" s="39"/>
      <c r="P15" s="39"/>
      <c r="Q15" s="39"/>
    </row>
    <row r="16" outlineLevel="1">
      <c r="A16" s="102" t="s">
        <v>40</v>
      </c>
      <c r="B16" s="198" t="s">
        <v>87</v>
      </c>
      <c r="C16" s="194"/>
      <c r="D16" s="195"/>
      <c r="E16" s="13">
        <f t="shared" si="2"/>
        <v>5</v>
      </c>
      <c r="F16" s="196">
        <v>44299.0</v>
      </c>
      <c r="G16" s="70"/>
      <c r="H16" s="151">
        <v>9.9</v>
      </c>
      <c r="I16" s="197"/>
      <c r="J16" s="103" t="s">
        <v>206</v>
      </c>
      <c r="K16" s="84"/>
      <c r="L16" s="84"/>
      <c r="M16" s="84"/>
      <c r="N16" s="84"/>
      <c r="O16" s="84"/>
      <c r="P16" s="84"/>
      <c r="Q16" s="84"/>
    </row>
    <row r="17" outlineLevel="1">
      <c r="A17" s="102" t="s">
        <v>40</v>
      </c>
      <c r="B17" s="69" t="s">
        <v>310</v>
      </c>
      <c r="C17" s="194"/>
      <c r="D17" s="195"/>
      <c r="E17" s="13">
        <f t="shared" si="2"/>
        <v>5</v>
      </c>
      <c r="F17" s="196">
        <v>44300.0</v>
      </c>
      <c r="G17" s="70"/>
      <c r="H17" s="36">
        <v>16.9</v>
      </c>
      <c r="I17" s="197"/>
      <c r="J17" s="103" t="s">
        <v>309</v>
      </c>
      <c r="K17" s="84"/>
      <c r="L17" s="84"/>
      <c r="M17" s="84"/>
      <c r="N17" s="84"/>
      <c r="O17" s="84"/>
      <c r="P17" s="84"/>
      <c r="Q17" s="84"/>
    </row>
    <row r="18" outlineLevel="1">
      <c r="A18" s="102" t="s">
        <v>40</v>
      </c>
      <c r="B18" s="69" t="s">
        <v>311</v>
      </c>
      <c r="C18" s="194"/>
      <c r="D18" s="195"/>
      <c r="E18" s="13">
        <f t="shared" si="2"/>
        <v>5</v>
      </c>
      <c r="F18" s="196">
        <v>44301.0</v>
      </c>
      <c r="G18" s="70"/>
      <c r="H18" s="36">
        <v>7.99</v>
      </c>
      <c r="I18" s="197"/>
      <c r="J18" s="103" t="s">
        <v>309</v>
      </c>
      <c r="K18" s="84"/>
      <c r="L18" s="84"/>
      <c r="M18" s="84"/>
      <c r="N18" s="84"/>
      <c r="O18" s="84"/>
      <c r="P18" s="84"/>
      <c r="Q18" s="84"/>
    </row>
    <row r="19" outlineLevel="1">
      <c r="A19" s="102" t="s">
        <v>40</v>
      </c>
      <c r="B19" s="69" t="s">
        <v>312</v>
      </c>
      <c r="C19" s="194"/>
      <c r="D19" s="195"/>
      <c r="E19" s="13">
        <f t="shared" si="2"/>
        <v>5</v>
      </c>
      <c r="F19" s="196">
        <v>44304.0</v>
      </c>
      <c r="G19" s="70"/>
      <c r="H19" s="36">
        <v>19.9</v>
      </c>
      <c r="I19" s="197"/>
      <c r="J19" s="103" t="s">
        <v>313</v>
      </c>
      <c r="K19" s="84"/>
      <c r="L19" s="84"/>
      <c r="M19" s="84"/>
      <c r="N19" s="84"/>
      <c r="O19" s="84"/>
      <c r="P19" s="84"/>
      <c r="Q19" s="84"/>
    </row>
    <row r="20" outlineLevel="1">
      <c r="A20" s="102" t="s">
        <v>40</v>
      </c>
      <c r="B20" s="69" t="s">
        <v>314</v>
      </c>
      <c r="C20" s="194"/>
      <c r="D20" s="195"/>
      <c r="E20" s="13">
        <f t="shared" si="2"/>
        <v>5</v>
      </c>
      <c r="F20" s="196">
        <v>44304.0</v>
      </c>
      <c r="G20" s="70"/>
      <c r="H20" s="36">
        <v>-7.92</v>
      </c>
      <c r="I20" s="197"/>
      <c r="J20" s="103" t="s">
        <v>88</v>
      </c>
      <c r="K20" s="84"/>
      <c r="L20" s="84"/>
      <c r="M20" s="84"/>
      <c r="N20" s="84"/>
      <c r="O20" s="84"/>
      <c r="P20" s="84"/>
      <c r="Q20" s="84"/>
    </row>
    <row r="21" outlineLevel="1">
      <c r="A21" s="102" t="s">
        <v>40</v>
      </c>
      <c r="B21" s="69" t="s">
        <v>315</v>
      </c>
      <c r="C21" s="194"/>
      <c r="D21" s="195"/>
      <c r="E21" s="13">
        <f t="shared" si="2"/>
        <v>5</v>
      </c>
      <c r="F21" s="196">
        <v>44312.0</v>
      </c>
      <c r="G21" s="70"/>
      <c r="H21" s="36">
        <v>358.8</v>
      </c>
      <c r="I21" s="197"/>
      <c r="J21" s="103" t="s">
        <v>316</v>
      </c>
      <c r="K21" s="84"/>
      <c r="L21" s="84"/>
      <c r="M21" s="84"/>
      <c r="N21" s="84"/>
      <c r="O21" s="84"/>
      <c r="P21" s="84"/>
      <c r="Q21" s="84"/>
    </row>
    <row r="22" outlineLevel="1">
      <c r="A22" s="102"/>
      <c r="B22" s="69"/>
      <c r="C22" s="194"/>
      <c r="D22" s="195"/>
      <c r="E22" s="13">
        <f t="shared" si="2"/>
        <v>5</v>
      </c>
      <c r="F22" s="196"/>
      <c r="G22" s="70"/>
      <c r="H22" s="36"/>
      <c r="I22" s="197"/>
      <c r="J22" s="103"/>
      <c r="K22" s="84"/>
      <c r="L22" s="84"/>
      <c r="M22" s="84"/>
      <c r="N22" s="84"/>
      <c r="O22" s="84"/>
      <c r="P22" s="84"/>
      <c r="Q22" s="84"/>
    </row>
    <row r="23">
      <c r="A23" s="11" t="s">
        <v>5</v>
      </c>
      <c r="B23" s="44" t="s">
        <v>73</v>
      </c>
      <c r="C23" s="13">
        <v>1.0</v>
      </c>
      <c r="D23" s="14" t="str">
        <f t="shared" ref="D23:D33" si="3">UPPER(TEXT(WEEKDAY(DATEVALUE(CONCATENATE(C23,"/",$C$3,"/",$A$1))),"DDD"))</f>
        <v>SÁB.</v>
      </c>
      <c r="E23" s="13">
        <f t="shared" si="2"/>
        <v>5</v>
      </c>
      <c r="F23" s="85"/>
      <c r="G23" s="45"/>
      <c r="H23" s="46">
        <v>29.9</v>
      </c>
      <c r="I23" s="58" t="s">
        <v>17</v>
      </c>
      <c r="J23" s="21" t="s">
        <v>20</v>
      </c>
      <c r="K23" s="21"/>
      <c r="L23" s="21"/>
      <c r="M23" s="21"/>
      <c r="N23" s="21"/>
      <c r="O23" s="39"/>
      <c r="P23" s="39"/>
      <c r="Q23" s="39"/>
    </row>
    <row r="24">
      <c r="A24" s="192" t="s">
        <v>5</v>
      </c>
      <c r="B24" s="34" t="s">
        <v>317</v>
      </c>
      <c r="C24" s="13">
        <v>2.0</v>
      </c>
      <c r="D24" s="14" t="str">
        <f t="shared" si="3"/>
        <v>DOM.</v>
      </c>
      <c r="E24" s="13">
        <f t="shared" si="2"/>
        <v>5</v>
      </c>
      <c r="F24" s="87">
        <v>44319.0</v>
      </c>
      <c r="G24" s="56"/>
      <c r="H24" s="63">
        <v>53.19</v>
      </c>
      <c r="I24" s="58" t="s">
        <v>17</v>
      </c>
      <c r="J24" s="21" t="s">
        <v>318</v>
      </c>
      <c r="K24" s="59"/>
      <c r="L24" s="59"/>
      <c r="M24" s="59"/>
      <c r="N24" s="59"/>
      <c r="O24" s="59"/>
      <c r="P24" s="59"/>
      <c r="Q24" s="59"/>
    </row>
    <row r="25">
      <c r="A25" s="192" t="s">
        <v>5</v>
      </c>
      <c r="B25" s="28" t="s">
        <v>148</v>
      </c>
      <c r="C25" s="13">
        <v>3.0</v>
      </c>
      <c r="D25" s="14" t="str">
        <f t="shared" si="3"/>
        <v>SEG.</v>
      </c>
      <c r="E25" s="13">
        <f t="shared" si="2"/>
        <v>5</v>
      </c>
      <c r="F25" s="35"/>
      <c r="G25" s="70"/>
      <c r="H25" s="86">
        <v>62.59</v>
      </c>
      <c r="I25" s="142" t="s">
        <v>13</v>
      </c>
      <c r="J25" s="21" t="s">
        <v>149</v>
      </c>
      <c r="K25" s="28"/>
      <c r="L25" s="28"/>
      <c r="M25" s="28"/>
      <c r="N25" s="28"/>
      <c r="O25" s="28"/>
      <c r="P25" s="28"/>
      <c r="Q25" s="28"/>
    </row>
    <row r="26">
      <c r="A26" s="192" t="s">
        <v>5</v>
      </c>
      <c r="B26" s="178" t="s">
        <v>305</v>
      </c>
      <c r="C26" s="66">
        <v>3.0</v>
      </c>
      <c r="D26" s="14" t="str">
        <f t="shared" si="3"/>
        <v>SEG.</v>
      </c>
      <c r="E26" s="13">
        <f t="shared" si="2"/>
        <v>5</v>
      </c>
      <c r="F26" s="43"/>
      <c r="G26" s="45"/>
      <c r="H26" s="46">
        <v>100.0</v>
      </c>
      <c r="I26" s="41" t="s">
        <v>17</v>
      </c>
      <c r="J26" s="44" t="s">
        <v>306</v>
      </c>
      <c r="K26" s="45"/>
      <c r="L26" s="45"/>
      <c r="M26" s="45"/>
      <c r="N26" s="45"/>
      <c r="O26" s="45"/>
      <c r="P26" s="45"/>
      <c r="Q26" s="45"/>
    </row>
    <row r="27">
      <c r="A27" s="11" t="s">
        <v>5</v>
      </c>
      <c r="B27" s="44" t="s">
        <v>37</v>
      </c>
      <c r="C27" s="13">
        <v>4.0</v>
      </c>
      <c r="D27" s="14" t="str">
        <f t="shared" si="3"/>
        <v>TER.</v>
      </c>
      <c r="E27" s="13">
        <f t="shared" si="2"/>
        <v>5</v>
      </c>
      <c r="F27" s="43"/>
      <c r="G27" s="46">
        <v>328.5</v>
      </c>
      <c r="H27" s="46"/>
      <c r="I27" s="47" t="s">
        <v>17</v>
      </c>
      <c r="J27" s="21" t="s">
        <v>319</v>
      </c>
      <c r="K27" s="39"/>
      <c r="L27" s="39"/>
      <c r="M27" s="39"/>
      <c r="N27" s="39"/>
      <c r="O27" s="39"/>
      <c r="P27" s="39"/>
      <c r="Q27" s="39"/>
    </row>
    <row r="28">
      <c r="A28" s="192" t="s">
        <v>5</v>
      </c>
      <c r="B28" s="34" t="s">
        <v>320</v>
      </c>
      <c r="C28" s="13">
        <v>4.0</v>
      </c>
      <c r="D28" s="14" t="str">
        <f t="shared" si="3"/>
        <v>TER.</v>
      </c>
      <c r="E28" s="13">
        <f t="shared" si="2"/>
        <v>5</v>
      </c>
      <c r="F28" s="26"/>
      <c r="G28" s="56"/>
      <c r="H28" s="63">
        <v>328.5</v>
      </c>
      <c r="I28" s="33" t="s">
        <v>17</v>
      </c>
      <c r="J28" s="21" t="s">
        <v>321</v>
      </c>
      <c r="K28" s="59"/>
      <c r="L28" s="59"/>
      <c r="M28" s="59"/>
      <c r="N28" s="59"/>
      <c r="O28" s="59"/>
      <c r="P28" s="59"/>
      <c r="Q28" s="59"/>
    </row>
    <row r="29">
      <c r="A29" s="192" t="s">
        <v>5</v>
      </c>
      <c r="B29" s="34" t="s">
        <v>21</v>
      </c>
      <c r="C29" s="13">
        <v>4.0</v>
      </c>
      <c r="D29" s="14" t="str">
        <f t="shared" si="3"/>
        <v>TER.</v>
      </c>
      <c r="E29" s="13">
        <f t="shared" si="2"/>
        <v>5</v>
      </c>
      <c r="F29" s="26"/>
      <c r="G29" s="56"/>
      <c r="H29" s="63">
        <v>330.01</v>
      </c>
      <c r="I29" s="33" t="s">
        <v>252</v>
      </c>
      <c r="J29" s="21" t="s">
        <v>22</v>
      </c>
      <c r="K29" s="59"/>
      <c r="L29" s="59"/>
      <c r="M29" s="59"/>
      <c r="N29" s="59"/>
      <c r="O29" s="59"/>
      <c r="P29" s="59"/>
      <c r="Q29" s="59"/>
    </row>
    <row r="30">
      <c r="A30" s="11" t="s">
        <v>5</v>
      </c>
      <c r="B30" s="44" t="s">
        <v>322</v>
      </c>
      <c r="C30" s="13">
        <v>6.0</v>
      </c>
      <c r="D30" s="14" t="str">
        <f t="shared" si="3"/>
        <v>QUI.</v>
      </c>
      <c r="E30" s="13">
        <f t="shared" si="2"/>
        <v>5</v>
      </c>
      <c r="F30" s="85"/>
      <c r="G30" s="45"/>
      <c r="H30" s="46">
        <v>127.22</v>
      </c>
      <c r="I30" s="58" t="s">
        <v>17</v>
      </c>
      <c r="J30" s="21" t="s">
        <v>323</v>
      </c>
      <c r="K30" s="21"/>
      <c r="L30" s="21"/>
      <c r="M30" s="21"/>
      <c r="N30" s="21"/>
      <c r="O30" s="39"/>
      <c r="P30" s="39"/>
      <c r="Q30" s="39"/>
    </row>
    <row r="31">
      <c r="A31" s="11" t="s">
        <v>5</v>
      </c>
      <c r="B31" s="44" t="s">
        <v>307</v>
      </c>
      <c r="C31" s="13">
        <v>7.0</v>
      </c>
      <c r="D31" s="14" t="str">
        <f t="shared" si="3"/>
        <v>SEX.</v>
      </c>
      <c r="E31" s="13">
        <f t="shared" si="2"/>
        <v>5</v>
      </c>
      <c r="F31" s="85"/>
      <c r="G31" s="45"/>
      <c r="H31" s="46">
        <v>33.0</v>
      </c>
      <c r="I31" s="58" t="s">
        <v>17</v>
      </c>
      <c r="J31" s="21" t="s">
        <v>20</v>
      </c>
      <c r="K31" s="21"/>
      <c r="L31" s="21"/>
      <c r="M31" s="21"/>
      <c r="N31" s="21"/>
      <c r="O31" s="39"/>
      <c r="P31" s="39"/>
      <c r="Q31" s="39"/>
    </row>
    <row r="32">
      <c r="A32" s="192" t="s">
        <v>5</v>
      </c>
      <c r="B32" s="99" t="s">
        <v>119</v>
      </c>
      <c r="C32" s="13">
        <v>8.0</v>
      </c>
      <c r="D32" s="14" t="str">
        <f t="shared" si="3"/>
        <v>SÁB.</v>
      </c>
      <c r="E32" s="13">
        <f t="shared" si="2"/>
        <v>5</v>
      </c>
      <c r="F32" s="35"/>
      <c r="G32" s="36">
        <v>3.37</v>
      </c>
      <c r="H32" s="70"/>
      <c r="I32" s="78" t="s">
        <v>17</v>
      </c>
      <c r="J32" s="21" t="s">
        <v>120</v>
      </c>
      <c r="K32" s="84"/>
      <c r="L32" s="84"/>
      <c r="M32" s="84"/>
      <c r="N32" s="84"/>
      <c r="O32" s="84"/>
      <c r="P32" s="84"/>
      <c r="Q32" s="84"/>
    </row>
    <row r="33">
      <c r="A33" s="192" t="s">
        <v>5</v>
      </c>
      <c r="B33" s="44" t="s">
        <v>39</v>
      </c>
      <c r="C33" s="13">
        <v>8.0</v>
      </c>
      <c r="D33" s="14" t="str">
        <f t="shared" si="3"/>
        <v>SÁB.</v>
      </c>
      <c r="E33" s="13">
        <f t="shared" si="2"/>
        <v>5</v>
      </c>
      <c r="F33" s="87">
        <v>44319.0</v>
      </c>
      <c r="G33" s="45"/>
      <c r="H33" s="53">
        <f>SUM(H34:H39)</f>
        <v>188.08</v>
      </c>
      <c r="I33" s="47" t="s">
        <v>17</v>
      </c>
      <c r="J33" s="21"/>
      <c r="K33" s="39"/>
      <c r="L33" s="39"/>
      <c r="M33" s="39"/>
      <c r="N33" s="39"/>
      <c r="O33" s="39"/>
      <c r="P33" s="39"/>
      <c r="Q33" s="39"/>
    </row>
    <row r="34" outlineLevel="1">
      <c r="A34" s="192" t="s">
        <v>40</v>
      </c>
      <c r="B34" s="44" t="s">
        <v>239</v>
      </c>
      <c r="C34" s="13"/>
      <c r="D34" s="14"/>
      <c r="E34" s="13">
        <f t="shared" si="2"/>
        <v>5</v>
      </c>
      <c r="F34" s="54">
        <v>44287.0</v>
      </c>
      <c r="G34" s="45"/>
      <c r="H34" s="46">
        <v>1.0</v>
      </c>
      <c r="I34" s="47"/>
      <c r="J34" s="21" t="s">
        <v>157</v>
      </c>
      <c r="K34" s="39"/>
      <c r="L34" s="39"/>
      <c r="M34" s="39"/>
      <c r="N34" s="39"/>
      <c r="O34" s="39"/>
      <c r="P34" s="39"/>
      <c r="Q34" s="39"/>
    </row>
    <row r="35" outlineLevel="1">
      <c r="A35" s="192" t="s">
        <v>40</v>
      </c>
      <c r="B35" s="44" t="s">
        <v>324</v>
      </c>
      <c r="C35" s="13"/>
      <c r="D35" s="14"/>
      <c r="E35" s="13">
        <f t="shared" si="2"/>
        <v>5</v>
      </c>
      <c r="F35" s="54">
        <v>44301.0</v>
      </c>
      <c r="G35" s="45"/>
      <c r="H35" s="46">
        <v>107.25</v>
      </c>
      <c r="I35" s="47"/>
      <c r="J35" s="21" t="s">
        <v>243</v>
      </c>
      <c r="K35" s="39"/>
      <c r="L35" s="39"/>
      <c r="M35" s="39"/>
      <c r="N35" s="39"/>
      <c r="O35" s="39"/>
      <c r="P35" s="39"/>
      <c r="Q35" s="39"/>
    </row>
    <row r="36" outlineLevel="1">
      <c r="A36" s="192" t="s">
        <v>40</v>
      </c>
      <c r="B36" s="79" t="s">
        <v>244</v>
      </c>
      <c r="C36" s="194"/>
      <c r="D36" s="195"/>
      <c r="E36" s="13">
        <f t="shared" si="2"/>
        <v>5</v>
      </c>
      <c r="F36" s="54">
        <v>44307.0</v>
      </c>
      <c r="G36" s="70"/>
      <c r="H36" s="151">
        <v>32.9</v>
      </c>
      <c r="I36" s="197"/>
      <c r="J36" s="103" t="s">
        <v>281</v>
      </c>
      <c r="K36" s="84"/>
      <c r="L36" s="84"/>
      <c r="M36" s="84"/>
      <c r="N36" s="84"/>
      <c r="O36" s="84"/>
      <c r="P36" s="84"/>
      <c r="Q36" s="84"/>
    </row>
    <row r="37" outlineLevel="1">
      <c r="A37" s="192" t="s">
        <v>40</v>
      </c>
      <c r="B37" s="44" t="s">
        <v>47</v>
      </c>
      <c r="C37" s="13"/>
      <c r="D37" s="14"/>
      <c r="E37" s="13">
        <f t="shared" si="2"/>
        <v>5</v>
      </c>
      <c r="F37" s="54">
        <v>44305.0</v>
      </c>
      <c r="G37" s="45"/>
      <c r="H37" s="46">
        <v>13.7</v>
      </c>
      <c r="I37" s="47"/>
      <c r="J37" s="21" t="s">
        <v>48</v>
      </c>
      <c r="K37" s="39"/>
      <c r="L37" s="39"/>
      <c r="M37" s="39"/>
      <c r="N37" s="39"/>
      <c r="O37" s="39"/>
      <c r="P37" s="39"/>
      <c r="Q37" s="39"/>
    </row>
    <row r="38" outlineLevel="1">
      <c r="A38" s="192" t="s">
        <v>40</v>
      </c>
      <c r="B38" s="44" t="s">
        <v>325</v>
      </c>
      <c r="C38" s="13"/>
      <c r="D38" s="14"/>
      <c r="E38" s="13">
        <f t="shared" si="2"/>
        <v>5</v>
      </c>
      <c r="F38" s="54">
        <v>44309.0</v>
      </c>
      <c r="G38" s="45"/>
      <c r="H38" s="46">
        <v>19.29</v>
      </c>
      <c r="I38" s="47"/>
      <c r="J38" s="21" t="s">
        <v>157</v>
      </c>
      <c r="K38" s="39"/>
      <c r="L38" s="39"/>
      <c r="M38" s="39"/>
      <c r="N38" s="39"/>
      <c r="O38" s="39"/>
      <c r="P38" s="39"/>
      <c r="Q38" s="39"/>
    </row>
    <row r="39" outlineLevel="1">
      <c r="A39" s="192" t="s">
        <v>40</v>
      </c>
      <c r="B39" s="44" t="s">
        <v>326</v>
      </c>
      <c r="C39" s="13"/>
      <c r="D39" s="14"/>
      <c r="E39" s="13">
        <f t="shared" si="2"/>
        <v>5</v>
      </c>
      <c r="F39" s="54">
        <v>44314.0</v>
      </c>
      <c r="G39" s="45"/>
      <c r="H39" s="46">
        <v>13.94</v>
      </c>
      <c r="I39" s="47"/>
      <c r="J39" s="21" t="s">
        <v>327</v>
      </c>
      <c r="K39" s="39"/>
      <c r="L39" s="39"/>
      <c r="M39" s="39"/>
      <c r="N39" s="39"/>
      <c r="O39" s="39"/>
      <c r="P39" s="39"/>
      <c r="Q39" s="39"/>
    </row>
    <row r="40">
      <c r="A40" s="192" t="s">
        <v>5</v>
      </c>
      <c r="B40" s="90" t="s">
        <v>59</v>
      </c>
      <c r="C40" s="13">
        <v>8.0</v>
      </c>
      <c r="D40" s="14" t="str">
        <f t="shared" ref="D40:D64" si="4">UPPER(TEXT(WEEKDAY(DATEVALUE(CONCATENATE(C40,"/",$C$3,"/",$A$1))),"DDD"))</f>
        <v>SÁB.</v>
      </c>
      <c r="E40" s="13">
        <f t="shared" si="2"/>
        <v>5</v>
      </c>
      <c r="F40" s="87">
        <v>44319.0</v>
      </c>
      <c r="G40" s="56"/>
      <c r="H40" s="88">
        <v>539.99</v>
      </c>
      <c r="I40" s="58" t="s">
        <v>17</v>
      </c>
      <c r="J40" s="21" t="s">
        <v>60</v>
      </c>
      <c r="K40" s="59"/>
      <c r="L40" s="59"/>
      <c r="M40" s="59"/>
      <c r="N40" s="59"/>
      <c r="O40" s="59"/>
      <c r="P40" s="59"/>
      <c r="Q40" s="59"/>
    </row>
    <row r="41">
      <c r="A41" s="192" t="s">
        <v>5</v>
      </c>
      <c r="B41" s="39" t="s">
        <v>61</v>
      </c>
      <c r="C41" s="13">
        <v>8.0</v>
      </c>
      <c r="D41" s="14" t="str">
        <f t="shared" si="4"/>
        <v>SÁB.</v>
      </c>
      <c r="E41" s="13">
        <f t="shared" si="2"/>
        <v>5</v>
      </c>
      <c r="F41" s="87">
        <v>44319.0</v>
      </c>
      <c r="G41" s="45"/>
      <c r="H41" s="46">
        <v>151.92</v>
      </c>
      <c r="I41" s="58" t="s">
        <v>17</v>
      </c>
      <c r="J41" s="21" t="s">
        <v>62</v>
      </c>
      <c r="K41" s="39"/>
      <c r="L41" s="39"/>
      <c r="M41" s="39"/>
      <c r="N41" s="39"/>
      <c r="O41" s="39"/>
      <c r="P41" s="39"/>
      <c r="Q41" s="39"/>
    </row>
    <row r="42">
      <c r="A42" s="192" t="s">
        <v>5</v>
      </c>
      <c r="B42" s="61" t="s">
        <v>21</v>
      </c>
      <c r="C42" s="13">
        <v>8.0</v>
      </c>
      <c r="D42" s="14" t="str">
        <f t="shared" si="4"/>
        <v>SÁB.</v>
      </c>
      <c r="E42" s="13">
        <f t="shared" si="2"/>
        <v>5</v>
      </c>
      <c r="F42" s="26"/>
      <c r="G42" s="56"/>
      <c r="H42" s="63">
        <v>70.11</v>
      </c>
      <c r="I42" s="58" t="s">
        <v>252</v>
      </c>
      <c r="J42" s="21" t="s">
        <v>22</v>
      </c>
      <c r="K42" s="59"/>
      <c r="L42" s="59"/>
      <c r="M42" s="59"/>
      <c r="N42" s="59"/>
      <c r="O42" s="59"/>
      <c r="P42" s="59"/>
      <c r="Q42" s="59"/>
    </row>
    <row r="43">
      <c r="A43" s="192" t="s">
        <v>5</v>
      </c>
      <c r="B43" s="34" t="s">
        <v>225</v>
      </c>
      <c r="C43" s="13">
        <v>9.0</v>
      </c>
      <c r="D43" s="14" t="str">
        <f t="shared" si="4"/>
        <v>DOM.</v>
      </c>
      <c r="E43" s="13">
        <f t="shared" si="2"/>
        <v>5</v>
      </c>
      <c r="F43" s="87">
        <v>44319.0</v>
      </c>
      <c r="G43" s="56"/>
      <c r="H43" s="63">
        <v>735.0</v>
      </c>
      <c r="I43" s="58" t="s">
        <v>17</v>
      </c>
      <c r="J43" s="21" t="s">
        <v>67</v>
      </c>
      <c r="K43" s="59"/>
      <c r="L43" s="59"/>
      <c r="M43" s="59"/>
      <c r="N43" s="59"/>
      <c r="O43" s="59"/>
      <c r="P43" s="59"/>
      <c r="Q43" s="59"/>
    </row>
    <row r="44">
      <c r="A44" s="192" t="s">
        <v>5</v>
      </c>
      <c r="B44" s="44" t="s">
        <v>74</v>
      </c>
      <c r="C44" s="13">
        <v>9.0</v>
      </c>
      <c r="D44" s="14" t="str">
        <f t="shared" si="4"/>
        <v>DOM.</v>
      </c>
      <c r="E44" s="13">
        <f t="shared" si="2"/>
        <v>5</v>
      </c>
      <c r="F44" s="87">
        <v>44319.0</v>
      </c>
      <c r="G44" s="45"/>
      <c r="H44" s="46">
        <v>102.0</v>
      </c>
      <c r="I44" s="58" t="s">
        <v>17</v>
      </c>
      <c r="J44" s="21" t="s">
        <v>75</v>
      </c>
      <c r="K44" s="39"/>
      <c r="L44" s="39"/>
      <c r="M44" s="39"/>
      <c r="N44" s="39"/>
      <c r="O44" s="39"/>
      <c r="P44" s="39"/>
      <c r="Q44" s="39"/>
    </row>
    <row r="45">
      <c r="A45" s="11" t="s">
        <v>5</v>
      </c>
      <c r="B45" s="44" t="s">
        <v>328</v>
      </c>
      <c r="C45" s="13">
        <v>10.0</v>
      </c>
      <c r="D45" s="14" t="str">
        <f t="shared" si="4"/>
        <v>SEG.</v>
      </c>
      <c r="E45" s="13">
        <f t="shared" si="2"/>
        <v>5</v>
      </c>
      <c r="F45" s="85"/>
      <c r="G45" s="45"/>
      <c r="H45" s="46">
        <v>24.32</v>
      </c>
      <c r="I45" s="58" t="s">
        <v>17</v>
      </c>
      <c r="J45" s="21" t="s">
        <v>20</v>
      </c>
      <c r="K45" s="21"/>
      <c r="L45" s="21"/>
      <c r="M45" s="21"/>
      <c r="N45" s="21"/>
      <c r="O45" s="39"/>
      <c r="P45" s="39"/>
      <c r="Q45" s="39"/>
    </row>
    <row r="46">
      <c r="A46" s="11" t="s">
        <v>5</v>
      </c>
      <c r="B46" s="34" t="s">
        <v>329</v>
      </c>
      <c r="C46" s="13">
        <v>10.0</v>
      </c>
      <c r="D46" s="74" t="str">
        <f t="shared" si="4"/>
        <v>SEG.</v>
      </c>
      <c r="E46" s="13">
        <f t="shared" si="2"/>
        <v>5</v>
      </c>
      <c r="F46" s="26"/>
      <c r="G46" s="56"/>
      <c r="H46" s="63">
        <v>30.0</v>
      </c>
      <c r="I46" s="47" t="s">
        <v>16</v>
      </c>
      <c r="J46" s="21" t="s">
        <v>273</v>
      </c>
      <c r="K46" s="59"/>
      <c r="L46" s="59"/>
      <c r="M46" s="59"/>
      <c r="N46" s="59"/>
      <c r="O46" s="59"/>
      <c r="P46" s="59"/>
      <c r="Q46" s="59"/>
    </row>
    <row r="47">
      <c r="A47" s="102" t="s">
        <v>5</v>
      </c>
      <c r="B47" s="198" t="s">
        <v>37</v>
      </c>
      <c r="C47" s="80">
        <v>11.0</v>
      </c>
      <c r="D47" s="81" t="str">
        <f t="shared" si="4"/>
        <v>TER.</v>
      </c>
      <c r="E47" s="13">
        <f t="shared" si="2"/>
        <v>5</v>
      </c>
      <c r="F47" s="35"/>
      <c r="G47" s="36">
        <v>200.0</v>
      </c>
      <c r="H47" s="151"/>
      <c r="I47" s="78" t="s">
        <v>17</v>
      </c>
      <c r="J47" s="103" t="s">
        <v>38</v>
      </c>
      <c r="K47" s="84"/>
      <c r="L47" s="84"/>
      <c r="M47" s="84"/>
      <c r="N47" s="84"/>
      <c r="O47" s="84"/>
      <c r="P47" s="84"/>
      <c r="Q47" s="84"/>
    </row>
    <row r="48">
      <c r="A48" s="71" t="s">
        <v>5</v>
      </c>
      <c r="B48" s="29" t="s">
        <v>305</v>
      </c>
      <c r="C48" s="73">
        <v>11.0</v>
      </c>
      <c r="D48" s="74" t="str">
        <f t="shared" si="4"/>
        <v>TER.</v>
      </c>
      <c r="E48" s="13">
        <f t="shared" si="2"/>
        <v>5</v>
      </c>
      <c r="F48" s="30"/>
      <c r="G48" s="31"/>
      <c r="H48" s="153">
        <v>100.0</v>
      </c>
      <c r="I48" s="71" t="s">
        <v>17</v>
      </c>
      <c r="J48" s="72" t="s">
        <v>306</v>
      </c>
      <c r="K48" s="31"/>
      <c r="L48" s="31"/>
      <c r="M48" s="31"/>
      <c r="N48" s="31"/>
      <c r="O48" s="31"/>
      <c r="P48" s="31"/>
      <c r="Q48" s="31"/>
    </row>
    <row r="49">
      <c r="A49" s="192" t="s">
        <v>5</v>
      </c>
      <c r="B49" s="198" t="s">
        <v>260</v>
      </c>
      <c r="C49" s="80">
        <v>14.0</v>
      </c>
      <c r="D49" s="81" t="str">
        <f t="shared" si="4"/>
        <v>SEX.</v>
      </c>
      <c r="E49" s="13">
        <f t="shared" si="2"/>
        <v>5</v>
      </c>
      <c r="F49" s="35"/>
      <c r="G49" s="36">
        <v>5000.0</v>
      </c>
      <c r="H49" s="70"/>
      <c r="I49" s="78" t="s">
        <v>261</v>
      </c>
      <c r="J49" s="103" t="s">
        <v>64</v>
      </c>
      <c r="K49" s="70"/>
      <c r="L49" s="70"/>
      <c r="M49" s="70"/>
      <c r="N49" s="70"/>
      <c r="O49" s="70"/>
      <c r="P49" s="70"/>
      <c r="Q49" s="70"/>
    </row>
    <row r="50">
      <c r="A50" s="65" t="s">
        <v>25</v>
      </c>
      <c r="B50" s="39" t="s">
        <v>26</v>
      </c>
      <c r="C50" s="66">
        <v>14.0</v>
      </c>
      <c r="D50" s="14" t="str">
        <f t="shared" si="4"/>
        <v>SEX.</v>
      </c>
      <c r="E50" s="13">
        <f t="shared" si="2"/>
        <v>5</v>
      </c>
      <c r="F50" s="43"/>
      <c r="G50" s="45"/>
      <c r="H50" s="53">
        <v>5000.0</v>
      </c>
      <c r="I50" s="67" t="s">
        <v>261</v>
      </c>
      <c r="J50" s="42"/>
      <c r="K50" s="68"/>
      <c r="L50" s="68"/>
      <c r="M50" s="68"/>
      <c r="N50" s="68"/>
      <c r="O50" s="68"/>
      <c r="P50" s="68"/>
      <c r="Q50" s="68"/>
    </row>
    <row r="51">
      <c r="A51" s="23" t="s">
        <v>25</v>
      </c>
      <c r="B51" s="61" t="s">
        <v>27</v>
      </c>
      <c r="C51" s="148">
        <v>14.0</v>
      </c>
      <c r="D51" s="25" t="str">
        <f t="shared" si="4"/>
        <v>SEX.</v>
      </c>
      <c r="E51" s="13">
        <f t="shared" si="2"/>
        <v>5</v>
      </c>
      <c r="F51" s="26"/>
      <c r="G51" s="101">
        <v>5000.0</v>
      </c>
      <c r="H51" s="56"/>
      <c r="I51" s="64" t="s">
        <v>17</v>
      </c>
      <c r="J51" s="40"/>
      <c r="K51" s="59"/>
      <c r="L51" s="59"/>
      <c r="M51" s="59"/>
      <c r="N51" s="59"/>
      <c r="O51" s="59"/>
      <c r="P51" s="59"/>
      <c r="Q51" s="59"/>
    </row>
    <row r="52">
      <c r="A52" s="11" t="s">
        <v>5</v>
      </c>
      <c r="B52" s="61" t="s">
        <v>65</v>
      </c>
      <c r="C52" s="13">
        <v>14.0</v>
      </c>
      <c r="D52" s="25" t="str">
        <f t="shared" si="4"/>
        <v>SEX.</v>
      </c>
      <c r="E52" s="13">
        <f t="shared" si="2"/>
        <v>5</v>
      </c>
      <c r="F52" s="85"/>
      <c r="G52" s="45"/>
      <c r="H52" s="46">
        <v>528.5</v>
      </c>
      <c r="I52" s="58" t="s">
        <v>17</v>
      </c>
      <c r="J52" s="34" t="s">
        <v>191</v>
      </c>
      <c r="K52" s="39"/>
      <c r="L52" s="39"/>
      <c r="M52" s="39"/>
      <c r="N52" s="39"/>
      <c r="O52" s="39"/>
      <c r="P52" s="39"/>
      <c r="Q52" s="39"/>
    </row>
    <row r="53">
      <c r="A53" s="11" t="s">
        <v>5</v>
      </c>
      <c r="B53" s="44" t="s">
        <v>330</v>
      </c>
      <c r="C53" s="13">
        <v>14.0</v>
      </c>
      <c r="D53" s="14" t="str">
        <f t="shared" si="4"/>
        <v>SEX.</v>
      </c>
      <c r="E53" s="13">
        <f t="shared" si="2"/>
        <v>5</v>
      </c>
      <c r="F53" s="85"/>
      <c r="G53" s="45"/>
      <c r="H53" s="46">
        <v>50.9</v>
      </c>
      <c r="I53" s="58" t="s">
        <v>252</v>
      </c>
      <c r="J53" s="21" t="s">
        <v>20</v>
      </c>
      <c r="K53" s="21"/>
      <c r="L53" s="21"/>
      <c r="M53" s="21"/>
      <c r="N53" s="21"/>
      <c r="O53" s="39"/>
      <c r="P53" s="39"/>
      <c r="Q53" s="39"/>
    </row>
    <row r="54">
      <c r="A54" s="192" t="s">
        <v>5</v>
      </c>
      <c r="B54" s="39" t="s">
        <v>102</v>
      </c>
      <c r="C54" s="13">
        <v>15.0</v>
      </c>
      <c r="D54" s="14" t="str">
        <f t="shared" si="4"/>
        <v>SÁB.</v>
      </c>
      <c r="E54" s="13">
        <f t="shared" si="2"/>
        <v>5</v>
      </c>
      <c r="F54" s="94">
        <v>44319.0</v>
      </c>
      <c r="G54" s="45"/>
      <c r="H54" s="46">
        <v>208.7</v>
      </c>
      <c r="I54" s="58" t="s">
        <v>17</v>
      </c>
      <c r="J54" s="21" t="s">
        <v>75</v>
      </c>
      <c r="K54" s="39"/>
      <c r="L54" s="39"/>
      <c r="M54" s="39"/>
      <c r="N54" s="39"/>
      <c r="O54" s="39"/>
      <c r="P54" s="39"/>
      <c r="Q54" s="39"/>
    </row>
    <row r="55">
      <c r="A55" s="192" t="s">
        <v>5</v>
      </c>
      <c r="B55" s="61" t="s">
        <v>103</v>
      </c>
      <c r="C55" s="13">
        <v>15.0</v>
      </c>
      <c r="D55" s="14" t="str">
        <f t="shared" si="4"/>
        <v>SÁB.</v>
      </c>
      <c r="E55" s="13">
        <f t="shared" si="2"/>
        <v>5</v>
      </c>
      <c r="F55" s="94">
        <v>44319.0</v>
      </c>
      <c r="G55" s="56"/>
      <c r="H55" s="63">
        <v>208.7</v>
      </c>
      <c r="I55" s="58" t="s">
        <v>17</v>
      </c>
      <c r="J55" s="21" t="s">
        <v>75</v>
      </c>
      <c r="K55" s="61"/>
      <c r="L55" s="61"/>
      <c r="M55" s="61"/>
      <c r="N55" s="61"/>
      <c r="O55" s="61"/>
      <c r="P55" s="61"/>
      <c r="Q55" s="61"/>
    </row>
    <row r="56">
      <c r="A56" s="192" t="s">
        <v>5</v>
      </c>
      <c r="B56" s="39" t="s">
        <v>104</v>
      </c>
      <c r="C56" s="13">
        <v>15.0</v>
      </c>
      <c r="D56" s="14" t="str">
        <f t="shared" si="4"/>
        <v>SÁB.</v>
      </c>
      <c r="E56" s="13">
        <f t="shared" si="2"/>
        <v>5</v>
      </c>
      <c r="F56" s="94">
        <v>44319.0</v>
      </c>
      <c r="G56" s="45"/>
      <c r="H56" s="46">
        <v>308.88</v>
      </c>
      <c r="I56" s="58" t="s">
        <v>17</v>
      </c>
      <c r="J56" s="21" t="s">
        <v>75</v>
      </c>
      <c r="K56" s="39"/>
      <c r="L56" s="39"/>
      <c r="M56" s="39"/>
      <c r="N56" s="39"/>
      <c r="O56" s="39"/>
      <c r="P56" s="39"/>
      <c r="Q56" s="39"/>
    </row>
    <row r="57">
      <c r="A57" s="192" t="s">
        <v>5</v>
      </c>
      <c r="B57" s="79" t="s">
        <v>117</v>
      </c>
      <c r="C57" s="80">
        <v>15.0</v>
      </c>
      <c r="D57" s="81" t="str">
        <f t="shared" si="4"/>
        <v>SÁB.</v>
      </c>
      <c r="E57" s="13">
        <f t="shared" si="2"/>
        <v>5</v>
      </c>
      <c r="F57" s="35"/>
      <c r="G57" s="70"/>
      <c r="H57" s="151">
        <v>20.0</v>
      </c>
      <c r="I57" s="78" t="s">
        <v>17</v>
      </c>
      <c r="J57" s="199" t="s">
        <v>118</v>
      </c>
      <c r="K57" s="84"/>
      <c r="L57" s="84"/>
      <c r="M57" s="84"/>
      <c r="N57" s="84"/>
      <c r="O57" s="84"/>
      <c r="P57" s="84"/>
      <c r="Q57" s="84"/>
    </row>
    <row r="58">
      <c r="A58" s="11" t="s">
        <v>5</v>
      </c>
      <c r="B58" s="44" t="s">
        <v>73</v>
      </c>
      <c r="C58" s="13">
        <v>16.0</v>
      </c>
      <c r="D58" s="14" t="str">
        <f t="shared" si="4"/>
        <v>DOM.</v>
      </c>
      <c r="E58" s="13">
        <f t="shared" si="2"/>
        <v>5</v>
      </c>
      <c r="F58" s="85"/>
      <c r="G58" s="45"/>
      <c r="H58" s="46">
        <v>20.0</v>
      </c>
      <c r="I58" s="58" t="s">
        <v>17</v>
      </c>
      <c r="J58" s="21" t="s">
        <v>20</v>
      </c>
      <c r="K58" s="21"/>
      <c r="L58" s="21"/>
      <c r="M58" s="21"/>
      <c r="N58" s="21"/>
      <c r="O58" s="39"/>
      <c r="P58" s="39"/>
      <c r="Q58" s="39"/>
    </row>
    <row r="59">
      <c r="A59" s="102" t="s">
        <v>5</v>
      </c>
      <c r="B59" s="83" t="s">
        <v>331</v>
      </c>
      <c r="C59" s="13">
        <v>22.0</v>
      </c>
      <c r="D59" s="81" t="str">
        <f t="shared" si="4"/>
        <v>SÁB.</v>
      </c>
      <c r="E59" s="13">
        <f t="shared" si="2"/>
        <v>5</v>
      </c>
      <c r="F59" s="35"/>
      <c r="G59" s="70"/>
      <c r="H59" s="63">
        <v>7.0</v>
      </c>
      <c r="I59" s="47" t="s">
        <v>17</v>
      </c>
      <c r="J59" s="83" t="s">
        <v>332</v>
      </c>
      <c r="K59" s="84"/>
      <c r="L59" s="84"/>
      <c r="M59" s="84"/>
      <c r="N59" s="84"/>
      <c r="O59" s="84"/>
      <c r="P59" s="84"/>
      <c r="Q59" s="84"/>
    </row>
    <row r="60">
      <c r="A60" s="192" t="s">
        <v>5</v>
      </c>
      <c r="B60" s="55" t="s">
        <v>91</v>
      </c>
      <c r="C60" s="13">
        <v>17.0</v>
      </c>
      <c r="D60" s="14" t="str">
        <f t="shared" si="4"/>
        <v>SEG.</v>
      </c>
      <c r="E60" s="13">
        <f t="shared" si="2"/>
        <v>5</v>
      </c>
      <c r="F60" s="26"/>
      <c r="G60" s="56"/>
      <c r="H60" s="88">
        <v>716.06</v>
      </c>
      <c r="I60" s="58" t="s">
        <v>17</v>
      </c>
      <c r="J60" s="21" t="s">
        <v>92</v>
      </c>
      <c r="K60" s="55"/>
      <c r="L60" s="55"/>
      <c r="M60" s="55"/>
      <c r="N60" s="55"/>
      <c r="O60" s="55"/>
      <c r="P60" s="55"/>
      <c r="Q60" s="55"/>
    </row>
    <row r="61">
      <c r="A61" s="95" t="s">
        <v>5</v>
      </c>
      <c r="B61" s="42" t="s">
        <v>109</v>
      </c>
      <c r="C61" s="41">
        <v>18.0</v>
      </c>
      <c r="D61" s="14" t="str">
        <f t="shared" si="4"/>
        <v>TER.</v>
      </c>
      <c r="E61" s="13">
        <f t="shared" si="2"/>
        <v>5</v>
      </c>
      <c r="F61" s="14"/>
      <c r="G61" s="53">
        <v>2500.0</v>
      </c>
      <c r="H61" s="53"/>
      <c r="I61" s="58" t="s">
        <v>15</v>
      </c>
      <c r="J61" s="44" t="s">
        <v>110</v>
      </c>
      <c r="K61" s="42"/>
      <c r="L61" s="96"/>
      <c r="M61" s="21"/>
      <c r="N61" s="21"/>
      <c r="O61" s="39"/>
      <c r="P61" s="39"/>
      <c r="Q61" s="39"/>
    </row>
    <row r="62">
      <c r="A62" s="71" t="s">
        <v>5</v>
      </c>
      <c r="B62" s="29" t="s">
        <v>305</v>
      </c>
      <c r="C62" s="73">
        <v>18.0</v>
      </c>
      <c r="D62" s="74" t="str">
        <f t="shared" si="4"/>
        <v>TER.</v>
      </c>
      <c r="E62" s="13">
        <f t="shared" si="2"/>
        <v>5</v>
      </c>
      <c r="F62" s="30"/>
      <c r="G62" s="31"/>
      <c r="H62" s="153">
        <v>100.0</v>
      </c>
      <c r="I62" s="71" t="s">
        <v>17</v>
      </c>
      <c r="J62" s="72" t="s">
        <v>306</v>
      </c>
      <c r="K62" s="31"/>
      <c r="L62" s="31"/>
      <c r="M62" s="31"/>
      <c r="N62" s="31"/>
      <c r="O62" s="31"/>
      <c r="P62" s="31"/>
      <c r="Q62" s="31"/>
    </row>
    <row r="63">
      <c r="A63" s="95" t="s">
        <v>5</v>
      </c>
      <c r="B63" s="42" t="s">
        <v>114</v>
      </c>
      <c r="C63" s="66">
        <v>18.0</v>
      </c>
      <c r="D63" s="14" t="str">
        <f t="shared" si="4"/>
        <v>TER.</v>
      </c>
      <c r="E63" s="13">
        <f t="shared" si="2"/>
        <v>5</v>
      </c>
      <c r="F63" s="43"/>
      <c r="G63" s="45"/>
      <c r="H63" s="53">
        <v>2500.0</v>
      </c>
      <c r="I63" s="65" t="s">
        <v>15</v>
      </c>
      <c r="J63" s="44" t="s">
        <v>115</v>
      </c>
      <c r="K63" s="68"/>
      <c r="L63" s="68"/>
      <c r="M63" s="68"/>
      <c r="N63" s="68"/>
      <c r="O63" s="68"/>
      <c r="P63" s="68"/>
      <c r="Q63" s="68"/>
    </row>
    <row r="64">
      <c r="A64" s="11" t="s">
        <v>5</v>
      </c>
      <c r="B64" s="44" t="s">
        <v>333</v>
      </c>
      <c r="C64" s="13">
        <v>18.0</v>
      </c>
      <c r="D64" s="14" t="str">
        <f t="shared" si="4"/>
        <v>TER.</v>
      </c>
      <c r="E64" s="13">
        <f t="shared" si="2"/>
        <v>5</v>
      </c>
      <c r="F64" s="94"/>
      <c r="G64" s="45"/>
      <c r="H64" s="46">
        <v>149.48</v>
      </c>
      <c r="I64" s="58" t="s">
        <v>17</v>
      </c>
      <c r="J64" s="21" t="s">
        <v>98</v>
      </c>
      <c r="K64" s="39"/>
      <c r="L64" s="39"/>
      <c r="M64" s="39"/>
      <c r="N64" s="39"/>
      <c r="O64" s="39"/>
      <c r="P64" s="39"/>
      <c r="Q64" s="39"/>
    </row>
    <row r="65">
      <c r="A65" s="95" t="s">
        <v>5</v>
      </c>
      <c r="B65" s="44" t="s">
        <v>295</v>
      </c>
      <c r="C65" s="13">
        <v>18.0</v>
      </c>
      <c r="D65" s="14" t="str">
        <f>UPPER(TEXT(WEEKDAY(C65),"DDD"))</f>
        <v>QUA.</v>
      </c>
      <c r="E65" s="13">
        <f t="shared" si="2"/>
        <v>5</v>
      </c>
      <c r="F65" s="14"/>
      <c r="G65" s="46">
        <v>240.8</v>
      </c>
      <c r="H65" s="46"/>
      <c r="I65" s="58" t="s">
        <v>13</v>
      </c>
      <c r="J65" s="21" t="s">
        <v>296</v>
      </c>
      <c r="K65" s="42"/>
      <c r="L65" s="191"/>
      <c r="M65" s="55"/>
      <c r="N65" s="55"/>
      <c r="O65" s="55"/>
      <c r="P65" s="55"/>
      <c r="Q65" s="55"/>
    </row>
    <row r="66">
      <c r="A66" s="60" t="s">
        <v>5</v>
      </c>
      <c r="B66" s="90" t="s">
        <v>334</v>
      </c>
      <c r="C66" s="33">
        <v>19.0</v>
      </c>
      <c r="D66" s="81" t="str">
        <f t="shared" ref="D66:D90" si="5">UPPER(TEXT(WEEKDAY(DATEVALUE(CONCATENATE(C66,"/",$C$3,"/",$A$1))),"DDD"))</f>
        <v>QUA.</v>
      </c>
      <c r="E66" s="13">
        <f t="shared" si="2"/>
        <v>5</v>
      </c>
      <c r="F66" s="146"/>
      <c r="G66" s="147"/>
      <c r="H66" s="36">
        <v>60.71</v>
      </c>
      <c r="I66" s="58" t="s">
        <v>17</v>
      </c>
      <c r="J66" s="83" t="s">
        <v>335</v>
      </c>
      <c r="K66" s="39"/>
      <c r="L66" s="39"/>
      <c r="M66" s="39"/>
      <c r="N66" s="39"/>
      <c r="O66" s="39"/>
      <c r="P66" s="39"/>
      <c r="Q66" s="39"/>
    </row>
    <row r="67">
      <c r="A67" s="192" t="s">
        <v>5</v>
      </c>
      <c r="B67" s="34" t="s">
        <v>336</v>
      </c>
      <c r="C67" s="13">
        <v>19.0</v>
      </c>
      <c r="D67" s="14" t="str">
        <f t="shared" si="5"/>
        <v>QUA.</v>
      </c>
      <c r="E67" s="13">
        <f t="shared" si="2"/>
        <v>5</v>
      </c>
      <c r="F67" s="26"/>
      <c r="G67" s="56"/>
      <c r="H67" s="63">
        <v>480.0</v>
      </c>
      <c r="I67" s="33" t="s">
        <v>17</v>
      </c>
      <c r="J67" s="21" t="s">
        <v>321</v>
      </c>
      <c r="K67" s="59"/>
      <c r="L67" s="59"/>
      <c r="M67" s="59"/>
      <c r="N67" s="59"/>
      <c r="O67" s="59"/>
      <c r="P67" s="59"/>
      <c r="Q67" s="59"/>
    </row>
    <row r="68">
      <c r="A68" s="192" t="s">
        <v>5</v>
      </c>
      <c r="B68" s="39" t="s">
        <v>121</v>
      </c>
      <c r="C68" s="13">
        <v>20.0</v>
      </c>
      <c r="D68" s="14" t="str">
        <f t="shared" si="5"/>
        <v>QUI.</v>
      </c>
      <c r="E68" s="13">
        <f t="shared" si="2"/>
        <v>5</v>
      </c>
      <c r="F68" s="94">
        <v>44330.0</v>
      </c>
      <c r="G68" s="45"/>
      <c r="H68" s="53">
        <v>140.0</v>
      </c>
      <c r="I68" s="58" t="s">
        <v>17</v>
      </c>
      <c r="J68" s="21" t="s">
        <v>122</v>
      </c>
      <c r="K68" s="39"/>
      <c r="L68" s="39"/>
      <c r="M68" s="39"/>
      <c r="N68" s="39"/>
      <c r="O68" s="39"/>
      <c r="P68" s="39"/>
      <c r="Q68" s="39"/>
    </row>
    <row r="69">
      <c r="A69" s="192" t="s">
        <v>5</v>
      </c>
      <c r="B69" s="90" t="s">
        <v>301</v>
      </c>
      <c r="C69" s="13">
        <v>20.0</v>
      </c>
      <c r="D69" s="14" t="str">
        <f t="shared" si="5"/>
        <v>QUI.</v>
      </c>
      <c r="E69" s="13">
        <f t="shared" si="2"/>
        <v>5</v>
      </c>
      <c r="F69" s="26"/>
      <c r="G69" s="56"/>
      <c r="H69" s="88">
        <v>0.0</v>
      </c>
      <c r="I69" s="58" t="s">
        <v>17</v>
      </c>
      <c r="J69" s="21" t="s">
        <v>124</v>
      </c>
      <c r="K69" s="55"/>
      <c r="L69" s="55"/>
      <c r="M69" s="55"/>
      <c r="N69" s="55"/>
      <c r="O69" s="55"/>
      <c r="P69" s="55"/>
      <c r="Q69" s="55"/>
    </row>
    <row r="70">
      <c r="A70" s="192" t="s">
        <v>5</v>
      </c>
      <c r="B70" s="39" t="s">
        <v>125</v>
      </c>
      <c r="C70" s="13">
        <v>20.0</v>
      </c>
      <c r="D70" s="14" t="str">
        <f t="shared" si="5"/>
        <v>QUI.</v>
      </c>
      <c r="E70" s="13">
        <f t="shared" si="2"/>
        <v>5</v>
      </c>
      <c r="F70" s="94">
        <v>44330.0</v>
      </c>
      <c r="G70" s="45"/>
      <c r="H70" s="46">
        <v>393.41</v>
      </c>
      <c r="I70" s="58" t="s">
        <v>17</v>
      </c>
      <c r="J70" s="21" t="s">
        <v>126</v>
      </c>
      <c r="K70" s="39"/>
      <c r="L70" s="39"/>
      <c r="M70" s="39"/>
      <c r="N70" s="39"/>
      <c r="O70" s="39"/>
      <c r="P70" s="39"/>
      <c r="Q70" s="39"/>
    </row>
    <row r="71">
      <c r="A71" s="95" t="s">
        <v>5</v>
      </c>
      <c r="B71" s="42" t="s">
        <v>329</v>
      </c>
      <c r="C71" s="66">
        <v>20.0</v>
      </c>
      <c r="D71" s="14" t="str">
        <f t="shared" si="5"/>
        <v>QUI.</v>
      </c>
      <c r="E71" s="13">
        <f t="shared" si="2"/>
        <v>5</v>
      </c>
      <c r="F71" s="43"/>
      <c r="G71" s="45"/>
      <c r="H71" s="46">
        <v>200.0</v>
      </c>
      <c r="I71" s="65" t="s">
        <v>17</v>
      </c>
      <c r="J71" s="42" t="s">
        <v>273</v>
      </c>
      <c r="K71" s="188"/>
      <c r="L71" s="188"/>
      <c r="M71" s="188"/>
      <c r="N71" s="188"/>
      <c r="O71" s="68"/>
      <c r="P71" s="68"/>
      <c r="Q71" s="68"/>
    </row>
    <row r="72">
      <c r="A72" s="11" t="s">
        <v>5</v>
      </c>
      <c r="B72" s="44" t="s">
        <v>337</v>
      </c>
      <c r="C72" s="13">
        <v>21.0</v>
      </c>
      <c r="D72" s="14" t="str">
        <f t="shared" si="5"/>
        <v>SEX.</v>
      </c>
      <c r="E72" s="13">
        <f t="shared" si="2"/>
        <v>5</v>
      </c>
      <c r="F72" s="85"/>
      <c r="G72" s="45"/>
      <c r="H72" s="46">
        <v>35.0</v>
      </c>
      <c r="I72" s="58" t="s">
        <v>17</v>
      </c>
      <c r="J72" s="21" t="s">
        <v>20</v>
      </c>
      <c r="K72" s="21"/>
      <c r="L72" s="21"/>
      <c r="M72" s="21"/>
      <c r="N72" s="21"/>
      <c r="O72" s="39"/>
      <c r="P72" s="39"/>
      <c r="Q72" s="39"/>
    </row>
    <row r="73">
      <c r="A73" s="192" t="s">
        <v>5</v>
      </c>
      <c r="B73" s="185" t="s">
        <v>138</v>
      </c>
      <c r="C73" s="66">
        <v>22.0</v>
      </c>
      <c r="D73" s="14" t="str">
        <f t="shared" si="5"/>
        <v>SÁB.</v>
      </c>
      <c r="E73" s="13">
        <f t="shared" si="2"/>
        <v>5</v>
      </c>
      <c r="F73" s="43"/>
      <c r="G73" s="45"/>
      <c r="H73" s="53">
        <v>63.8</v>
      </c>
      <c r="I73" s="41" t="s">
        <v>252</v>
      </c>
      <c r="J73" s="42" t="s">
        <v>20</v>
      </c>
      <c r="K73" s="45"/>
      <c r="L73" s="45"/>
      <c r="M73" s="45"/>
      <c r="N73" s="45"/>
      <c r="O73" s="45"/>
      <c r="P73" s="45"/>
      <c r="Q73" s="45"/>
    </row>
    <row r="74">
      <c r="A74" s="192" t="s">
        <v>5</v>
      </c>
      <c r="B74" s="177" t="s">
        <v>21</v>
      </c>
      <c r="C74" s="62">
        <v>22.0</v>
      </c>
      <c r="D74" s="25" t="str">
        <f t="shared" si="5"/>
        <v>SÁB.</v>
      </c>
      <c r="E74" s="13">
        <f t="shared" si="2"/>
        <v>5</v>
      </c>
      <c r="F74" s="26"/>
      <c r="G74" s="56"/>
      <c r="H74" s="63">
        <v>232.77</v>
      </c>
      <c r="I74" s="33" t="s">
        <v>17</v>
      </c>
      <c r="J74" s="173" t="s">
        <v>22</v>
      </c>
      <c r="K74" s="56"/>
      <c r="L74" s="56"/>
      <c r="M74" s="56"/>
      <c r="N74" s="56"/>
      <c r="O74" s="56"/>
      <c r="P74" s="56"/>
      <c r="Q74" s="56"/>
    </row>
    <row r="75">
      <c r="A75" s="192" t="s">
        <v>5</v>
      </c>
      <c r="B75" s="61" t="s">
        <v>127</v>
      </c>
      <c r="C75" s="13">
        <v>23.0</v>
      </c>
      <c r="D75" s="14" t="str">
        <f t="shared" si="5"/>
        <v>DOM.</v>
      </c>
      <c r="E75" s="13">
        <f t="shared" si="2"/>
        <v>5</v>
      </c>
      <c r="F75" s="94">
        <v>44330.0</v>
      </c>
      <c r="G75" s="56"/>
      <c r="H75" s="63">
        <v>54.79</v>
      </c>
      <c r="I75" s="58" t="s">
        <v>17</v>
      </c>
      <c r="J75" s="21" t="s">
        <v>128</v>
      </c>
      <c r="K75" s="61"/>
      <c r="L75" s="61"/>
      <c r="M75" s="61"/>
      <c r="N75" s="61"/>
      <c r="O75" s="61"/>
      <c r="P75" s="61"/>
      <c r="Q75" s="61"/>
    </row>
    <row r="76">
      <c r="A76" s="192" t="s">
        <v>5</v>
      </c>
      <c r="B76" s="39" t="s">
        <v>134</v>
      </c>
      <c r="C76" s="13">
        <v>24.0</v>
      </c>
      <c r="D76" s="14" t="str">
        <f t="shared" si="5"/>
        <v>SEG.</v>
      </c>
      <c r="E76" s="13">
        <f t="shared" si="2"/>
        <v>5</v>
      </c>
      <c r="F76" s="43"/>
      <c r="G76" s="45"/>
      <c r="H76" s="46">
        <v>226.11</v>
      </c>
      <c r="I76" s="60" t="s">
        <v>13</v>
      </c>
      <c r="J76" s="21" t="s">
        <v>135</v>
      </c>
      <c r="K76" s="39"/>
      <c r="L76" s="39"/>
      <c r="M76" s="39"/>
      <c r="N76" s="39"/>
      <c r="O76" s="39"/>
      <c r="P76" s="39"/>
      <c r="Q76" s="39"/>
    </row>
    <row r="77">
      <c r="A77" s="192" t="s">
        <v>5</v>
      </c>
      <c r="B77" s="178" t="s">
        <v>305</v>
      </c>
      <c r="C77" s="66">
        <v>24.0</v>
      </c>
      <c r="D77" s="14" t="str">
        <f t="shared" si="5"/>
        <v>SEG.</v>
      </c>
      <c r="E77" s="13">
        <f t="shared" si="2"/>
        <v>5</v>
      </c>
      <c r="F77" s="43"/>
      <c r="G77" s="45"/>
      <c r="H77" s="46">
        <v>100.0</v>
      </c>
      <c r="I77" s="41" t="s">
        <v>17</v>
      </c>
      <c r="J77" s="44" t="s">
        <v>306</v>
      </c>
      <c r="K77" s="45"/>
      <c r="L77" s="45"/>
      <c r="M77" s="45"/>
      <c r="N77" s="45"/>
      <c r="O77" s="45"/>
      <c r="P77" s="45"/>
      <c r="Q77" s="45"/>
    </row>
    <row r="78">
      <c r="A78" s="192" t="s">
        <v>5</v>
      </c>
      <c r="B78" s="61" t="s">
        <v>21</v>
      </c>
      <c r="C78" s="13">
        <v>27.0</v>
      </c>
      <c r="D78" s="14" t="str">
        <f t="shared" si="5"/>
        <v>QUI.</v>
      </c>
      <c r="E78" s="13">
        <f t="shared" si="2"/>
        <v>5</v>
      </c>
      <c r="F78" s="26"/>
      <c r="G78" s="56"/>
      <c r="H78" s="63">
        <v>209.74</v>
      </c>
      <c r="I78" s="47" t="s">
        <v>17</v>
      </c>
      <c r="J78" s="21" t="s">
        <v>22</v>
      </c>
      <c r="K78" s="59"/>
      <c r="L78" s="59"/>
      <c r="M78" s="59"/>
      <c r="N78" s="59"/>
      <c r="O78" s="59"/>
      <c r="P78" s="59"/>
      <c r="Q78" s="59"/>
    </row>
    <row r="79">
      <c r="A79" s="11" t="s">
        <v>5</v>
      </c>
      <c r="B79" s="103" t="s">
        <v>130</v>
      </c>
      <c r="C79" s="13">
        <v>27.0</v>
      </c>
      <c r="D79" s="14" t="str">
        <f t="shared" si="5"/>
        <v>QUI.</v>
      </c>
      <c r="E79" s="13">
        <f t="shared" si="2"/>
        <v>5</v>
      </c>
      <c r="F79" s="104"/>
      <c r="G79" s="70"/>
      <c r="H79" s="86">
        <v>114.79</v>
      </c>
      <c r="I79" s="105" t="s">
        <v>17</v>
      </c>
      <c r="J79" s="21" t="s">
        <v>229</v>
      </c>
      <c r="K79" s="20"/>
      <c r="L79" s="20"/>
      <c r="M79" s="20"/>
      <c r="N79" s="20"/>
      <c r="O79" s="20"/>
      <c r="P79" s="20"/>
      <c r="Q79" s="84"/>
    </row>
    <row r="80">
      <c r="A80" s="192" t="s">
        <v>5</v>
      </c>
      <c r="B80" s="40" t="s">
        <v>248</v>
      </c>
      <c r="C80" s="62">
        <v>28.0</v>
      </c>
      <c r="D80" s="25" t="str">
        <f t="shared" si="5"/>
        <v>SEX.</v>
      </c>
      <c r="E80" s="13">
        <f t="shared" si="2"/>
        <v>5</v>
      </c>
      <c r="F80" s="26"/>
      <c r="G80" s="63">
        <v>295.0</v>
      </c>
      <c r="H80" s="101"/>
      <c r="I80" s="60" t="s">
        <v>249</v>
      </c>
      <c r="J80" s="173" t="s">
        <v>250</v>
      </c>
      <c r="K80" s="59"/>
      <c r="L80" s="59"/>
      <c r="M80" s="59"/>
      <c r="N80" s="59"/>
      <c r="O80" s="59"/>
      <c r="P80" s="59"/>
      <c r="Q80" s="59"/>
    </row>
    <row r="81">
      <c r="A81" s="192" t="s">
        <v>5</v>
      </c>
      <c r="B81" s="42" t="s">
        <v>251</v>
      </c>
      <c r="C81" s="66">
        <v>28.0</v>
      </c>
      <c r="D81" s="14" t="str">
        <f t="shared" si="5"/>
        <v>SEX.</v>
      </c>
      <c r="E81" s="13">
        <f t="shared" si="2"/>
        <v>5</v>
      </c>
      <c r="F81" s="43"/>
      <c r="G81" s="46">
        <v>635.0</v>
      </c>
      <c r="H81" s="53"/>
      <c r="I81" s="65" t="s">
        <v>252</v>
      </c>
      <c r="J81" s="42" t="s">
        <v>253</v>
      </c>
      <c r="K81" s="68"/>
      <c r="L81" s="68"/>
      <c r="M81" s="68"/>
      <c r="N81" s="68"/>
      <c r="O81" s="68"/>
      <c r="P81" s="68"/>
      <c r="Q81" s="68"/>
    </row>
    <row r="82">
      <c r="A82" s="11" t="s">
        <v>5</v>
      </c>
      <c r="B82" s="44" t="s">
        <v>338</v>
      </c>
      <c r="C82" s="13">
        <v>28.0</v>
      </c>
      <c r="D82" s="14" t="str">
        <f t="shared" si="5"/>
        <v>SEX.</v>
      </c>
      <c r="E82" s="13">
        <f t="shared" si="2"/>
        <v>5</v>
      </c>
      <c r="F82" s="85"/>
      <c r="G82" s="45"/>
      <c r="H82" s="46">
        <v>54.5</v>
      </c>
      <c r="I82" s="58" t="s">
        <v>252</v>
      </c>
      <c r="J82" s="21" t="s">
        <v>20</v>
      </c>
      <c r="K82" s="21"/>
      <c r="L82" s="21"/>
      <c r="M82" s="21"/>
      <c r="N82" s="21"/>
      <c r="O82" s="39"/>
      <c r="P82" s="39"/>
      <c r="Q82" s="39"/>
    </row>
    <row r="83">
      <c r="A83" s="192" t="s">
        <v>5</v>
      </c>
      <c r="B83" s="69" t="s">
        <v>260</v>
      </c>
      <c r="C83" s="13">
        <v>28.0</v>
      </c>
      <c r="D83" s="14" t="str">
        <f t="shared" si="5"/>
        <v>SEX.</v>
      </c>
      <c r="E83" s="13">
        <f t="shared" si="2"/>
        <v>5</v>
      </c>
      <c r="F83" s="54"/>
      <c r="G83" s="36">
        <v>2539.94</v>
      </c>
      <c r="H83" s="70"/>
      <c r="I83" s="47" t="s">
        <v>261</v>
      </c>
      <c r="J83" s="21" t="s">
        <v>64</v>
      </c>
      <c r="K83" s="70"/>
      <c r="L83" s="70"/>
      <c r="M83" s="70"/>
      <c r="N83" s="70"/>
      <c r="O83" s="70"/>
      <c r="P83" s="70"/>
      <c r="Q83" s="70"/>
    </row>
    <row r="84">
      <c r="A84" s="11" t="s">
        <v>5</v>
      </c>
      <c r="B84" s="44" t="s">
        <v>71</v>
      </c>
      <c r="C84" s="13">
        <v>29.0</v>
      </c>
      <c r="D84" s="14" t="str">
        <f t="shared" si="5"/>
        <v>SÁB.</v>
      </c>
      <c r="E84" s="13">
        <f t="shared" si="2"/>
        <v>5</v>
      </c>
      <c r="F84" s="85"/>
      <c r="G84" s="45"/>
      <c r="H84" s="46">
        <v>73.0</v>
      </c>
      <c r="I84" s="58" t="s">
        <v>17</v>
      </c>
      <c r="J84" s="21" t="s">
        <v>72</v>
      </c>
      <c r="K84" s="39"/>
      <c r="L84" s="39"/>
      <c r="M84" s="39"/>
      <c r="N84" s="39"/>
      <c r="O84" s="39"/>
      <c r="P84" s="39"/>
      <c r="Q84" s="39"/>
    </row>
    <row r="85">
      <c r="A85" s="78" t="s">
        <v>25</v>
      </c>
      <c r="B85" s="79" t="s">
        <v>26</v>
      </c>
      <c r="C85" s="150">
        <v>29.0</v>
      </c>
      <c r="D85" s="81" t="str">
        <f t="shared" si="5"/>
        <v>SÁB.</v>
      </c>
      <c r="E85" s="13">
        <f t="shared" si="2"/>
        <v>5</v>
      </c>
      <c r="F85" s="35"/>
      <c r="G85" s="70"/>
      <c r="H85" s="36">
        <v>2539.94</v>
      </c>
      <c r="I85" s="152" t="s">
        <v>261</v>
      </c>
      <c r="J85" s="79"/>
      <c r="K85" s="84"/>
      <c r="L85" s="84"/>
      <c r="M85" s="84"/>
      <c r="N85" s="84"/>
      <c r="O85" s="84"/>
      <c r="P85" s="84"/>
      <c r="Q85" s="84"/>
    </row>
    <row r="86">
      <c r="A86" s="71" t="s">
        <v>25</v>
      </c>
      <c r="B86" s="72" t="s">
        <v>27</v>
      </c>
      <c r="C86" s="73">
        <v>29.0</v>
      </c>
      <c r="D86" s="74" t="str">
        <f t="shared" si="5"/>
        <v>SÁB.</v>
      </c>
      <c r="E86" s="13">
        <f t="shared" si="2"/>
        <v>5</v>
      </c>
      <c r="F86" s="30"/>
      <c r="G86" s="36">
        <v>2539.94</v>
      </c>
      <c r="H86" s="31"/>
      <c r="I86" s="154" t="s">
        <v>17</v>
      </c>
      <c r="J86" s="72"/>
      <c r="K86" s="77"/>
      <c r="L86" s="77"/>
      <c r="M86" s="77"/>
      <c r="N86" s="77"/>
      <c r="O86" s="77"/>
      <c r="P86" s="77"/>
      <c r="Q86" s="77"/>
    </row>
    <row r="87" ht="15.0" customHeight="1">
      <c r="A87" s="95" t="s">
        <v>5</v>
      </c>
      <c r="B87" s="42" t="s">
        <v>329</v>
      </c>
      <c r="C87" s="66">
        <v>31.0</v>
      </c>
      <c r="D87" s="14" t="str">
        <f t="shared" si="5"/>
        <v>SEG.</v>
      </c>
      <c r="E87" s="13">
        <f t="shared" si="2"/>
        <v>5</v>
      </c>
      <c r="F87" s="43"/>
      <c r="G87" s="45"/>
      <c r="H87" s="46">
        <v>200.0</v>
      </c>
      <c r="I87" s="65" t="s">
        <v>17</v>
      </c>
      <c r="J87" s="42" t="s">
        <v>273</v>
      </c>
      <c r="K87" s="188"/>
      <c r="L87" s="188"/>
      <c r="M87" s="188"/>
      <c r="N87" s="188"/>
      <c r="O87" s="68"/>
      <c r="P87" s="68"/>
      <c r="Q87" s="68"/>
    </row>
    <row r="88" ht="15.0" customHeight="1">
      <c r="A88" s="95" t="s">
        <v>5</v>
      </c>
      <c r="B88" s="42" t="s">
        <v>329</v>
      </c>
      <c r="C88" s="66">
        <v>31.0</v>
      </c>
      <c r="D88" s="14" t="str">
        <f t="shared" si="5"/>
        <v>SEG.</v>
      </c>
      <c r="E88" s="13">
        <f t="shared" si="2"/>
        <v>5</v>
      </c>
      <c r="F88" s="43"/>
      <c r="G88" s="45"/>
      <c r="H88" s="46">
        <v>10.0</v>
      </c>
      <c r="I88" s="65" t="s">
        <v>17</v>
      </c>
      <c r="J88" s="42" t="s">
        <v>273</v>
      </c>
      <c r="K88" s="188"/>
      <c r="L88" s="188"/>
      <c r="M88" s="188"/>
      <c r="N88" s="188"/>
      <c r="O88" s="68"/>
      <c r="P88" s="68"/>
      <c r="Q88" s="68"/>
    </row>
    <row r="89">
      <c r="A89" s="11" t="s">
        <v>5</v>
      </c>
      <c r="B89" s="44" t="s">
        <v>339</v>
      </c>
      <c r="C89" s="13">
        <v>31.0</v>
      </c>
      <c r="D89" s="14" t="str">
        <f t="shared" si="5"/>
        <v>SEG.</v>
      </c>
      <c r="E89" s="13">
        <f t="shared" si="2"/>
        <v>5</v>
      </c>
      <c r="F89" s="85"/>
      <c r="G89" s="45"/>
      <c r="H89" s="46">
        <v>123.6</v>
      </c>
      <c r="I89" s="58" t="s">
        <v>17</v>
      </c>
      <c r="J89" s="21" t="s">
        <v>340</v>
      </c>
      <c r="K89" s="21"/>
      <c r="L89" s="21"/>
      <c r="M89" s="21"/>
      <c r="N89" s="21"/>
      <c r="O89" s="39"/>
      <c r="P89" s="39"/>
      <c r="Q89" s="39"/>
    </row>
    <row r="90">
      <c r="A90" s="192" t="s">
        <v>5</v>
      </c>
      <c r="B90" s="178" t="s">
        <v>305</v>
      </c>
      <c r="C90" s="66">
        <v>31.0</v>
      </c>
      <c r="D90" s="14" t="str">
        <f t="shared" si="5"/>
        <v>SEG.</v>
      </c>
      <c r="E90" s="13">
        <f t="shared" si="2"/>
        <v>5</v>
      </c>
      <c r="F90" s="43"/>
      <c r="G90" s="45"/>
      <c r="H90" s="46">
        <v>100.0</v>
      </c>
      <c r="I90" s="41" t="s">
        <v>17</v>
      </c>
      <c r="J90" s="44" t="s">
        <v>306</v>
      </c>
      <c r="K90" s="45"/>
      <c r="L90" s="45"/>
      <c r="M90" s="45"/>
      <c r="N90" s="45"/>
      <c r="O90" s="45"/>
      <c r="P90" s="45"/>
      <c r="Q90" s="45"/>
    </row>
    <row r="91">
      <c r="A91" s="11"/>
      <c r="B91" s="59"/>
      <c r="C91" s="26"/>
      <c r="D91" s="107"/>
      <c r="E91" s="26"/>
      <c r="F91" s="26"/>
      <c r="G91" s="56"/>
      <c r="H91" s="56"/>
      <c r="I91" s="47"/>
      <c r="J91" s="21"/>
      <c r="K91" s="59"/>
      <c r="L91" s="59"/>
      <c r="M91" s="59"/>
      <c r="N91" s="59"/>
      <c r="O91" s="59"/>
      <c r="P91" s="59"/>
      <c r="Q91" s="59"/>
    </row>
    <row r="92">
      <c r="A92" s="11"/>
      <c r="B92" s="68"/>
      <c r="C92" s="43"/>
      <c r="D92" s="108"/>
      <c r="E92" s="43"/>
      <c r="F92" s="43"/>
      <c r="G92" s="45"/>
      <c r="H92" s="45"/>
      <c r="I92" s="47"/>
      <c r="J92" s="21"/>
      <c r="K92" s="68"/>
      <c r="L92" s="68"/>
      <c r="M92" s="68"/>
      <c r="N92" s="68"/>
      <c r="O92" s="68"/>
      <c r="P92" s="68"/>
      <c r="Q92" s="68"/>
    </row>
    <row r="93">
      <c r="A93" s="109"/>
      <c r="B93" s="110"/>
      <c r="C93" s="111"/>
      <c r="D93" s="112"/>
      <c r="E93" s="111"/>
      <c r="F93" s="111"/>
      <c r="G93" s="113"/>
      <c r="H93" s="113"/>
      <c r="I93" s="114"/>
      <c r="J93" s="21"/>
      <c r="K93" s="110"/>
      <c r="L93" s="110"/>
      <c r="M93" s="110"/>
      <c r="N93" s="110"/>
      <c r="O93" s="110"/>
      <c r="P93" s="110"/>
      <c r="Q93" s="110"/>
    </row>
    <row r="94" ht="15.75" customHeight="1">
      <c r="A94" s="115"/>
      <c r="B94" s="116" t="s">
        <v>142</v>
      </c>
      <c r="C94" s="117"/>
      <c r="D94" s="118"/>
      <c r="E94" s="119"/>
      <c r="F94" s="119"/>
      <c r="G94" s="120">
        <f>SUMIF(A3:A93,"PAGO",G3:G93)</f>
        <v>15828.56</v>
      </c>
      <c r="H94" s="120">
        <f>SUMIF(A3:A93,"PAGO",H3:H93)</f>
        <v>11131.74</v>
      </c>
      <c r="I94" s="121"/>
      <c r="J94" s="117"/>
      <c r="K94" s="120">
        <f t="shared" ref="K94:K95" si="6">G94-H94</f>
        <v>4696.82</v>
      </c>
      <c r="L94" s="120"/>
      <c r="M94" s="120"/>
      <c r="N94" s="120"/>
      <c r="O94" s="120"/>
      <c r="P94" s="120"/>
      <c r="Q94" s="120"/>
    </row>
    <row r="95" ht="15.75" customHeight="1">
      <c r="A95" s="115"/>
      <c r="B95" s="122" t="s">
        <v>143</v>
      </c>
      <c r="C95" s="117"/>
      <c r="D95" s="123"/>
      <c r="E95" s="124"/>
      <c r="F95" s="124"/>
      <c r="G95" s="125">
        <f>SUMIF(A3:A93,"PAGO",G3:G93) + SUMIF(A3:A93,"PREVISTO",G3:G93)</f>
        <v>15828.56</v>
      </c>
      <c r="H95" s="125">
        <f>SUMIF(A3:A93,"PAGO",H3:H93) + SUMIF(A3:A93,"PREVISTO",H3:H93)</f>
        <v>11131.74</v>
      </c>
      <c r="I95" s="121"/>
      <c r="J95" s="122" t="s">
        <v>144</v>
      </c>
      <c r="K95" s="125">
        <f t="shared" si="6"/>
        <v>4696.82</v>
      </c>
      <c r="L95" s="125"/>
      <c r="M95" s="125"/>
      <c r="N95" s="125"/>
      <c r="O95" s="125"/>
      <c r="P95" s="125"/>
      <c r="Q95" s="125"/>
    </row>
    <row r="96">
      <c r="A96" s="126"/>
      <c r="B96" s="127"/>
      <c r="C96" s="93"/>
      <c r="D96" s="128"/>
      <c r="E96" s="129"/>
      <c r="F96" s="129"/>
      <c r="G96" s="130"/>
      <c r="H96" s="130"/>
      <c r="I96" s="131"/>
      <c r="J96" s="132" t="s">
        <v>13</v>
      </c>
      <c r="K96" s="133">
        <f t="shared" ref="K96:K103" si="7">(SUMIFS($G$3:$G$93,$I$3:$I$93,J96,$A$3:$A$93,"PAGO") + SUMIFS($G$3:$G$93,$I$3:$I$93,J96,$A$3:$A$93,"CONTAS")) - (SUMIFS($H$3:$H$93,$I$3:$I$93,J96,$A$3:$A$93,"PAGO") + SUMIFS($H$3:$H$93,$I$3:$I$93,J96,$A$3:$A$93,"CONTAS"))</f>
        <v>18.81</v>
      </c>
      <c r="L96" s="133"/>
      <c r="M96" s="133"/>
      <c r="N96" s="133"/>
      <c r="O96" s="133"/>
      <c r="P96" s="133"/>
      <c r="Q96" s="133"/>
    </row>
    <row r="97">
      <c r="A97" s="134"/>
      <c r="B97" s="135"/>
      <c r="C97" s="93"/>
      <c r="D97" s="128"/>
      <c r="E97" s="129"/>
      <c r="F97" s="129"/>
      <c r="G97" s="130"/>
      <c r="H97" s="130"/>
      <c r="I97" s="131"/>
      <c r="J97" s="132" t="s">
        <v>15</v>
      </c>
      <c r="K97" s="133">
        <f t="shared" si="7"/>
        <v>2.85</v>
      </c>
      <c r="L97" s="133"/>
      <c r="M97" s="133"/>
      <c r="N97" s="133"/>
      <c r="O97" s="133"/>
      <c r="P97" s="133"/>
      <c r="Q97" s="133"/>
    </row>
    <row r="98">
      <c r="A98" s="134"/>
      <c r="B98" s="136"/>
      <c r="C98" s="137"/>
      <c r="D98" s="128"/>
      <c r="E98" s="129"/>
      <c r="F98" s="129"/>
      <c r="G98" s="130"/>
      <c r="H98" s="130"/>
      <c r="I98" s="131"/>
      <c r="J98" s="132" t="s">
        <v>16</v>
      </c>
      <c r="K98" s="133">
        <f t="shared" si="7"/>
        <v>22.73</v>
      </c>
      <c r="L98" s="133"/>
      <c r="M98" s="133"/>
      <c r="N98" s="133"/>
      <c r="O98" s="133"/>
      <c r="P98" s="133"/>
      <c r="Q98" s="133"/>
    </row>
    <row r="99">
      <c r="A99" s="134"/>
      <c r="B99" s="136"/>
      <c r="C99" s="137"/>
      <c r="D99" s="128"/>
      <c r="E99" s="129"/>
      <c r="F99" s="129"/>
      <c r="G99" s="130"/>
      <c r="H99" s="130"/>
      <c r="I99" s="131"/>
      <c r="J99" s="132" t="s">
        <v>17</v>
      </c>
      <c r="K99" s="133">
        <f t="shared" si="7"/>
        <v>3601.42</v>
      </c>
      <c r="L99" s="133"/>
      <c r="M99" s="133"/>
      <c r="N99" s="133"/>
      <c r="O99" s="133"/>
      <c r="P99" s="133"/>
      <c r="Q99" s="133"/>
    </row>
    <row r="100">
      <c r="A100" s="134"/>
      <c r="B100" s="93"/>
      <c r="C100" s="137"/>
      <c r="D100" s="138"/>
      <c r="E100" s="139"/>
      <c r="F100" s="139"/>
      <c r="G100" s="140"/>
      <c r="H100" s="140"/>
      <c r="I100" s="131"/>
      <c r="J100" s="132" t="s">
        <v>18</v>
      </c>
      <c r="K100" s="133">
        <f t="shared" si="7"/>
        <v>9.52</v>
      </c>
      <c r="L100" s="133"/>
      <c r="M100" s="133"/>
      <c r="N100" s="133"/>
      <c r="O100" s="133"/>
      <c r="P100" s="133"/>
      <c r="Q100" s="133"/>
    </row>
    <row r="101">
      <c r="A101" s="134"/>
      <c r="B101" s="137"/>
      <c r="C101" s="93"/>
      <c r="D101" s="138"/>
      <c r="E101" s="139"/>
      <c r="F101" s="139"/>
      <c r="G101" s="140"/>
      <c r="H101" s="140"/>
      <c r="I101" s="131"/>
      <c r="J101" s="183" t="s">
        <v>261</v>
      </c>
      <c r="K101" s="133">
        <f t="shared" si="7"/>
        <v>0</v>
      </c>
      <c r="L101" s="93"/>
      <c r="M101" s="93"/>
      <c r="N101" s="93"/>
      <c r="O101" s="93"/>
      <c r="P101" s="93"/>
      <c r="Q101" s="93"/>
    </row>
    <row r="102">
      <c r="A102" s="134"/>
      <c r="B102" s="137"/>
      <c r="C102" s="93"/>
      <c r="D102" s="138"/>
      <c r="E102" s="139"/>
      <c r="F102" s="139"/>
      <c r="G102" s="140"/>
      <c r="H102" s="140"/>
      <c r="I102" s="131"/>
      <c r="J102" s="182" t="s">
        <v>252</v>
      </c>
      <c r="K102" s="133">
        <f t="shared" si="7"/>
        <v>708.63</v>
      </c>
      <c r="L102" s="93"/>
      <c r="M102" s="93"/>
      <c r="N102" s="93"/>
      <c r="O102" s="93"/>
      <c r="P102" s="93"/>
      <c r="Q102" s="93"/>
    </row>
    <row r="103">
      <c r="A103" s="134"/>
      <c r="B103" s="137"/>
      <c r="C103" s="93"/>
      <c r="D103" s="138"/>
      <c r="E103" s="139"/>
      <c r="F103" s="139"/>
      <c r="G103" s="140"/>
      <c r="H103" s="140"/>
      <c r="I103" s="131"/>
      <c r="J103" s="182" t="s">
        <v>249</v>
      </c>
      <c r="K103" s="133">
        <f t="shared" si="7"/>
        <v>332.86</v>
      </c>
      <c r="L103" s="93"/>
      <c r="M103" s="93"/>
      <c r="N103" s="93"/>
      <c r="O103" s="93"/>
      <c r="P103" s="93"/>
      <c r="Q103" s="93"/>
    </row>
    <row r="104">
      <c r="A104" s="134"/>
      <c r="B104" s="137"/>
      <c r="C104" s="93"/>
      <c r="D104" s="138"/>
      <c r="E104" s="139"/>
      <c r="F104" s="139"/>
      <c r="G104" s="140"/>
      <c r="H104" s="140"/>
      <c r="I104" s="131"/>
      <c r="J104" s="93"/>
      <c r="K104" s="93"/>
      <c r="L104" s="93"/>
      <c r="M104" s="93"/>
      <c r="N104" s="93"/>
      <c r="O104" s="93"/>
      <c r="P104" s="93"/>
      <c r="Q104" s="93"/>
    </row>
  </sheetData>
  <customSheetViews>
    <customSheetView guid="{F6E0E906-D63E-467F-B486-84E6C0126E80}" filter="1" showAutoFilter="1">
      <autoFilter ref="$A$2:$K$3"/>
    </customSheetView>
    <customSheetView guid="{8E320149-1ED8-4245-AE83-2AF08A85D2EE}" filter="1" showAutoFilter="1">
      <autoFilter ref="$A$2:$K$3"/>
    </customSheetView>
    <customSheetView guid="{5F890A4C-8AFA-4126-80E7-AF0191C5590F}" filter="1" showAutoFilter="1">
      <autoFilter ref="$A$2:$K$3"/>
    </customSheetView>
    <customSheetView guid="{FF238D65-B29E-47B3-BB76-09A78DB37DDE}" filter="1" showAutoFilter="1">
      <autoFilter ref="$A$2:$K$3"/>
    </customSheetView>
    <customSheetView guid="{55ED7845-B94B-4003-AD57-D4008EE7E009}" filter="1" showAutoFilter="1">
      <autoFilter ref="$A$2:$K$24"/>
    </customSheetView>
  </customSheetViews>
  <conditionalFormatting sqref="A3:Q93">
    <cfRule type="expression" dxfId="0" priority="1">
      <formula>ISEVEN(ROW())</formula>
    </cfRule>
  </conditionalFormatting>
  <conditionalFormatting sqref="A3:Q93">
    <cfRule type="expression" dxfId="1" priority="2">
      <formula>ISODD(ROW())</formula>
    </cfRule>
  </conditionalFormatting>
  <dataValidations>
    <dataValidation type="list" allowBlank="1" sqref="A3:A92">
      <formula1>listas!$A$1:$A$17</formula1>
    </dataValidation>
    <dataValidation type="list" allowBlank="1" sqref="I3:I92">
      <formula1>listas!$B$1:$B$21</formula1>
    </dataValidation>
  </dataValidations>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4.0"/>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7" t="s">
        <v>5</v>
      </c>
      <c r="G2" s="10" t="s">
        <v>6</v>
      </c>
      <c r="H2" s="10" t="s">
        <v>7</v>
      </c>
      <c r="I2" s="6" t="s">
        <v>8</v>
      </c>
      <c r="J2" s="6" t="s">
        <v>9</v>
      </c>
      <c r="K2" s="6" t="s">
        <v>10</v>
      </c>
      <c r="L2" s="6"/>
      <c r="M2" s="6"/>
      <c r="N2" s="6"/>
      <c r="O2" s="6"/>
      <c r="P2" s="6"/>
      <c r="Q2" s="6"/>
    </row>
    <row r="3">
      <c r="A3" s="11"/>
      <c r="B3" s="12" t="s">
        <v>11</v>
      </c>
      <c r="C3" s="13">
        <v>6.0</v>
      </c>
      <c r="D3" s="14"/>
      <c r="E3" s="15"/>
      <c r="F3" s="15"/>
      <c r="G3" s="16"/>
      <c r="H3" s="17"/>
      <c r="I3" s="18"/>
      <c r="J3" s="19"/>
      <c r="K3" s="20"/>
      <c r="L3" s="20"/>
      <c r="M3" s="20"/>
      <c r="N3" s="20"/>
      <c r="O3" s="20"/>
      <c r="P3" s="20"/>
      <c r="Q3" s="20"/>
    </row>
    <row r="4">
      <c r="A4" s="192" t="s">
        <v>5</v>
      </c>
      <c r="B4" s="21" t="s">
        <v>145</v>
      </c>
      <c r="C4" s="13">
        <v>1.0</v>
      </c>
      <c r="D4" s="14" t="str">
        <f t="shared" ref="D4:D33" si="1">UPPER(TEXT(WEEKDAY(DATEVALUE(CONCATENATE(C4,"/",$C$3,"/",$A$1))),"DDD"))</f>
        <v>TER.</v>
      </c>
      <c r="E4" s="13">
        <f t="shared" ref="E4:E91" si="2">$C$3</f>
        <v>6</v>
      </c>
      <c r="F4" s="13"/>
      <c r="G4" s="16">
        <f>maio!K96</f>
        <v>18.81</v>
      </c>
      <c r="H4" s="17"/>
      <c r="I4" s="18" t="s">
        <v>13</v>
      </c>
      <c r="J4" s="21" t="s">
        <v>14</v>
      </c>
      <c r="K4" s="22"/>
      <c r="L4" s="22"/>
      <c r="M4" s="22"/>
      <c r="N4" s="22"/>
      <c r="O4" s="22"/>
      <c r="P4" s="22"/>
      <c r="Q4" s="22"/>
    </row>
    <row r="5">
      <c r="A5" s="192" t="s">
        <v>5</v>
      </c>
      <c r="B5" s="21" t="s">
        <v>145</v>
      </c>
      <c r="C5" s="13">
        <v>1.0</v>
      </c>
      <c r="D5" s="14" t="str">
        <f t="shared" si="1"/>
        <v>TER.</v>
      </c>
      <c r="E5" s="13">
        <f t="shared" si="2"/>
        <v>6</v>
      </c>
      <c r="F5" s="15"/>
      <c r="G5" s="16">
        <f>maio!K97</f>
        <v>2.85</v>
      </c>
      <c r="H5" s="17"/>
      <c r="I5" s="18" t="s">
        <v>15</v>
      </c>
      <c r="J5" s="21" t="s">
        <v>14</v>
      </c>
      <c r="K5" s="22"/>
      <c r="L5" s="22"/>
      <c r="M5" s="22"/>
      <c r="N5" s="22"/>
      <c r="O5" s="22"/>
      <c r="P5" s="22"/>
      <c r="Q5" s="22"/>
    </row>
    <row r="6">
      <c r="A6" s="192" t="s">
        <v>5</v>
      </c>
      <c r="B6" s="21" t="s">
        <v>145</v>
      </c>
      <c r="C6" s="13">
        <v>1.0</v>
      </c>
      <c r="D6" s="14" t="str">
        <f t="shared" si="1"/>
        <v>TER.</v>
      </c>
      <c r="E6" s="13">
        <f t="shared" si="2"/>
        <v>6</v>
      </c>
      <c r="F6" s="15"/>
      <c r="G6" s="16">
        <f>maio!K98</f>
        <v>22.73</v>
      </c>
      <c r="H6" s="17"/>
      <c r="I6" s="18" t="s">
        <v>16</v>
      </c>
      <c r="J6" s="21" t="s">
        <v>14</v>
      </c>
      <c r="K6" s="22"/>
      <c r="L6" s="22"/>
      <c r="M6" s="22"/>
      <c r="N6" s="22"/>
      <c r="O6" s="22"/>
      <c r="P6" s="22"/>
      <c r="Q6" s="22"/>
    </row>
    <row r="7">
      <c r="A7" s="192" t="s">
        <v>5</v>
      </c>
      <c r="B7" s="21" t="s">
        <v>145</v>
      </c>
      <c r="C7" s="13">
        <v>1.0</v>
      </c>
      <c r="D7" s="14" t="str">
        <f t="shared" si="1"/>
        <v>TER.</v>
      </c>
      <c r="E7" s="13">
        <f t="shared" si="2"/>
        <v>6</v>
      </c>
      <c r="F7" s="15"/>
      <c r="G7" s="16">
        <f>maio!K99</f>
        <v>3601.42</v>
      </c>
      <c r="H7" s="17"/>
      <c r="I7" s="18" t="s">
        <v>17</v>
      </c>
      <c r="J7" s="21" t="s">
        <v>14</v>
      </c>
      <c r="K7" s="22"/>
      <c r="L7" s="22"/>
      <c r="M7" s="22"/>
      <c r="N7" s="22"/>
      <c r="O7" s="22"/>
      <c r="P7" s="22"/>
      <c r="Q7" s="22"/>
    </row>
    <row r="8">
      <c r="A8" s="192" t="s">
        <v>5</v>
      </c>
      <c r="B8" s="21" t="s">
        <v>145</v>
      </c>
      <c r="C8" s="13">
        <v>1.0</v>
      </c>
      <c r="D8" s="14" t="str">
        <f t="shared" si="1"/>
        <v>TER.</v>
      </c>
      <c r="E8" s="13">
        <f t="shared" si="2"/>
        <v>6</v>
      </c>
      <c r="F8" s="15"/>
      <c r="G8" s="16">
        <f>maio!K100</f>
        <v>9.52</v>
      </c>
      <c r="H8" s="17"/>
      <c r="I8" s="18" t="s">
        <v>18</v>
      </c>
      <c r="J8" s="21" t="s">
        <v>14</v>
      </c>
      <c r="K8" s="22"/>
      <c r="L8" s="22"/>
      <c r="M8" s="22"/>
      <c r="N8" s="22"/>
      <c r="O8" s="22"/>
      <c r="P8" s="22"/>
      <c r="Q8" s="22"/>
    </row>
    <row r="9">
      <c r="A9" s="192" t="s">
        <v>5</v>
      </c>
      <c r="B9" s="72" t="s">
        <v>145</v>
      </c>
      <c r="C9" s="193">
        <v>1.0</v>
      </c>
      <c r="D9" s="74" t="str">
        <f t="shared" si="1"/>
        <v>TER.</v>
      </c>
      <c r="E9" s="13">
        <f t="shared" si="2"/>
        <v>6</v>
      </c>
      <c r="F9" s="30"/>
      <c r="G9" s="16">
        <f>maio!K101</f>
        <v>0</v>
      </c>
      <c r="H9" s="31"/>
      <c r="I9" s="58" t="s">
        <v>261</v>
      </c>
      <c r="J9" s="72" t="s">
        <v>14</v>
      </c>
      <c r="K9" s="77"/>
      <c r="L9" s="77"/>
      <c r="M9" s="77"/>
      <c r="N9" s="77"/>
      <c r="O9" s="77"/>
      <c r="P9" s="77"/>
      <c r="Q9" s="77"/>
    </row>
    <row r="10">
      <c r="A10" s="192" t="s">
        <v>5</v>
      </c>
      <c r="B10" s="173" t="s">
        <v>145</v>
      </c>
      <c r="C10" s="184">
        <v>1.0</v>
      </c>
      <c r="D10" s="25" t="str">
        <f t="shared" si="1"/>
        <v>TER.</v>
      </c>
      <c r="E10" s="13">
        <f t="shared" si="2"/>
        <v>6</v>
      </c>
      <c r="F10" s="26"/>
      <c r="G10" s="16">
        <f>maio!K102</f>
        <v>708.63</v>
      </c>
      <c r="H10" s="56"/>
      <c r="I10" s="33" t="s">
        <v>252</v>
      </c>
      <c r="J10" s="173" t="s">
        <v>14</v>
      </c>
      <c r="K10" s="59"/>
      <c r="L10" s="59"/>
      <c r="M10" s="59"/>
      <c r="N10" s="59"/>
      <c r="O10" s="59"/>
      <c r="P10" s="59"/>
      <c r="Q10" s="59"/>
    </row>
    <row r="11">
      <c r="A11" s="192" t="s">
        <v>5</v>
      </c>
      <c r="B11" s="42" t="s">
        <v>145</v>
      </c>
      <c r="C11" s="144">
        <v>1.0</v>
      </c>
      <c r="D11" s="14" t="str">
        <f t="shared" si="1"/>
        <v>TER.</v>
      </c>
      <c r="E11" s="13">
        <f t="shared" si="2"/>
        <v>6</v>
      </c>
      <c r="F11" s="43"/>
      <c r="G11" s="16">
        <f>maio!K103</f>
        <v>332.86</v>
      </c>
      <c r="H11" s="45"/>
      <c r="I11" s="41" t="s">
        <v>249</v>
      </c>
      <c r="J11" s="42" t="s">
        <v>14</v>
      </c>
      <c r="K11" s="68"/>
      <c r="L11" s="68"/>
      <c r="M11" s="68"/>
      <c r="N11" s="68"/>
      <c r="O11" s="68"/>
      <c r="P11" s="68"/>
      <c r="Q11" s="68"/>
    </row>
    <row r="12">
      <c r="A12" s="11" t="s">
        <v>5</v>
      </c>
      <c r="B12" s="34" t="s">
        <v>341</v>
      </c>
      <c r="C12" s="13">
        <v>1.0</v>
      </c>
      <c r="D12" s="14" t="str">
        <f t="shared" si="1"/>
        <v>TER.</v>
      </c>
      <c r="E12" s="13">
        <f t="shared" si="2"/>
        <v>6</v>
      </c>
      <c r="F12" s="26"/>
      <c r="G12" s="56"/>
      <c r="H12" s="63">
        <v>246.23</v>
      </c>
      <c r="I12" s="33" t="s">
        <v>252</v>
      </c>
      <c r="J12" s="21" t="s">
        <v>342</v>
      </c>
      <c r="K12" s="59"/>
      <c r="L12" s="59"/>
      <c r="M12" s="59"/>
      <c r="N12" s="59"/>
      <c r="O12" s="59"/>
      <c r="P12" s="59"/>
      <c r="Q12" s="59"/>
    </row>
    <row r="13" ht="15.0" customHeight="1">
      <c r="A13" s="192" t="s">
        <v>5</v>
      </c>
      <c r="B13" s="44" t="s">
        <v>73</v>
      </c>
      <c r="C13" s="13">
        <v>2.0</v>
      </c>
      <c r="D13" s="14" t="str">
        <f t="shared" si="1"/>
        <v>QUA.</v>
      </c>
      <c r="E13" s="13">
        <f t="shared" si="2"/>
        <v>6</v>
      </c>
      <c r="F13" s="85"/>
      <c r="G13" s="45"/>
      <c r="H13" s="46">
        <v>30.0</v>
      </c>
      <c r="I13" s="58" t="s">
        <v>17</v>
      </c>
      <c r="J13" s="21" t="s">
        <v>20</v>
      </c>
      <c r="K13" s="21"/>
      <c r="L13" s="21"/>
      <c r="M13" s="21"/>
      <c r="N13" s="21"/>
      <c r="O13" s="39"/>
      <c r="P13" s="39"/>
      <c r="Q13" s="39"/>
    </row>
    <row r="14">
      <c r="A14" s="192" t="s">
        <v>5</v>
      </c>
      <c r="B14" s="28" t="s">
        <v>148</v>
      </c>
      <c r="C14" s="13">
        <v>3.0</v>
      </c>
      <c r="D14" s="14" t="str">
        <f t="shared" si="1"/>
        <v>QUI.</v>
      </c>
      <c r="E14" s="13">
        <f t="shared" si="2"/>
        <v>6</v>
      </c>
      <c r="F14" s="35"/>
      <c r="G14" s="70"/>
      <c r="H14" s="86">
        <v>49.92</v>
      </c>
      <c r="I14" s="142" t="s">
        <v>13</v>
      </c>
      <c r="J14" s="21" t="s">
        <v>149</v>
      </c>
      <c r="K14" s="28"/>
      <c r="L14" s="28"/>
      <c r="M14" s="28"/>
      <c r="N14" s="28"/>
      <c r="O14" s="28"/>
      <c r="P14" s="28"/>
      <c r="Q14" s="28"/>
    </row>
    <row r="15">
      <c r="A15" s="192" t="s">
        <v>5</v>
      </c>
      <c r="B15" s="44" t="s">
        <v>343</v>
      </c>
      <c r="C15" s="13">
        <v>4.0</v>
      </c>
      <c r="D15" s="14" t="str">
        <f t="shared" si="1"/>
        <v>SEX.</v>
      </c>
      <c r="E15" s="13">
        <f t="shared" si="2"/>
        <v>6</v>
      </c>
      <c r="F15" s="26"/>
      <c r="G15" s="56"/>
      <c r="H15" s="63">
        <v>160.0</v>
      </c>
      <c r="I15" s="33" t="s">
        <v>17</v>
      </c>
      <c r="J15" s="44" t="s">
        <v>344</v>
      </c>
      <c r="K15" s="59"/>
      <c r="L15" s="59"/>
      <c r="M15" s="59"/>
      <c r="N15" s="59"/>
      <c r="O15" s="59"/>
      <c r="P15" s="59"/>
      <c r="Q15" s="59"/>
    </row>
    <row r="16">
      <c r="A16" s="95" t="s">
        <v>5</v>
      </c>
      <c r="B16" s="42" t="s">
        <v>109</v>
      </c>
      <c r="C16" s="13">
        <v>4.0</v>
      </c>
      <c r="D16" s="14" t="str">
        <f t="shared" si="1"/>
        <v>SEX.</v>
      </c>
      <c r="E16" s="13">
        <f t="shared" si="2"/>
        <v>6</v>
      </c>
      <c r="F16" s="14"/>
      <c r="G16" s="53">
        <v>2500.0</v>
      </c>
      <c r="H16" s="53"/>
      <c r="I16" s="58" t="s">
        <v>15</v>
      </c>
      <c r="J16" s="44" t="s">
        <v>110</v>
      </c>
      <c r="K16" s="42"/>
      <c r="L16" s="96"/>
      <c r="M16" s="21"/>
      <c r="N16" s="21"/>
      <c r="O16" s="39"/>
      <c r="P16" s="39"/>
      <c r="Q16" s="39"/>
    </row>
    <row r="17">
      <c r="A17" s="41" t="s">
        <v>25</v>
      </c>
      <c r="B17" s="39" t="s">
        <v>26</v>
      </c>
      <c r="C17" s="66">
        <v>5.0</v>
      </c>
      <c r="D17" s="14" t="str">
        <f t="shared" si="1"/>
        <v>SÁB.</v>
      </c>
      <c r="E17" s="13">
        <f t="shared" si="2"/>
        <v>6</v>
      </c>
      <c r="F17" s="43"/>
      <c r="G17" s="45"/>
      <c r="H17" s="46">
        <v>300.0</v>
      </c>
      <c r="I17" s="149" t="s">
        <v>17</v>
      </c>
      <c r="J17" s="44"/>
      <c r="K17" s="68"/>
      <c r="L17" s="68"/>
      <c r="M17" s="68"/>
      <c r="N17" s="68"/>
      <c r="O17" s="68"/>
      <c r="P17" s="68"/>
      <c r="Q17" s="68"/>
    </row>
    <row r="18">
      <c r="A18" s="180" t="s">
        <v>25</v>
      </c>
      <c r="B18" s="61" t="s">
        <v>27</v>
      </c>
      <c r="C18" s="148">
        <v>5.0</v>
      </c>
      <c r="D18" s="25" t="str">
        <f t="shared" si="1"/>
        <v>SÁB.</v>
      </c>
      <c r="E18" s="13">
        <f t="shared" si="2"/>
        <v>6</v>
      </c>
      <c r="F18" s="26"/>
      <c r="G18" s="63">
        <v>300.0</v>
      </c>
      <c r="H18" s="56"/>
      <c r="I18" s="37" t="s">
        <v>13</v>
      </c>
      <c r="J18" s="34"/>
      <c r="K18" s="59"/>
      <c r="L18" s="59"/>
      <c r="M18" s="59"/>
      <c r="N18" s="59"/>
      <c r="O18" s="59"/>
      <c r="P18" s="59"/>
      <c r="Q18" s="59"/>
    </row>
    <row r="19">
      <c r="A19" s="11" t="s">
        <v>5</v>
      </c>
      <c r="B19" s="159" t="s">
        <v>345</v>
      </c>
      <c r="C19" s="13">
        <v>5.0</v>
      </c>
      <c r="D19" s="14" t="str">
        <f t="shared" si="1"/>
        <v>SÁB.</v>
      </c>
      <c r="E19" s="13">
        <f t="shared" si="2"/>
        <v>6</v>
      </c>
      <c r="F19" s="30"/>
      <c r="G19" s="31"/>
      <c r="H19" s="32">
        <v>38.63</v>
      </c>
      <c r="I19" s="33" t="s">
        <v>17</v>
      </c>
      <c r="J19" s="21" t="s">
        <v>22</v>
      </c>
      <c r="K19" s="31"/>
      <c r="L19" s="31"/>
      <c r="M19" s="31"/>
      <c r="N19" s="31"/>
      <c r="O19" s="31"/>
      <c r="P19" s="31"/>
      <c r="Q19" s="31"/>
    </row>
    <row r="20">
      <c r="A20" s="11" t="s">
        <v>5</v>
      </c>
      <c r="B20" s="44" t="s">
        <v>307</v>
      </c>
      <c r="C20" s="13">
        <v>5.0</v>
      </c>
      <c r="D20" s="14" t="str">
        <f t="shared" si="1"/>
        <v>SÁB.</v>
      </c>
      <c r="E20" s="13">
        <f t="shared" si="2"/>
        <v>6</v>
      </c>
      <c r="F20" s="85"/>
      <c r="G20" s="45"/>
      <c r="H20" s="46">
        <v>45.0</v>
      </c>
      <c r="I20" s="58" t="s">
        <v>17</v>
      </c>
      <c r="J20" s="21" t="s">
        <v>20</v>
      </c>
      <c r="K20" s="21"/>
      <c r="L20" s="21"/>
      <c r="M20" s="21"/>
      <c r="N20" s="21"/>
      <c r="O20" s="39"/>
      <c r="P20" s="39"/>
      <c r="Q20" s="39"/>
    </row>
    <row r="21">
      <c r="A21" s="78" t="s">
        <v>5</v>
      </c>
      <c r="B21" s="69" t="s">
        <v>346</v>
      </c>
      <c r="C21" s="80">
        <v>6.0</v>
      </c>
      <c r="D21" s="81" t="str">
        <f t="shared" si="1"/>
        <v>DOM.</v>
      </c>
      <c r="E21" s="13">
        <f t="shared" si="2"/>
        <v>6</v>
      </c>
      <c r="F21" s="35"/>
      <c r="G21" s="70"/>
      <c r="H21" s="36">
        <v>55.47</v>
      </c>
      <c r="I21" s="78" t="s">
        <v>17</v>
      </c>
      <c r="J21" s="199" t="s">
        <v>20</v>
      </c>
      <c r="K21" s="28"/>
      <c r="L21" s="28"/>
      <c r="M21" s="28"/>
      <c r="N21" s="28"/>
      <c r="O21" s="70"/>
      <c r="P21" s="70"/>
      <c r="Q21" s="70"/>
    </row>
    <row r="22">
      <c r="A22" s="192" t="s">
        <v>5</v>
      </c>
      <c r="B22" s="178" t="s">
        <v>347</v>
      </c>
      <c r="C22" s="66">
        <v>6.0</v>
      </c>
      <c r="D22" s="81" t="str">
        <f t="shared" si="1"/>
        <v>DOM.</v>
      </c>
      <c r="E22" s="13">
        <f t="shared" si="2"/>
        <v>6</v>
      </c>
      <c r="F22" s="43"/>
      <c r="G22" s="45"/>
      <c r="H22" s="46">
        <v>83.4</v>
      </c>
      <c r="I22" s="41" t="s">
        <v>17</v>
      </c>
      <c r="J22" s="199" t="s">
        <v>348</v>
      </c>
      <c r="K22" s="45"/>
      <c r="L22" s="45"/>
      <c r="M22" s="45"/>
      <c r="N22" s="45"/>
      <c r="O22" s="45"/>
      <c r="P22" s="45"/>
      <c r="Q22" s="45"/>
    </row>
    <row r="23">
      <c r="A23" s="11" t="s">
        <v>5</v>
      </c>
      <c r="B23" s="34" t="s">
        <v>349</v>
      </c>
      <c r="C23" s="13">
        <v>7.0</v>
      </c>
      <c r="D23" s="74" t="str">
        <f t="shared" si="1"/>
        <v>SEG.</v>
      </c>
      <c r="E23" s="13">
        <f t="shared" si="2"/>
        <v>6</v>
      </c>
      <c r="F23" s="26"/>
      <c r="G23" s="63">
        <v>30.0</v>
      </c>
      <c r="H23" s="63"/>
      <c r="I23" s="47" t="s">
        <v>16</v>
      </c>
      <c r="J23" s="21" t="s">
        <v>273</v>
      </c>
      <c r="K23" s="59"/>
      <c r="L23" s="59"/>
      <c r="M23" s="59"/>
      <c r="N23" s="59"/>
      <c r="O23" s="59"/>
      <c r="P23" s="59"/>
      <c r="Q23" s="59"/>
    </row>
    <row r="24">
      <c r="A24" s="192" t="s">
        <v>5</v>
      </c>
      <c r="B24" s="83" t="s">
        <v>350</v>
      </c>
      <c r="C24" s="13">
        <v>7.0</v>
      </c>
      <c r="D24" s="14" t="str">
        <f t="shared" si="1"/>
        <v>SEG.</v>
      </c>
      <c r="E24" s="13">
        <f t="shared" si="2"/>
        <v>6</v>
      </c>
      <c r="F24" s="35"/>
      <c r="G24" s="36">
        <v>166.0</v>
      </c>
      <c r="H24" s="70"/>
      <c r="I24" s="78" t="s">
        <v>17</v>
      </c>
      <c r="J24" s="21" t="s">
        <v>351</v>
      </c>
      <c r="K24" s="84"/>
      <c r="L24" s="84"/>
      <c r="M24" s="84"/>
      <c r="N24" s="84"/>
      <c r="O24" s="84"/>
      <c r="P24" s="84"/>
      <c r="Q24" s="84"/>
    </row>
    <row r="25">
      <c r="A25" s="192" t="s">
        <v>5</v>
      </c>
      <c r="B25" s="83" t="s">
        <v>352</v>
      </c>
      <c r="C25" s="13">
        <v>7.0</v>
      </c>
      <c r="D25" s="14" t="str">
        <f t="shared" si="1"/>
        <v>SEG.</v>
      </c>
      <c r="E25" s="13">
        <f t="shared" si="2"/>
        <v>6</v>
      </c>
      <c r="F25" s="35"/>
      <c r="G25" s="36"/>
      <c r="H25" s="36">
        <v>166.0</v>
      </c>
      <c r="I25" s="78" t="s">
        <v>17</v>
      </c>
      <c r="J25" s="21" t="s">
        <v>353</v>
      </c>
      <c r="K25" s="84"/>
      <c r="L25" s="84"/>
      <c r="M25" s="84"/>
      <c r="N25" s="84"/>
      <c r="O25" s="84"/>
      <c r="P25" s="84"/>
      <c r="Q25" s="84"/>
    </row>
    <row r="26">
      <c r="A26" s="192" t="s">
        <v>5</v>
      </c>
      <c r="B26" s="178" t="s">
        <v>305</v>
      </c>
      <c r="C26" s="66">
        <v>7.0</v>
      </c>
      <c r="D26" s="14" t="str">
        <f t="shared" si="1"/>
        <v>SEG.</v>
      </c>
      <c r="E26" s="13">
        <f t="shared" si="2"/>
        <v>6</v>
      </c>
      <c r="F26" s="43"/>
      <c r="G26" s="45"/>
      <c r="H26" s="46">
        <v>100.0</v>
      </c>
      <c r="I26" s="41" t="s">
        <v>17</v>
      </c>
      <c r="J26" s="44" t="s">
        <v>306</v>
      </c>
      <c r="K26" s="45"/>
      <c r="L26" s="45"/>
      <c r="M26" s="45"/>
      <c r="N26" s="45"/>
      <c r="O26" s="45"/>
      <c r="P26" s="45"/>
      <c r="Q26" s="45"/>
    </row>
    <row r="27">
      <c r="A27" s="41" t="s">
        <v>25</v>
      </c>
      <c r="B27" s="39" t="s">
        <v>26</v>
      </c>
      <c r="C27" s="66">
        <v>7.0</v>
      </c>
      <c r="D27" s="14" t="str">
        <f t="shared" si="1"/>
        <v>SEG.</v>
      </c>
      <c r="E27" s="13">
        <f t="shared" si="2"/>
        <v>6</v>
      </c>
      <c r="F27" s="43"/>
      <c r="G27" s="45"/>
      <c r="H27" s="46">
        <v>50.0</v>
      </c>
      <c r="I27" s="149" t="s">
        <v>16</v>
      </c>
      <c r="J27" s="44"/>
      <c r="K27" s="68"/>
      <c r="L27" s="68"/>
      <c r="M27" s="68"/>
      <c r="N27" s="68"/>
      <c r="O27" s="68"/>
      <c r="P27" s="68"/>
      <c r="Q27" s="68"/>
    </row>
    <row r="28">
      <c r="A28" s="180" t="s">
        <v>25</v>
      </c>
      <c r="B28" s="61" t="s">
        <v>27</v>
      </c>
      <c r="C28" s="148">
        <v>7.0</v>
      </c>
      <c r="D28" s="25" t="str">
        <f t="shared" si="1"/>
        <v>SEG.</v>
      </c>
      <c r="E28" s="13">
        <f t="shared" si="2"/>
        <v>6</v>
      </c>
      <c r="F28" s="26"/>
      <c r="G28" s="63">
        <v>50.0</v>
      </c>
      <c r="H28" s="56"/>
      <c r="I28" s="37" t="s">
        <v>17</v>
      </c>
      <c r="J28" s="34"/>
      <c r="K28" s="59"/>
      <c r="L28" s="59"/>
      <c r="M28" s="59"/>
      <c r="N28" s="59"/>
      <c r="O28" s="59"/>
      <c r="P28" s="59"/>
      <c r="Q28" s="59"/>
    </row>
    <row r="29">
      <c r="A29" s="41" t="s">
        <v>25</v>
      </c>
      <c r="B29" s="39" t="s">
        <v>26</v>
      </c>
      <c r="C29" s="66">
        <v>7.0</v>
      </c>
      <c r="D29" s="14" t="str">
        <f t="shared" si="1"/>
        <v>SEG.</v>
      </c>
      <c r="E29" s="13">
        <f t="shared" si="2"/>
        <v>6</v>
      </c>
      <c r="F29" s="43"/>
      <c r="G29" s="45"/>
      <c r="H29" s="46">
        <v>260.0</v>
      </c>
      <c r="I29" s="149" t="s">
        <v>13</v>
      </c>
      <c r="J29" s="44"/>
      <c r="K29" s="68"/>
      <c r="L29" s="68"/>
      <c r="M29" s="68"/>
      <c r="N29" s="68"/>
      <c r="O29" s="68"/>
      <c r="P29" s="68"/>
      <c r="Q29" s="68"/>
    </row>
    <row r="30">
      <c r="A30" s="180" t="s">
        <v>25</v>
      </c>
      <c r="B30" s="61" t="s">
        <v>27</v>
      </c>
      <c r="C30" s="148">
        <v>7.0</v>
      </c>
      <c r="D30" s="25" t="str">
        <f t="shared" si="1"/>
        <v>SEG.</v>
      </c>
      <c r="E30" s="13">
        <f t="shared" si="2"/>
        <v>6</v>
      </c>
      <c r="F30" s="26"/>
      <c r="G30" s="63">
        <v>260.0</v>
      </c>
      <c r="H30" s="56"/>
      <c r="I30" s="37" t="s">
        <v>17</v>
      </c>
      <c r="J30" s="34"/>
      <c r="K30" s="59"/>
      <c r="L30" s="59"/>
      <c r="M30" s="59"/>
      <c r="N30" s="59"/>
      <c r="O30" s="59"/>
      <c r="P30" s="59"/>
      <c r="Q30" s="59"/>
    </row>
    <row r="31">
      <c r="A31" s="192" t="s">
        <v>5</v>
      </c>
      <c r="B31" s="44" t="s">
        <v>73</v>
      </c>
      <c r="C31" s="13">
        <v>8.0</v>
      </c>
      <c r="D31" s="14" t="str">
        <f t="shared" si="1"/>
        <v>TER.</v>
      </c>
      <c r="E31" s="13">
        <f t="shared" si="2"/>
        <v>6</v>
      </c>
      <c r="F31" s="85"/>
      <c r="G31" s="45"/>
      <c r="H31" s="46">
        <v>30.0</v>
      </c>
      <c r="I31" s="58" t="s">
        <v>17</v>
      </c>
      <c r="J31" s="21" t="s">
        <v>20</v>
      </c>
      <c r="K31" s="21"/>
      <c r="L31" s="21"/>
      <c r="M31" s="21"/>
      <c r="N31" s="21"/>
      <c r="O31" s="39"/>
      <c r="P31" s="39"/>
      <c r="Q31" s="39"/>
    </row>
    <row r="32">
      <c r="A32" s="192" t="s">
        <v>5</v>
      </c>
      <c r="B32" s="99" t="s">
        <v>119</v>
      </c>
      <c r="C32" s="13">
        <v>8.0</v>
      </c>
      <c r="D32" s="14" t="str">
        <f t="shared" si="1"/>
        <v>TER.</v>
      </c>
      <c r="E32" s="13">
        <f t="shared" si="2"/>
        <v>6</v>
      </c>
      <c r="F32" s="35"/>
      <c r="G32" s="36">
        <v>2.26</v>
      </c>
      <c r="H32" s="70"/>
      <c r="I32" s="78" t="s">
        <v>17</v>
      </c>
      <c r="J32" s="21" t="s">
        <v>120</v>
      </c>
      <c r="K32" s="84"/>
      <c r="L32" s="84"/>
      <c r="M32" s="84"/>
      <c r="N32" s="84"/>
      <c r="O32" s="84"/>
      <c r="P32" s="84"/>
      <c r="Q32" s="84"/>
    </row>
    <row r="33">
      <c r="A33" s="192" t="s">
        <v>5</v>
      </c>
      <c r="B33" s="44" t="s">
        <v>39</v>
      </c>
      <c r="C33" s="13">
        <v>8.0</v>
      </c>
      <c r="D33" s="14" t="str">
        <f t="shared" si="1"/>
        <v>TER.</v>
      </c>
      <c r="E33" s="13">
        <f t="shared" si="2"/>
        <v>6</v>
      </c>
      <c r="F33" s="87">
        <v>44348.0</v>
      </c>
      <c r="G33" s="45"/>
      <c r="H33" s="53">
        <f>SUM(H34:H40)</f>
        <v>234.12</v>
      </c>
      <c r="I33" s="47" t="s">
        <v>17</v>
      </c>
      <c r="J33" s="21"/>
      <c r="K33" s="39"/>
      <c r="L33" s="39"/>
      <c r="M33" s="39"/>
      <c r="N33" s="39"/>
      <c r="O33" s="39"/>
      <c r="P33" s="39"/>
      <c r="Q33" s="39"/>
    </row>
    <row r="34" outlineLevel="1">
      <c r="A34" s="192" t="s">
        <v>40</v>
      </c>
      <c r="B34" s="44" t="s">
        <v>354</v>
      </c>
      <c r="C34" s="13"/>
      <c r="D34" s="14"/>
      <c r="E34" s="13">
        <f t="shared" si="2"/>
        <v>6</v>
      </c>
      <c r="F34" s="54">
        <v>44315.0</v>
      </c>
      <c r="G34" s="45"/>
      <c r="H34" s="46">
        <v>30.0</v>
      </c>
      <c r="I34" s="47"/>
      <c r="J34" s="21" t="s">
        <v>157</v>
      </c>
      <c r="K34" s="39"/>
      <c r="L34" s="39"/>
      <c r="M34" s="39"/>
      <c r="N34" s="39"/>
      <c r="O34" s="39"/>
      <c r="P34" s="39"/>
      <c r="Q34" s="39"/>
    </row>
    <row r="35" outlineLevel="1">
      <c r="A35" s="192" t="s">
        <v>40</v>
      </c>
      <c r="B35" s="44" t="s">
        <v>282</v>
      </c>
      <c r="C35" s="13"/>
      <c r="D35" s="14"/>
      <c r="E35" s="13">
        <f t="shared" si="2"/>
        <v>6</v>
      </c>
      <c r="F35" s="54">
        <v>44317.0</v>
      </c>
      <c r="G35" s="45"/>
      <c r="H35" s="46">
        <v>21.99</v>
      </c>
      <c r="I35" s="47"/>
      <c r="J35" s="21" t="s">
        <v>157</v>
      </c>
      <c r="K35" s="39"/>
      <c r="L35" s="39"/>
      <c r="M35" s="39"/>
      <c r="N35" s="39"/>
      <c r="O35" s="39"/>
      <c r="P35" s="39"/>
      <c r="Q35" s="39"/>
    </row>
    <row r="36" outlineLevel="1">
      <c r="A36" s="192" t="s">
        <v>40</v>
      </c>
      <c r="B36" s="83" t="s">
        <v>239</v>
      </c>
      <c r="C36" s="194"/>
      <c r="D36" s="195"/>
      <c r="E36" s="13">
        <f t="shared" si="2"/>
        <v>6</v>
      </c>
      <c r="F36" s="54">
        <v>44317.0</v>
      </c>
      <c r="G36" s="70"/>
      <c r="H36" s="36">
        <v>1.0</v>
      </c>
      <c r="I36" s="197"/>
      <c r="J36" s="103" t="s">
        <v>157</v>
      </c>
      <c r="K36" s="84"/>
      <c r="L36" s="84"/>
      <c r="M36" s="84"/>
      <c r="N36" s="84"/>
      <c r="O36" s="84"/>
      <c r="P36" s="84"/>
      <c r="Q36" s="84"/>
    </row>
    <row r="37" outlineLevel="1">
      <c r="A37" s="192" t="s">
        <v>40</v>
      </c>
      <c r="B37" s="44" t="s">
        <v>242</v>
      </c>
      <c r="C37" s="13"/>
      <c r="D37" s="14"/>
      <c r="E37" s="13">
        <f t="shared" si="2"/>
        <v>6</v>
      </c>
      <c r="F37" s="54">
        <v>44321.0</v>
      </c>
      <c r="G37" s="45"/>
      <c r="H37" s="46">
        <v>132.66</v>
      </c>
      <c r="I37" s="47"/>
      <c r="J37" s="21" t="s">
        <v>243</v>
      </c>
      <c r="K37" s="39"/>
      <c r="L37" s="39"/>
      <c r="M37" s="39"/>
      <c r="N37" s="39"/>
      <c r="O37" s="39"/>
      <c r="P37" s="39"/>
      <c r="Q37" s="39"/>
    </row>
    <row r="38" outlineLevel="1">
      <c r="A38" s="192" t="s">
        <v>40</v>
      </c>
      <c r="B38" s="44" t="s">
        <v>47</v>
      </c>
      <c r="C38" s="13"/>
      <c r="D38" s="14"/>
      <c r="E38" s="13">
        <f t="shared" si="2"/>
        <v>6</v>
      </c>
      <c r="F38" s="54">
        <v>44334.0</v>
      </c>
      <c r="G38" s="45"/>
      <c r="H38" s="46">
        <v>13.7</v>
      </c>
      <c r="I38" s="47"/>
      <c r="J38" s="21" t="s">
        <v>48</v>
      </c>
      <c r="K38" s="39"/>
      <c r="L38" s="39"/>
      <c r="M38" s="39"/>
      <c r="N38" s="39"/>
      <c r="O38" s="39"/>
      <c r="P38" s="39"/>
      <c r="Q38" s="39"/>
    </row>
    <row r="39" outlineLevel="1">
      <c r="A39" s="192" t="s">
        <v>40</v>
      </c>
      <c r="B39" s="44" t="s">
        <v>244</v>
      </c>
      <c r="C39" s="13"/>
      <c r="D39" s="14"/>
      <c r="E39" s="13">
        <f t="shared" si="2"/>
        <v>6</v>
      </c>
      <c r="F39" s="54">
        <v>44337.0</v>
      </c>
      <c r="G39" s="45"/>
      <c r="H39" s="46">
        <v>32.9</v>
      </c>
      <c r="I39" s="47"/>
      <c r="J39" s="21" t="s">
        <v>281</v>
      </c>
      <c r="K39" s="39"/>
      <c r="L39" s="39"/>
      <c r="M39" s="39"/>
      <c r="N39" s="39"/>
      <c r="O39" s="39"/>
      <c r="P39" s="39"/>
      <c r="Q39" s="39"/>
    </row>
    <row r="40" outlineLevel="1">
      <c r="A40" s="192" t="s">
        <v>40</v>
      </c>
      <c r="B40" s="44" t="s">
        <v>355</v>
      </c>
      <c r="C40" s="13"/>
      <c r="D40" s="14"/>
      <c r="E40" s="13">
        <f t="shared" si="2"/>
        <v>6</v>
      </c>
      <c r="F40" s="54">
        <v>44337.0</v>
      </c>
      <c r="G40" s="45"/>
      <c r="H40" s="46">
        <v>1.87</v>
      </c>
      <c r="I40" s="47"/>
      <c r="J40" s="21" t="s">
        <v>327</v>
      </c>
      <c r="K40" s="39"/>
      <c r="L40" s="39"/>
      <c r="M40" s="39"/>
      <c r="N40" s="39"/>
      <c r="O40" s="39"/>
      <c r="P40" s="39"/>
      <c r="Q40" s="39"/>
    </row>
    <row r="41" outlineLevel="1">
      <c r="A41" s="192"/>
      <c r="B41" s="44"/>
      <c r="C41" s="13"/>
      <c r="D41" s="14"/>
      <c r="E41" s="13">
        <f t="shared" si="2"/>
        <v>6</v>
      </c>
      <c r="F41" s="54"/>
      <c r="G41" s="45"/>
      <c r="H41" s="46"/>
      <c r="I41" s="47"/>
      <c r="J41" s="21"/>
      <c r="K41" s="39"/>
      <c r="L41" s="39"/>
      <c r="M41" s="39"/>
      <c r="N41" s="39"/>
      <c r="O41" s="39"/>
      <c r="P41" s="39"/>
      <c r="Q41" s="39"/>
    </row>
    <row r="42">
      <c r="A42" s="192" t="s">
        <v>5</v>
      </c>
      <c r="B42" s="90" t="s">
        <v>59</v>
      </c>
      <c r="C42" s="13">
        <v>8.0</v>
      </c>
      <c r="D42" s="14" t="str">
        <f t="shared" ref="D42:D48" si="3">UPPER(TEXT(WEEKDAY(DATEVALUE(CONCATENATE(C42,"/",$C$3,"/",$A$1))),"DDD"))</f>
        <v>TER.</v>
      </c>
      <c r="E42" s="13">
        <f t="shared" si="2"/>
        <v>6</v>
      </c>
      <c r="F42" s="87">
        <v>44348.0</v>
      </c>
      <c r="G42" s="56"/>
      <c r="H42" s="88">
        <v>539.99</v>
      </c>
      <c r="I42" s="58" t="s">
        <v>17</v>
      </c>
      <c r="J42" s="21" t="s">
        <v>60</v>
      </c>
      <c r="K42" s="59"/>
      <c r="L42" s="59"/>
      <c r="M42" s="59"/>
      <c r="N42" s="59"/>
      <c r="O42" s="59"/>
      <c r="P42" s="59"/>
      <c r="Q42" s="59"/>
    </row>
    <row r="43">
      <c r="A43" s="192" t="s">
        <v>5</v>
      </c>
      <c r="B43" s="39" t="s">
        <v>61</v>
      </c>
      <c r="C43" s="13">
        <v>8.0</v>
      </c>
      <c r="D43" s="14" t="str">
        <f t="shared" si="3"/>
        <v>TER.</v>
      </c>
      <c r="E43" s="13">
        <f t="shared" si="2"/>
        <v>6</v>
      </c>
      <c r="F43" s="87">
        <v>44351.0</v>
      </c>
      <c r="G43" s="45"/>
      <c r="H43" s="46">
        <v>179.27</v>
      </c>
      <c r="I43" s="58" t="s">
        <v>17</v>
      </c>
      <c r="J43" s="21" t="s">
        <v>62</v>
      </c>
      <c r="K43" s="39"/>
      <c r="L43" s="39"/>
      <c r="M43" s="39"/>
      <c r="N43" s="39"/>
      <c r="O43" s="39"/>
      <c r="P43" s="39"/>
      <c r="Q43" s="39"/>
    </row>
    <row r="44">
      <c r="A44" s="192" t="s">
        <v>5</v>
      </c>
      <c r="B44" s="61" t="s">
        <v>21</v>
      </c>
      <c r="C44" s="13">
        <v>8.0</v>
      </c>
      <c r="D44" s="14" t="str">
        <f t="shared" si="3"/>
        <v>TER.</v>
      </c>
      <c r="E44" s="13">
        <f t="shared" si="2"/>
        <v>6</v>
      </c>
      <c r="F44" s="26"/>
      <c r="G44" s="56"/>
      <c r="H44" s="63">
        <v>321.66</v>
      </c>
      <c r="I44" s="58" t="s">
        <v>252</v>
      </c>
      <c r="J44" s="21" t="s">
        <v>22</v>
      </c>
      <c r="K44" s="59"/>
      <c r="L44" s="59"/>
      <c r="M44" s="59"/>
      <c r="N44" s="59"/>
      <c r="O44" s="59"/>
      <c r="P44" s="59"/>
      <c r="Q44" s="59"/>
    </row>
    <row r="45">
      <c r="A45" s="95" t="s">
        <v>5</v>
      </c>
      <c r="B45" s="42" t="s">
        <v>114</v>
      </c>
      <c r="C45" s="66">
        <v>9.0</v>
      </c>
      <c r="D45" s="14" t="str">
        <f t="shared" si="3"/>
        <v>QUA.</v>
      </c>
      <c r="E45" s="13">
        <f t="shared" si="2"/>
        <v>6</v>
      </c>
      <c r="F45" s="43"/>
      <c r="G45" s="45"/>
      <c r="H45" s="53">
        <v>2500.0</v>
      </c>
      <c r="I45" s="65" t="s">
        <v>15</v>
      </c>
      <c r="J45" s="44" t="s">
        <v>115</v>
      </c>
      <c r="K45" s="68"/>
      <c r="L45" s="68"/>
      <c r="M45" s="68"/>
      <c r="N45" s="68"/>
      <c r="O45" s="68"/>
      <c r="P45" s="68"/>
      <c r="Q45" s="68"/>
    </row>
    <row r="46">
      <c r="A46" s="192" t="s">
        <v>5</v>
      </c>
      <c r="B46" s="34" t="s">
        <v>225</v>
      </c>
      <c r="C46" s="13">
        <v>9.0</v>
      </c>
      <c r="D46" s="14" t="str">
        <f t="shared" si="3"/>
        <v>QUA.</v>
      </c>
      <c r="E46" s="13">
        <f t="shared" si="2"/>
        <v>6</v>
      </c>
      <c r="F46" s="87">
        <v>44351.0</v>
      </c>
      <c r="G46" s="56"/>
      <c r="H46" s="63">
        <v>735.0</v>
      </c>
      <c r="I46" s="58" t="s">
        <v>17</v>
      </c>
      <c r="J46" s="21" t="s">
        <v>67</v>
      </c>
      <c r="K46" s="59"/>
      <c r="L46" s="59"/>
      <c r="M46" s="59"/>
      <c r="N46" s="59"/>
      <c r="O46" s="59"/>
      <c r="P46" s="59"/>
      <c r="Q46" s="59"/>
    </row>
    <row r="47">
      <c r="A47" s="192" t="s">
        <v>5</v>
      </c>
      <c r="B47" s="44" t="s">
        <v>74</v>
      </c>
      <c r="C47" s="13">
        <v>10.0</v>
      </c>
      <c r="D47" s="14" t="str">
        <f t="shared" si="3"/>
        <v>QUI.</v>
      </c>
      <c r="E47" s="13">
        <f t="shared" si="2"/>
        <v>6</v>
      </c>
      <c r="F47" s="87">
        <v>44351.0</v>
      </c>
      <c r="G47" s="45"/>
      <c r="H47" s="46">
        <v>102.0</v>
      </c>
      <c r="I47" s="58" t="s">
        <v>17</v>
      </c>
      <c r="J47" s="21" t="s">
        <v>75</v>
      </c>
      <c r="K47" s="39"/>
      <c r="L47" s="39"/>
      <c r="M47" s="39"/>
      <c r="N47" s="39"/>
      <c r="O47" s="39"/>
      <c r="P47" s="39"/>
      <c r="Q47" s="39"/>
    </row>
    <row r="48">
      <c r="A48" s="180" t="s">
        <v>5</v>
      </c>
      <c r="B48" s="177" t="s">
        <v>84</v>
      </c>
      <c r="C48" s="148">
        <v>11.0</v>
      </c>
      <c r="D48" s="25" t="str">
        <f t="shared" si="3"/>
        <v>SEX.</v>
      </c>
      <c r="E48" s="13">
        <f t="shared" si="2"/>
        <v>6</v>
      </c>
      <c r="F48" s="87">
        <v>44354.0</v>
      </c>
      <c r="G48" s="56"/>
      <c r="H48" s="101">
        <f>SUM(H49:H54)</f>
        <v>1260.77</v>
      </c>
      <c r="I48" s="23" t="s">
        <v>17</v>
      </c>
      <c r="J48" s="40"/>
      <c r="K48" s="56"/>
      <c r="L48" s="56"/>
      <c r="M48" s="56"/>
      <c r="N48" s="56"/>
      <c r="O48" s="56"/>
      <c r="P48" s="56"/>
      <c r="Q48" s="56"/>
    </row>
    <row r="49" outlineLevel="1">
      <c r="A49" s="23" t="s">
        <v>40</v>
      </c>
      <c r="B49" s="177" t="s">
        <v>356</v>
      </c>
      <c r="C49" s="200"/>
      <c r="D49" s="201"/>
      <c r="E49" s="13">
        <f t="shared" si="2"/>
        <v>6</v>
      </c>
      <c r="F49" s="202">
        <v>44324.0</v>
      </c>
      <c r="G49" s="203"/>
      <c r="H49" s="101">
        <v>103.9</v>
      </c>
      <c r="I49" s="23"/>
      <c r="J49" s="34" t="s">
        <v>357</v>
      </c>
      <c r="K49" s="203"/>
      <c r="L49" s="203"/>
      <c r="M49" s="203"/>
      <c r="N49" s="203"/>
      <c r="O49" s="203"/>
      <c r="P49" s="203"/>
      <c r="Q49" s="203"/>
    </row>
    <row r="50" outlineLevel="1">
      <c r="A50" s="65" t="s">
        <v>40</v>
      </c>
      <c r="B50" s="185" t="s">
        <v>358</v>
      </c>
      <c r="C50" s="204"/>
      <c r="D50" s="205"/>
      <c r="E50" s="13">
        <f t="shared" si="2"/>
        <v>6</v>
      </c>
      <c r="F50" s="85">
        <v>44328.0</v>
      </c>
      <c r="G50" s="206"/>
      <c r="H50" s="53">
        <v>451.0</v>
      </c>
      <c r="I50" s="65"/>
      <c r="J50" s="44" t="s">
        <v>359</v>
      </c>
      <c r="K50" s="206"/>
      <c r="L50" s="206"/>
      <c r="M50" s="206"/>
      <c r="N50" s="206"/>
      <c r="O50" s="206"/>
      <c r="P50" s="206"/>
      <c r="Q50" s="206"/>
    </row>
    <row r="51" outlineLevel="1">
      <c r="A51" s="23" t="s">
        <v>40</v>
      </c>
      <c r="B51" s="177" t="s">
        <v>360</v>
      </c>
      <c r="C51" s="200"/>
      <c r="D51" s="201"/>
      <c r="E51" s="13">
        <f t="shared" si="2"/>
        <v>6</v>
      </c>
      <c r="F51" s="202">
        <v>44328.0</v>
      </c>
      <c r="G51" s="203"/>
      <c r="H51" s="101">
        <v>558.0</v>
      </c>
      <c r="I51" s="23"/>
      <c r="J51" s="34" t="s">
        <v>359</v>
      </c>
      <c r="K51" s="203"/>
      <c r="L51" s="203"/>
      <c r="M51" s="203"/>
      <c r="N51" s="203"/>
      <c r="O51" s="203"/>
      <c r="P51" s="203"/>
      <c r="Q51" s="203"/>
    </row>
    <row r="52" outlineLevel="1">
      <c r="A52" s="65" t="s">
        <v>40</v>
      </c>
      <c r="B52" s="185" t="s">
        <v>361</v>
      </c>
      <c r="C52" s="204"/>
      <c r="D52" s="205"/>
      <c r="E52" s="13">
        <f t="shared" si="2"/>
        <v>6</v>
      </c>
      <c r="F52" s="85">
        <v>44328.0</v>
      </c>
      <c r="G52" s="206"/>
      <c r="H52" s="53">
        <v>129.98</v>
      </c>
      <c r="I52" s="65"/>
      <c r="J52" s="44" t="s">
        <v>362</v>
      </c>
      <c r="K52" s="206"/>
      <c r="L52" s="206"/>
      <c r="M52" s="206"/>
      <c r="N52" s="206"/>
      <c r="O52" s="206"/>
      <c r="P52" s="206"/>
      <c r="Q52" s="206"/>
    </row>
    <row r="53" outlineLevel="1">
      <c r="A53" s="23" t="s">
        <v>40</v>
      </c>
      <c r="B53" s="177" t="s">
        <v>311</v>
      </c>
      <c r="C53" s="200"/>
      <c r="D53" s="201"/>
      <c r="E53" s="13">
        <f t="shared" si="2"/>
        <v>6</v>
      </c>
      <c r="F53" s="202">
        <v>44331.0</v>
      </c>
      <c r="G53" s="203"/>
      <c r="H53" s="101">
        <v>7.99</v>
      </c>
      <c r="I53" s="23"/>
      <c r="J53" s="34" t="s">
        <v>309</v>
      </c>
      <c r="K53" s="203"/>
      <c r="L53" s="203"/>
      <c r="M53" s="203"/>
      <c r="N53" s="203"/>
      <c r="O53" s="203"/>
      <c r="P53" s="203"/>
      <c r="Q53" s="203"/>
    </row>
    <row r="54" outlineLevel="1">
      <c r="A54" s="95" t="s">
        <v>40</v>
      </c>
      <c r="B54" s="42" t="s">
        <v>87</v>
      </c>
      <c r="C54" s="204"/>
      <c r="D54" s="205"/>
      <c r="E54" s="13">
        <f t="shared" si="2"/>
        <v>6</v>
      </c>
      <c r="F54" s="85">
        <v>44342.0</v>
      </c>
      <c r="G54" s="206"/>
      <c r="H54" s="53">
        <v>9.9</v>
      </c>
      <c r="I54" s="65"/>
      <c r="J54" s="44" t="s">
        <v>88</v>
      </c>
      <c r="K54" s="191"/>
      <c r="L54" s="191"/>
      <c r="M54" s="191"/>
      <c r="N54" s="191"/>
      <c r="O54" s="191"/>
      <c r="P54" s="191"/>
      <c r="Q54" s="191"/>
    </row>
    <row r="55">
      <c r="A55" s="11" t="s">
        <v>5</v>
      </c>
      <c r="B55" s="44" t="s">
        <v>37</v>
      </c>
      <c r="C55" s="13">
        <v>11.0</v>
      </c>
      <c r="D55" s="14" t="str">
        <f t="shared" ref="D55:D91" si="4">UPPER(TEXT(WEEKDAY(DATEVALUE(CONCATENATE(C55,"/",$C$3,"/",$A$1))),"DDD"))</f>
        <v>SEX.</v>
      </c>
      <c r="E55" s="13">
        <f t="shared" si="2"/>
        <v>6</v>
      </c>
      <c r="F55" s="43"/>
      <c r="G55" s="46">
        <v>1000.0</v>
      </c>
      <c r="H55" s="46"/>
      <c r="I55" s="47" t="s">
        <v>17</v>
      </c>
      <c r="J55" s="21" t="s">
        <v>363</v>
      </c>
      <c r="K55" s="39"/>
      <c r="L55" s="39"/>
      <c r="M55" s="39"/>
      <c r="N55" s="39"/>
      <c r="O55" s="39"/>
      <c r="P55" s="39"/>
      <c r="Q55" s="39"/>
    </row>
    <row r="56">
      <c r="A56" s="11" t="s">
        <v>5</v>
      </c>
      <c r="B56" s="44" t="s">
        <v>364</v>
      </c>
      <c r="C56" s="13">
        <v>11.0</v>
      </c>
      <c r="D56" s="14" t="str">
        <f t="shared" si="4"/>
        <v>SEX.</v>
      </c>
      <c r="E56" s="13">
        <f t="shared" si="2"/>
        <v>6</v>
      </c>
      <c r="F56" s="43"/>
      <c r="G56" s="46"/>
      <c r="H56" s="46">
        <v>1000.0</v>
      </c>
      <c r="I56" s="47" t="s">
        <v>17</v>
      </c>
      <c r="J56" s="21" t="s">
        <v>365</v>
      </c>
      <c r="K56" s="39"/>
      <c r="L56" s="39"/>
      <c r="M56" s="39"/>
      <c r="N56" s="39"/>
      <c r="O56" s="39"/>
      <c r="P56" s="39"/>
      <c r="Q56" s="39"/>
    </row>
    <row r="57">
      <c r="A57" s="192" t="s">
        <v>5</v>
      </c>
      <c r="B57" s="29" t="s">
        <v>305</v>
      </c>
      <c r="C57" s="73">
        <v>15.0</v>
      </c>
      <c r="D57" s="74" t="str">
        <f t="shared" si="4"/>
        <v>TER.</v>
      </c>
      <c r="E57" s="13">
        <f t="shared" si="2"/>
        <v>6</v>
      </c>
      <c r="F57" s="30"/>
      <c r="G57" s="31"/>
      <c r="H57" s="153">
        <v>100.0</v>
      </c>
      <c r="I57" s="71" t="s">
        <v>17</v>
      </c>
      <c r="J57" s="72" t="s">
        <v>306</v>
      </c>
      <c r="K57" s="31"/>
      <c r="L57" s="31"/>
      <c r="M57" s="31"/>
      <c r="N57" s="31"/>
      <c r="O57" s="31"/>
      <c r="P57" s="31"/>
      <c r="Q57" s="31"/>
    </row>
    <row r="58">
      <c r="A58" s="192" t="s">
        <v>5</v>
      </c>
      <c r="B58" s="198" t="s">
        <v>260</v>
      </c>
      <c r="C58" s="80">
        <v>15.0</v>
      </c>
      <c r="D58" s="81" t="str">
        <f t="shared" si="4"/>
        <v>TER.</v>
      </c>
      <c r="E58" s="13">
        <f t="shared" si="2"/>
        <v>6</v>
      </c>
      <c r="F58" s="35"/>
      <c r="G58" s="36">
        <v>5000.0</v>
      </c>
      <c r="H58" s="70"/>
      <c r="I58" s="78" t="s">
        <v>261</v>
      </c>
      <c r="J58" s="103" t="s">
        <v>64</v>
      </c>
      <c r="K58" s="70"/>
      <c r="L58" s="70"/>
      <c r="M58" s="70"/>
      <c r="N58" s="70"/>
      <c r="O58" s="70"/>
      <c r="P58" s="70"/>
      <c r="Q58" s="70"/>
    </row>
    <row r="59">
      <c r="A59" s="41" t="s">
        <v>5</v>
      </c>
      <c r="B59" s="39" t="s">
        <v>26</v>
      </c>
      <c r="C59" s="66">
        <v>15.0</v>
      </c>
      <c r="D59" s="14" t="str">
        <f t="shared" si="4"/>
        <v>TER.</v>
      </c>
      <c r="E59" s="13">
        <f t="shared" si="2"/>
        <v>6</v>
      </c>
      <c r="F59" s="43"/>
      <c r="G59" s="45"/>
      <c r="H59" s="53">
        <v>5000.0</v>
      </c>
      <c r="I59" s="67" t="s">
        <v>261</v>
      </c>
      <c r="J59" s="42" t="s">
        <v>366</v>
      </c>
      <c r="K59" s="68"/>
      <c r="L59" s="68"/>
      <c r="M59" s="68"/>
      <c r="N59" s="68"/>
      <c r="O59" s="68"/>
      <c r="P59" s="68"/>
      <c r="Q59" s="68"/>
    </row>
    <row r="60">
      <c r="A60" s="180" t="s">
        <v>5</v>
      </c>
      <c r="B60" s="61" t="s">
        <v>27</v>
      </c>
      <c r="C60" s="148">
        <v>15.0</v>
      </c>
      <c r="D60" s="25" t="str">
        <f t="shared" si="4"/>
        <v>TER.</v>
      </c>
      <c r="E60" s="13">
        <f t="shared" si="2"/>
        <v>6</v>
      </c>
      <c r="F60" s="26"/>
      <c r="G60" s="101">
        <v>5000.0</v>
      </c>
      <c r="H60" s="56"/>
      <c r="I60" s="64" t="s">
        <v>17</v>
      </c>
      <c r="J60" s="40" t="s">
        <v>367</v>
      </c>
      <c r="K60" s="59"/>
      <c r="L60" s="59"/>
      <c r="M60" s="59"/>
      <c r="N60" s="59"/>
      <c r="O60" s="59"/>
      <c r="P60" s="59"/>
      <c r="Q60" s="59"/>
    </row>
    <row r="61">
      <c r="A61" s="192" t="s">
        <v>5</v>
      </c>
      <c r="B61" s="39" t="s">
        <v>102</v>
      </c>
      <c r="C61" s="13">
        <v>15.0</v>
      </c>
      <c r="D61" s="14" t="str">
        <f t="shared" si="4"/>
        <v>TER.</v>
      </c>
      <c r="E61" s="13">
        <f t="shared" si="2"/>
        <v>6</v>
      </c>
      <c r="F61" s="94"/>
      <c r="G61" s="45"/>
      <c r="H61" s="46">
        <v>208.7</v>
      </c>
      <c r="I61" s="58" t="s">
        <v>17</v>
      </c>
      <c r="J61" s="21" t="s">
        <v>75</v>
      </c>
      <c r="K61" s="39"/>
      <c r="L61" s="39"/>
      <c r="M61" s="39"/>
      <c r="N61" s="39"/>
      <c r="O61" s="39"/>
      <c r="P61" s="39"/>
      <c r="Q61" s="39"/>
    </row>
    <row r="62">
      <c r="A62" s="192" t="s">
        <v>5</v>
      </c>
      <c r="B62" s="61" t="s">
        <v>103</v>
      </c>
      <c r="C62" s="13">
        <v>15.0</v>
      </c>
      <c r="D62" s="14" t="str">
        <f t="shared" si="4"/>
        <v>TER.</v>
      </c>
      <c r="E62" s="13">
        <f t="shared" si="2"/>
        <v>6</v>
      </c>
      <c r="F62" s="94"/>
      <c r="G62" s="56"/>
      <c r="H62" s="63">
        <v>208.7</v>
      </c>
      <c r="I62" s="58" t="s">
        <v>17</v>
      </c>
      <c r="J62" s="21" t="s">
        <v>75</v>
      </c>
      <c r="K62" s="61"/>
      <c r="L62" s="61"/>
      <c r="M62" s="61"/>
      <c r="N62" s="61"/>
      <c r="O62" s="61"/>
      <c r="P62" s="61"/>
      <c r="Q62" s="61"/>
    </row>
    <row r="63">
      <c r="A63" s="192" t="s">
        <v>5</v>
      </c>
      <c r="B63" s="39" t="s">
        <v>104</v>
      </c>
      <c r="C63" s="13">
        <v>15.0</v>
      </c>
      <c r="D63" s="14" t="str">
        <f t="shared" si="4"/>
        <v>TER.</v>
      </c>
      <c r="E63" s="13">
        <f t="shared" si="2"/>
        <v>6</v>
      </c>
      <c r="F63" s="94"/>
      <c r="G63" s="45"/>
      <c r="H63" s="46">
        <v>263.88</v>
      </c>
      <c r="I63" s="58" t="s">
        <v>17</v>
      </c>
      <c r="J63" s="21" t="s">
        <v>75</v>
      </c>
      <c r="K63" s="39"/>
      <c r="L63" s="39"/>
      <c r="M63" s="39"/>
      <c r="N63" s="39"/>
      <c r="O63" s="39"/>
      <c r="P63" s="39"/>
      <c r="Q63" s="39"/>
    </row>
    <row r="64">
      <c r="A64" s="78" t="s">
        <v>25</v>
      </c>
      <c r="B64" s="79" t="s">
        <v>26</v>
      </c>
      <c r="C64" s="150">
        <v>15.0</v>
      </c>
      <c r="D64" s="81" t="str">
        <f t="shared" si="4"/>
        <v>TER.</v>
      </c>
      <c r="E64" s="13">
        <f t="shared" si="2"/>
        <v>6</v>
      </c>
      <c r="F64" s="35"/>
      <c r="G64" s="46"/>
      <c r="H64" s="46">
        <v>200.0</v>
      </c>
      <c r="I64" s="82" t="s">
        <v>17</v>
      </c>
      <c r="J64" s="79"/>
      <c r="K64" s="84"/>
      <c r="L64" s="84"/>
      <c r="M64" s="84"/>
      <c r="N64" s="84"/>
      <c r="O64" s="84"/>
      <c r="P64" s="84"/>
      <c r="Q64" s="84"/>
    </row>
    <row r="65">
      <c r="A65" s="71" t="s">
        <v>25</v>
      </c>
      <c r="B65" s="72" t="s">
        <v>27</v>
      </c>
      <c r="C65" s="73">
        <v>15.0</v>
      </c>
      <c r="D65" s="74" t="str">
        <f t="shared" si="4"/>
        <v>TER.</v>
      </c>
      <c r="E65" s="13">
        <f t="shared" si="2"/>
        <v>6</v>
      </c>
      <c r="F65" s="30"/>
      <c r="G65" s="46">
        <v>200.0</v>
      </c>
      <c r="H65" s="46"/>
      <c r="I65" s="75" t="s">
        <v>13</v>
      </c>
      <c r="J65" s="72"/>
      <c r="K65" s="77"/>
      <c r="L65" s="77"/>
      <c r="M65" s="77"/>
      <c r="N65" s="77"/>
      <c r="O65" s="77"/>
      <c r="P65" s="77"/>
      <c r="Q65" s="77"/>
    </row>
    <row r="66">
      <c r="A66" s="102" t="s">
        <v>5</v>
      </c>
      <c r="B66" s="83" t="s">
        <v>368</v>
      </c>
      <c r="C66" s="207">
        <v>11.0</v>
      </c>
      <c r="D66" s="81" t="str">
        <f t="shared" si="4"/>
        <v>SEX.</v>
      </c>
      <c r="E66" s="13">
        <f t="shared" si="2"/>
        <v>6</v>
      </c>
      <c r="F66" s="35"/>
      <c r="G66" s="151"/>
      <c r="H66" s="36">
        <v>2000.0</v>
      </c>
      <c r="I66" s="78" t="s">
        <v>17</v>
      </c>
      <c r="J66" s="199" t="s">
        <v>363</v>
      </c>
      <c r="K66" s="84"/>
      <c r="L66" s="84"/>
      <c r="M66" s="84"/>
      <c r="N66" s="84"/>
      <c r="O66" s="84"/>
      <c r="P66" s="84"/>
      <c r="Q66" s="84"/>
    </row>
    <row r="67">
      <c r="A67" s="192" t="s">
        <v>5</v>
      </c>
      <c r="B67" s="79" t="s">
        <v>117</v>
      </c>
      <c r="C67" s="80">
        <v>17.0</v>
      </c>
      <c r="D67" s="81" t="str">
        <f t="shared" si="4"/>
        <v>QUI.</v>
      </c>
      <c r="E67" s="13">
        <f t="shared" si="2"/>
        <v>6</v>
      </c>
      <c r="F67" s="35"/>
      <c r="G67" s="70"/>
      <c r="H67" s="151">
        <v>20.0</v>
      </c>
      <c r="I67" s="78" t="s">
        <v>17</v>
      </c>
      <c r="J67" s="199" t="s">
        <v>118</v>
      </c>
      <c r="K67" s="84"/>
      <c r="L67" s="84"/>
      <c r="M67" s="84"/>
      <c r="N67" s="84"/>
      <c r="O67" s="84"/>
      <c r="P67" s="84"/>
      <c r="Q67" s="84"/>
    </row>
    <row r="68">
      <c r="A68" s="158" t="s">
        <v>5</v>
      </c>
      <c r="B68" s="55" t="s">
        <v>130</v>
      </c>
      <c r="C68" s="62">
        <v>17.0</v>
      </c>
      <c r="D68" s="81" t="str">
        <f t="shared" si="4"/>
        <v>QUI.</v>
      </c>
      <c r="E68" s="13">
        <f t="shared" si="2"/>
        <v>6</v>
      </c>
      <c r="F68" s="208"/>
      <c r="G68" s="56"/>
      <c r="H68" s="88">
        <v>37.02</v>
      </c>
      <c r="I68" s="60" t="s">
        <v>17</v>
      </c>
      <c r="J68" s="90" t="s">
        <v>369</v>
      </c>
      <c r="K68" s="59"/>
      <c r="L68" s="59"/>
      <c r="M68" s="59"/>
      <c r="N68" s="59"/>
      <c r="O68" s="59"/>
      <c r="P68" s="59"/>
      <c r="Q68" s="59"/>
    </row>
    <row r="69">
      <c r="A69" s="192" t="s">
        <v>5</v>
      </c>
      <c r="B69" s="83" t="s">
        <v>370</v>
      </c>
      <c r="C69" s="13">
        <v>18.0</v>
      </c>
      <c r="D69" s="14" t="str">
        <f t="shared" si="4"/>
        <v>SEX.</v>
      </c>
      <c r="E69" s="13">
        <f t="shared" si="2"/>
        <v>6</v>
      </c>
      <c r="F69" s="35"/>
      <c r="G69" s="36"/>
      <c r="H69" s="36">
        <v>100.0</v>
      </c>
      <c r="I69" s="78" t="s">
        <v>17</v>
      </c>
      <c r="J69" s="21" t="s">
        <v>371</v>
      </c>
      <c r="K69" s="84"/>
      <c r="L69" s="84"/>
      <c r="M69" s="84"/>
      <c r="N69" s="84"/>
      <c r="O69" s="84"/>
      <c r="P69" s="84"/>
      <c r="Q69" s="84"/>
    </row>
    <row r="70">
      <c r="A70" s="192" t="s">
        <v>5</v>
      </c>
      <c r="B70" s="44" t="s">
        <v>372</v>
      </c>
      <c r="C70" s="13">
        <v>20.0</v>
      </c>
      <c r="D70" s="14" t="str">
        <f t="shared" si="4"/>
        <v>DOM.</v>
      </c>
      <c r="E70" s="13">
        <f t="shared" si="2"/>
        <v>6</v>
      </c>
      <c r="F70" s="85"/>
      <c r="G70" s="45"/>
      <c r="H70" s="46">
        <v>62.8</v>
      </c>
      <c r="I70" s="58" t="s">
        <v>252</v>
      </c>
      <c r="J70" s="21" t="s">
        <v>20</v>
      </c>
      <c r="K70" s="21"/>
      <c r="L70" s="21"/>
      <c r="M70" s="21"/>
      <c r="N70" s="21"/>
      <c r="O70" s="39"/>
      <c r="P70" s="39"/>
      <c r="Q70" s="39"/>
    </row>
    <row r="71">
      <c r="A71" s="192" t="s">
        <v>5</v>
      </c>
      <c r="B71" s="39" t="s">
        <v>121</v>
      </c>
      <c r="C71" s="13">
        <v>21.0</v>
      </c>
      <c r="D71" s="14" t="str">
        <f t="shared" si="4"/>
        <v>SEG.</v>
      </c>
      <c r="E71" s="13">
        <f t="shared" si="2"/>
        <v>6</v>
      </c>
      <c r="F71" s="94"/>
      <c r="G71" s="45"/>
      <c r="H71" s="53">
        <v>140.0</v>
      </c>
      <c r="I71" s="58" t="s">
        <v>13</v>
      </c>
      <c r="J71" s="21" t="s">
        <v>122</v>
      </c>
      <c r="K71" s="39"/>
      <c r="L71" s="39"/>
      <c r="M71" s="39"/>
      <c r="N71" s="39"/>
      <c r="O71" s="39"/>
      <c r="P71" s="39"/>
      <c r="Q71" s="39"/>
    </row>
    <row r="72">
      <c r="A72" s="192" t="s">
        <v>5</v>
      </c>
      <c r="B72" s="90" t="s">
        <v>301</v>
      </c>
      <c r="C72" s="13">
        <v>21.0</v>
      </c>
      <c r="D72" s="14" t="str">
        <f t="shared" si="4"/>
        <v>SEG.</v>
      </c>
      <c r="E72" s="13">
        <f t="shared" si="2"/>
        <v>6</v>
      </c>
      <c r="F72" s="26"/>
      <c r="G72" s="56"/>
      <c r="H72" s="88">
        <v>0.0</v>
      </c>
      <c r="I72" s="58" t="s">
        <v>17</v>
      </c>
      <c r="J72" s="21" t="s">
        <v>124</v>
      </c>
      <c r="K72" s="55"/>
      <c r="L72" s="55"/>
      <c r="M72" s="55"/>
      <c r="N72" s="55"/>
      <c r="O72" s="55"/>
      <c r="P72" s="55"/>
      <c r="Q72" s="55"/>
    </row>
    <row r="73">
      <c r="A73" s="192" t="s">
        <v>5</v>
      </c>
      <c r="B73" s="39" t="s">
        <v>125</v>
      </c>
      <c r="C73" s="13">
        <v>20.0</v>
      </c>
      <c r="D73" s="14" t="str">
        <f t="shared" si="4"/>
        <v>DOM.</v>
      </c>
      <c r="E73" s="13">
        <f t="shared" si="2"/>
        <v>6</v>
      </c>
      <c r="F73" s="87">
        <v>44362.0</v>
      </c>
      <c r="G73" s="45"/>
      <c r="H73" s="46">
        <v>373.41</v>
      </c>
      <c r="I73" s="58" t="s">
        <v>17</v>
      </c>
      <c r="J73" s="21" t="s">
        <v>126</v>
      </c>
      <c r="K73" s="39"/>
      <c r="L73" s="39"/>
      <c r="M73" s="39"/>
      <c r="N73" s="39"/>
      <c r="O73" s="39"/>
      <c r="P73" s="39"/>
      <c r="Q73" s="39"/>
    </row>
    <row r="74">
      <c r="A74" s="78" t="s">
        <v>25</v>
      </c>
      <c r="B74" s="79" t="s">
        <v>26</v>
      </c>
      <c r="C74" s="150">
        <v>21.0</v>
      </c>
      <c r="D74" s="81" t="str">
        <f t="shared" si="4"/>
        <v>SEG.</v>
      </c>
      <c r="E74" s="13">
        <f t="shared" si="2"/>
        <v>6</v>
      </c>
      <c r="F74" s="35"/>
      <c r="G74" s="46"/>
      <c r="H74" s="46">
        <v>140.0</v>
      </c>
      <c r="I74" s="82" t="s">
        <v>17</v>
      </c>
      <c r="J74" s="79"/>
      <c r="K74" s="84"/>
      <c r="L74" s="84"/>
      <c r="M74" s="84"/>
      <c r="N74" s="84"/>
      <c r="O74" s="84"/>
      <c r="P74" s="84"/>
      <c r="Q74" s="84"/>
    </row>
    <row r="75">
      <c r="A75" s="71" t="s">
        <v>25</v>
      </c>
      <c r="B75" s="72" t="s">
        <v>27</v>
      </c>
      <c r="C75" s="73">
        <v>21.0</v>
      </c>
      <c r="D75" s="74" t="str">
        <f t="shared" si="4"/>
        <v>SEG.</v>
      </c>
      <c r="E75" s="13">
        <f t="shared" si="2"/>
        <v>6</v>
      </c>
      <c r="F75" s="30"/>
      <c r="G75" s="46">
        <v>140.0</v>
      </c>
      <c r="H75" s="46"/>
      <c r="I75" s="75" t="s">
        <v>13</v>
      </c>
      <c r="J75" s="72"/>
      <c r="K75" s="77"/>
      <c r="L75" s="77"/>
      <c r="M75" s="77"/>
      <c r="N75" s="77"/>
      <c r="O75" s="77"/>
      <c r="P75" s="77"/>
      <c r="Q75" s="77"/>
    </row>
    <row r="76">
      <c r="A76" s="192" t="s">
        <v>5</v>
      </c>
      <c r="B76" s="177" t="s">
        <v>21</v>
      </c>
      <c r="C76" s="62">
        <v>21.0</v>
      </c>
      <c r="D76" s="25" t="str">
        <f t="shared" si="4"/>
        <v>SEG.</v>
      </c>
      <c r="E76" s="13">
        <f t="shared" si="2"/>
        <v>6</v>
      </c>
      <c r="F76" s="26"/>
      <c r="G76" s="56"/>
      <c r="H76" s="63">
        <v>332.86</v>
      </c>
      <c r="I76" s="33" t="s">
        <v>249</v>
      </c>
      <c r="J76" s="173" t="s">
        <v>22</v>
      </c>
      <c r="K76" s="56"/>
      <c r="L76" s="56"/>
      <c r="M76" s="56"/>
      <c r="N76" s="56"/>
      <c r="O76" s="56"/>
      <c r="P76" s="56"/>
      <c r="Q76" s="56"/>
    </row>
    <row r="77">
      <c r="A77" s="192" t="s">
        <v>5</v>
      </c>
      <c r="B77" s="177" t="s">
        <v>21</v>
      </c>
      <c r="C77" s="62">
        <v>21.0</v>
      </c>
      <c r="D77" s="25" t="str">
        <f t="shared" si="4"/>
        <v>SEG.</v>
      </c>
      <c r="E77" s="13">
        <f t="shared" si="2"/>
        <v>6</v>
      </c>
      <c r="F77" s="26"/>
      <c r="G77" s="56"/>
      <c r="H77" s="63">
        <v>8.65</v>
      </c>
      <c r="I77" s="33" t="s">
        <v>252</v>
      </c>
      <c r="J77" s="173" t="s">
        <v>22</v>
      </c>
      <c r="K77" s="56"/>
      <c r="L77" s="56"/>
      <c r="M77" s="56"/>
      <c r="N77" s="56"/>
      <c r="O77" s="56"/>
      <c r="P77" s="56"/>
      <c r="Q77" s="56"/>
    </row>
    <row r="78">
      <c r="A78" s="192" t="s">
        <v>5</v>
      </c>
      <c r="B78" s="29" t="s">
        <v>305</v>
      </c>
      <c r="C78" s="73">
        <v>23.0</v>
      </c>
      <c r="D78" s="74" t="str">
        <f t="shared" si="4"/>
        <v>QUA.</v>
      </c>
      <c r="E78" s="13">
        <f t="shared" si="2"/>
        <v>6</v>
      </c>
      <c r="F78" s="30"/>
      <c r="G78" s="31"/>
      <c r="H78" s="153">
        <v>100.0</v>
      </c>
      <c r="I78" s="71" t="s">
        <v>17</v>
      </c>
      <c r="J78" s="72" t="s">
        <v>306</v>
      </c>
      <c r="K78" s="31"/>
      <c r="L78" s="31"/>
      <c r="M78" s="31"/>
      <c r="N78" s="31"/>
      <c r="O78" s="31"/>
      <c r="P78" s="31"/>
      <c r="Q78" s="31"/>
    </row>
    <row r="79">
      <c r="A79" s="192" t="s">
        <v>5</v>
      </c>
      <c r="B79" s="34" t="s">
        <v>373</v>
      </c>
      <c r="C79" s="13">
        <v>23.0</v>
      </c>
      <c r="D79" s="14" t="str">
        <f t="shared" si="4"/>
        <v>QUA.</v>
      </c>
      <c r="E79" s="13">
        <f t="shared" si="2"/>
        <v>6</v>
      </c>
      <c r="F79" s="94"/>
      <c r="G79" s="56"/>
      <c r="H79" s="63">
        <v>0.0</v>
      </c>
      <c r="I79" s="58" t="s">
        <v>17</v>
      </c>
      <c r="J79" s="21" t="s">
        <v>128</v>
      </c>
      <c r="K79" s="61"/>
      <c r="L79" s="61"/>
      <c r="M79" s="61"/>
      <c r="N79" s="61"/>
      <c r="O79" s="61"/>
      <c r="P79" s="61"/>
      <c r="Q79" s="61"/>
    </row>
    <row r="80">
      <c r="A80" s="192" t="s">
        <v>5</v>
      </c>
      <c r="B80" s="39" t="s">
        <v>134</v>
      </c>
      <c r="C80" s="13">
        <v>23.0</v>
      </c>
      <c r="D80" s="14" t="str">
        <f t="shared" si="4"/>
        <v>QUA.</v>
      </c>
      <c r="E80" s="13">
        <f t="shared" si="2"/>
        <v>6</v>
      </c>
      <c r="F80" s="43"/>
      <c r="G80" s="45"/>
      <c r="H80" s="46">
        <v>269.32</v>
      </c>
      <c r="I80" s="60" t="s">
        <v>13</v>
      </c>
      <c r="J80" s="21" t="s">
        <v>135</v>
      </c>
      <c r="K80" s="39"/>
      <c r="L80" s="39"/>
      <c r="M80" s="39"/>
      <c r="N80" s="39"/>
      <c r="O80" s="39"/>
      <c r="P80" s="39"/>
      <c r="Q80" s="39"/>
    </row>
    <row r="81">
      <c r="A81" s="65" t="s">
        <v>25</v>
      </c>
      <c r="B81" s="39" t="s">
        <v>26</v>
      </c>
      <c r="C81" s="66">
        <v>24.0</v>
      </c>
      <c r="D81" s="14" t="str">
        <f t="shared" si="4"/>
        <v>QUI.</v>
      </c>
      <c r="E81" s="13">
        <f t="shared" si="2"/>
        <v>6</v>
      </c>
      <c r="F81" s="43"/>
      <c r="G81" s="45"/>
      <c r="H81" s="63">
        <v>100.0</v>
      </c>
      <c r="I81" s="67" t="s">
        <v>17</v>
      </c>
      <c r="J81" s="42"/>
      <c r="K81" s="68"/>
      <c r="L81" s="68"/>
      <c r="M81" s="68"/>
      <c r="N81" s="68"/>
      <c r="O81" s="68"/>
      <c r="P81" s="68"/>
      <c r="Q81" s="68"/>
    </row>
    <row r="82">
      <c r="A82" s="23" t="s">
        <v>25</v>
      </c>
      <c r="B82" s="61" t="s">
        <v>27</v>
      </c>
      <c r="C82" s="148">
        <v>24.0</v>
      </c>
      <c r="D82" s="25" t="str">
        <f t="shared" si="4"/>
        <v>QUI.</v>
      </c>
      <c r="E82" s="13">
        <f t="shared" si="2"/>
        <v>6</v>
      </c>
      <c r="F82" s="26"/>
      <c r="G82" s="63">
        <v>100.0</v>
      </c>
      <c r="H82" s="101"/>
      <c r="I82" s="64" t="s">
        <v>13</v>
      </c>
      <c r="J82" s="40"/>
      <c r="K82" s="59"/>
      <c r="L82" s="59"/>
      <c r="M82" s="59"/>
      <c r="N82" s="59"/>
      <c r="O82" s="59"/>
      <c r="P82" s="59"/>
      <c r="Q82" s="59"/>
    </row>
    <row r="83">
      <c r="A83" s="192" t="s">
        <v>5</v>
      </c>
      <c r="B83" s="44" t="s">
        <v>73</v>
      </c>
      <c r="C83" s="13">
        <v>26.0</v>
      </c>
      <c r="D83" s="14" t="str">
        <f t="shared" si="4"/>
        <v>SÁB.</v>
      </c>
      <c r="E83" s="13">
        <f t="shared" si="2"/>
        <v>6</v>
      </c>
      <c r="F83" s="85"/>
      <c r="G83" s="45"/>
      <c r="H83" s="46">
        <v>21.0</v>
      </c>
      <c r="I83" s="58" t="s">
        <v>17</v>
      </c>
      <c r="J83" s="21" t="s">
        <v>20</v>
      </c>
      <c r="K83" s="21"/>
      <c r="L83" s="21"/>
      <c r="M83" s="21"/>
      <c r="N83" s="21"/>
      <c r="O83" s="39"/>
      <c r="P83" s="39"/>
      <c r="Q83" s="39"/>
    </row>
    <row r="84">
      <c r="A84" s="192" t="s">
        <v>5</v>
      </c>
      <c r="B84" s="55" t="s">
        <v>91</v>
      </c>
      <c r="C84" s="13">
        <v>27.0</v>
      </c>
      <c r="D84" s="14" t="str">
        <f t="shared" si="4"/>
        <v>DOM.</v>
      </c>
      <c r="E84" s="13">
        <f t="shared" si="2"/>
        <v>6</v>
      </c>
      <c r="F84" s="26"/>
      <c r="G84" s="56"/>
      <c r="H84" s="88">
        <v>802.75</v>
      </c>
      <c r="I84" s="58" t="s">
        <v>17</v>
      </c>
      <c r="J84" s="21" t="s">
        <v>92</v>
      </c>
      <c r="K84" s="55"/>
      <c r="L84" s="55"/>
      <c r="M84" s="55"/>
      <c r="N84" s="55"/>
      <c r="O84" s="55"/>
      <c r="P84" s="55"/>
      <c r="Q84" s="55"/>
    </row>
    <row r="85">
      <c r="A85" s="58" t="s">
        <v>5</v>
      </c>
      <c r="B85" s="29" t="s">
        <v>305</v>
      </c>
      <c r="C85" s="73">
        <v>28.0</v>
      </c>
      <c r="D85" s="74" t="str">
        <f t="shared" si="4"/>
        <v>SEG.</v>
      </c>
      <c r="E85" s="13">
        <f t="shared" si="2"/>
        <v>6</v>
      </c>
      <c r="F85" s="30"/>
      <c r="G85" s="31"/>
      <c r="H85" s="153">
        <v>100.0</v>
      </c>
      <c r="I85" s="71" t="s">
        <v>17</v>
      </c>
      <c r="J85" s="72" t="s">
        <v>306</v>
      </c>
      <c r="K85" s="31"/>
      <c r="L85" s="31"/>
      <c r="M85" s="31"/>
      <c r="N85" s="31"/>
      <c r="O85" s="31"/>
      <c r="P85" s="31"/>
      <c r="Q85" s="31"/>
    </row>
    <row r="86">
      <c r="A86" s="192" t="s">
        <v>5</v>
      </c>
      <c r="B86" s="83" t="s">
        <v>374</v>
      </c>
      <c r="C86" s="13">
        <v>29.0</v>
      </c>
      <c r="D86" s="14" t="str">
        <f t="shared" si="4"/>
        <v>TER.</v>
      </c>
      <c r="E86" s="13">
        <f t="shared" si="2"/>
        <v>6</v>
      </c>
      <c r="F86" s="35"/>
      <c r="G86" s="36"/>
      <c r="H86" s="36">
        <v>62.0</v>
      </c>
      <c r="I86" s="78" t="s">
        <v>17</v>
      </c>
      <c r="J86" s="21" t="s">
        <v>375</v>
      </c>
      <c r="K86" s="84"/>
      <c r="L86" s="84"/>
      <c r="M86" s="84"/>
      <c r="N86" s="84"/>
      <c r="O86" s="84"/>
      <c r="P86" s="84"/>
      <c r="Q86" s="84"/>
    </row>
    <row r="87">
      <c r="A87" s="192" t="s">
        <v>5</v>
      </c>
      <c r="B87" s="40" t="s">
        <v>248</v>
      </c>
      <c r="C87" s="62">
        <v>30.0</v>
      </c>
      <c r="D87" s="25" t="str">
        <f t="shared" si="4"/>
        <v>QUA.</v>
      </c>
      <c r="E87" s="13">
        <f t="shared" si="2"/>
        <v>6</v>
      </c>
      <c r="F87" s="26"/>
      <c r="G87" s="63">
        <v>295.0</v>
      </c>
      <c r="H87" s="101"/>
      <c r="I87" s="60" t="s">
        <v>249</v>
      </c>
      <c r="J87" s="173" t="s">
        <v>250</v>
      </c>
      <c r="K87" s="59"/>
      <c r="L87" s="59"/>
      <c r="M87" s="59"/>
      <c r="N87" s="59"/>
      <c r="O87" s="59"/>
      <c r="P87" s="59"/>
      <c r="Q87" s="59"/>
    </row>
    <row r="88">
      <c r="A88" s="192" t="s">
        <v>5</v>
      </c>
      <c r="B88" s="42" t="s">
        <v>251</v>
      </c>
      <c r="C88" s="66">
        <v>30.0</v>
      </c>
      <c r="D88" s="14" t="str">
        <f t="shared" si="4"/>
        <v>QUA.</v>
      </c>
      <c r="E88" s="13">
        <f t="shared" si="2"/>
        <v>6</v>
      </c>
      <c r="F88" s="43"/>
      <c r="G88" s="46">
        <v>635.0</v>
      </c>
      <c r="H88" s="53"/>
      <c r="I88" s="65" t="s">
        <v>252</v>
      </c>
      <c r="J88" s="42" t="s">
        <v>253</v>
      </c>
      <c r="K88" s="68"/>
      <c r="L88" s="68"/>
      <c r="M88" s="68"/>
      <c r="N88" s="68"/>
      <c r="O88" s="68"/>
      <c r="P88" s="68"/>
      <c r="Q88" s="68"/>
    </row>
    <row r="89">
      <c r="A89" s="192" t="s">
        <v>5</v>
      </c>
      <c r="B89" s="69" t="s">
        <v>376</v>
      </c>
      <c r="C89" s="13">
        <v>30.0</v>
      </c>
      <c r="D89" s="14" t="str">
        <f t="shared" si="4"/>
        <v>QUA.</v>
      </c>
      <c r="E89" s="13">
        <f t="shared" si="2"/>
        <v>6</v>
      </c>
      <c r="F89" s="54"/>
      <c r="G89" s="36">
        <v>3206.9</v>
      </c>
      <c r="H89" s="70"/>
      <c r="I89" s="47" t="s">
        <v>261</v>
      </c>
      <c r="J89" s="21" t="s">
        <v>64</v>
      </c>
      <c r="K89" s="70"/>
      <c r="L89" s="70"/>
      <c r="M89" s="70"/>
      <c r="N89" s="70"/>
      <c r="O89" s="70"/>
      <c r="P89" s="70"/>
      <c r="Q89" s="70"/>
    </row>
    <row r="90">
      <c r="A90" s="180" t="s">
        <v>5</v>
      </c>
      <c r="B90" s="61" t="s">
        <v>26</v>
      </c>
      <c r="C90" s="148">
        <v>30.0</v>
      </c>
      <c r="D90" s="25" t="str">
        <f t="shared" si="4"/>
        <v>QUA.</v>
      </c>
      <c r="E90" s="13">
        <f t="shared" si="2"/>
        <v>6</v>
      </c>
      <c r="F90" s="26"/>
      <c r="G90" s="56"/>
      <c r="H90" s="36">
        <v>3206.9</v>
      </c>
      <c r="I90" s="64" t="s">
        <v>261</v>
      </c>
      <c r="J90" s="40" t="s">
        <v>366</v>
      </c>
      <c r="K90" s="59"/>
      <c r="L90" s="59"/>
      <c r="M90" s="59"/>
      <c r="N90" s="59"/>
      <c r="O90" s="59"/>
      <c r="P90" s="59"/>
      <c r="Q90" s="59"/>
    </row>
    <row r="91">
      <c r="A91" s="41" t="s">
        <v>5</v>
      </c>
      <c r="B91" s="39" t="s">
        <v>27</v>
      </c>
      <c r="C91" s="66">
        <v>30.0</v>
      </c>
      <c r="D91" s="14" t="str">
        <f t="shared" si="4"/>
        <v>QUA.</v>
      </c>
      <c r="E91" s="13">
        <f t="shared" si="2"/>
        <v>6</v>
      </c>
      <c r="F91" s="43"/>
      <c r="G91" s="36">
        <v>3206.9</v>
      </c>
      <c r="H91" s="45"/>
      <c r="I91" s="67" t="s">
        <v>17</v>
      </c>
      <c r="J91" s="42" t="s">
        <v>367</v>
      </c>
      <c r="K91" s="68"/>
      <c r="L91" s="68"/>
      <c r="M91" s="68"/>
      <c r="N91" s="68"/>
      <c r="O91" s="68"/>
      <c r="P91" s="68"/>
      <c r="Q91" s="68"/>
    </row>
    <row r="92">
      <c r="A92" s="11"/>
      <c r="B92" s="59"/>
      <c r="C92" s="26"/>
      <c r="D92" s="107"/>
      <c r="E92" s="26"/>
      <c r="F92" s="26"/>
      <c r="G92" s="56"/>
      <c r="H92" s="56"/>
      <c r="I92" s="47"/>
      <c r="J92" s="21"/>
      <c r="K92" s="59"/>
      <c r="L92" s="59"/>
      <c r="M92" s="59"/>
      <c r="N92" s="59"/>
      <c r="O92" s="59"/>
      <c r="P92" s="59"/>
      <c r="Q92" s="59"/>
    </row>
    <row r="93">
      <c r="A93" s="11"/>
      <c r="B93" s="68"/>
      <c r="C93" s="43"/>
      <c r="D93" s="108"/>
      <c r="E93" s="43"/>
      <c r="F93" s="43"/>
      <c r="G93" s="45"/>
      <c r="H93" s="45"/>
      <c r="I93" s="47"/>
      <c r="J93" s="21"/>
      <c r="K93" s="68"/>
      <c r="L93" s="68"/>
      <c r="M93" s="68"/>
      <c r="N93" s="68"/>
      <c r="O93" s="68"/>
      <c r="P93" s="68"/>
      <c r="Q93" s="68"/>
    </row>
    <row r="94">
      <c r="A94" s="109"/>
      <c r="B94" s="110"/>
      <c r="C94" s="111"/>
      <c r="D94" s="112"/>
      <c r="E94" s="111"/>
      <c r="F94" s="111"/>
      <c r="G94" s="113"/>
      <c r="H94" s="113"/>
      <c r="I94" s="114"/>
      <c r="J94" s="21"/>
      <c r="K94" s="110"/>
      <c r="L94" s="110"/>
      <c r="M94" s="110"/>
      <c r="N94" s="110"/>
      <c r="O94" s="110"/>
      <c r="P94" s="110"/>
      <c r="Q94" s="110"/>
    </row>
    <row r="95" ht="15.75" customHeight="1">
      <c r="A95" s="115"/>
      <c r="B95" s="116" t="s">
        <v>142</v>
      </c>
      <c r="C95" s="117"/>
      <c r="D95" s="118"/>
      <c r="E95" s="119"/>
      <c r="F95" s="119"/>
      <c r="G95" s="120">
        <f>SUMIF(A3:A94,"PAGO",G3:G94)</f>
        <v>25738.88</v>
      </c>
      <c r="H95" s="120">
        <f>SUMIF(A3:A94,"PAGO",H3:H94)</f>
        <v>21295.45</v>
      </c>
      <c r="I95" s="121"/>
      <c r="J95" s="117"/>
      <c r="K95" s="120">
        <f t="shared" ref="K95:K96" si="5">G95-H95</f>
        <v>4443.43</v>
      </c>
      <c r="L95" s="120"/>
      <c r="M95" s="120"/>
      <c r="N95" s="120"/>
      <c r="O95" s="120"/>
      <c r="P95" s="120"/>
      <c r="Q95" s="120"/>
    </row>
    <row r="96" ht="15.75" customHeight="1">
      <c r="A96" s="115"/>
      <c r="B96" s="122" t="s">
        <v>143</v>
      </c>
      <c r="C96" s="117"/>
      <c r="D96" s="123"/>
      <c r="E96" s="124"/>
      <c r="F96" s="124"/>
      <c r="G96" s="125">
        <f>SUMIF(A3:A94,"PAGO",G3:G94) + SUMIF(A3:A94,"PREVISTO",G3:G94)</f>
        <v>25738.88</v>
      </c>
      <c r="H96" s="125">
        <f>SUMIF(A3:A94,"PAGO",H3:H94) + SUMIF(A3:A94,"PREVISTO",H3:H94)</f>
        <v>21295.45</v>
      </c>
      <c r="I96" s="121"/>
      <c r="J96" s="122" t="s">
        <v>144</v>
      </c>
      <c r="K96" s="125">
        <f t="shared" si="5"/>
        <v>4443.43</v>
      </c>
      <c r="L96" s="125"/>
      <c r="M96" s="125"/>
      <c r="N96" s="125"/>
      <c r="O96" s="125"/>
      <c r="P96" s="125"/>
      <c r="Q96" s="125"/>
    </row>
    <row r="97">
      <c r="A97" s="126"/>
      <c r="B97" s="127"/>
      <c r="C97" s="93"/>
      <c r="D97" s="128"/>
      <c r="E97" s="129"/>
      <c r="F97" s="129"/>
      <c r="G97" s="130"/>
      <c r="H97" s="130"/>
      <c r="I97" s="131"/>
      <c r="J97" s="132" t="s">
        <v>13</v>
      </c>
      <c r="K97" s="133">
        <f t="shared" ref="K97:K104" si="6">(SUMIFS($G$3:$G$94,$I$3:$I$94,J97,$A$3:$A$94,"PAGO") + SUMIFS($G$3:$G$94,$I$3:$I$94,J97,$A$3:$A$94,"CONTAS")) - (SUMIFS($H$3:$H$94,$I$3:$I$94,J97,$A$3:$A$94,"PAGO") + SUMIFS($H$3:$H$94,$I$3:$I$94,J97,$A$3:$A$94,"CONTAS"))</f>
        <v>39.57</v>
      </c>
      <c r="L97" s="133"/>
      <c r="M97" s="133"/>
      <c r="N97" s="133"/>
      <c r="O97" s="133"/>
      <c r="P97" s="133"/>
      <c r="Q97" s="133"/>
    </row>
    <row r="98">
      <c r="A98" s="134"/>
      <c r="B98" s="135"/>
      <c r="C98" s="93"/>
      <c r="D98" s="128"/>
      <c r="E98" s="129"/>
      <c r="F98" s="129"/>
      <c r="G98" s="130"/>
      <c r="H98" s="130"/>
      <c r="I98" s="131"/>
      <c r="J98" s="132" t="s">
        <v>15</v>
      </c>
      <c r="K98" s="133">
        <f t="shared" si="6"/>
        <v>2.85</v>
      </c>
      <c r="L98" s="133"/>
      <c r="M98" s="133"/>
      <c r="N98" s="133"/>
      <c r="O98" s="133"/>
      <c r="P98" s="133"/>
      <c r="Q98" s="133"/>
    </row>
    <row r="99">
      <c r="A99" s="134"/>
      <c r="B99" s="136"/>
      <c r="C99" s="137"/>
      <c r="D99" s="128"/>
      <c r="E99" s="129"/>
      <c r="F99" s="129"/>
      <c r="G99" s="130"/>
      <c r="H99" s="130"/>
      <c r="I99" s="131"/>
      <c r="J99" s="132" t="s">
        <v>16</v>
      </c>
      <c r="K99" s="133">
        <f t="shared" si="6"/>
        <v>2.73</v>
      </c>
      <c r="L99" s="133"/>
      <c r="M99" s="133"/>
      <c r="N99" s="133"/>
      <c r="O99" s="133"/>
      <c r="P99" s="133"/>
      <c r="Q99" s="133"/>
    </row>
    <row r="100">
      <c r="A100" s="134"/>
      <c r="B100" s="136"/>
      <c r="C100" s="137"/>
      <c r="D100" s="128"/>
      <c r="E100" s="129"/>
      <c r="F100" s="129"/>
      <c r="G100" s="130"/>
      <c r="H100" s="130"/>
      <c r="I100" s="131"/>
      <c r="J100" s="132" t="s">
        <v>17</v>
      </c>
      <c r="K100" s="133">
        <f t="shared" si="6"/>
        <v>3389.47</v>
      </c>
      <c r="L100" s="133"/>
      <c r="M100" s="133"/>
      <c r="N100" s="133"/>
      <c r="O100" s="133"/>
      <c r="P100" s="133"/>
      <c r="Q100" s="133"/>
    </row>
    <row r="101">
      <c r="A101" s="134"/>
      <c r="B101" s="93"/>
      <c r="C101" s="137"/>
      <c r="D101" s="138"/>
      <c r="E101" s="139"/>
      <c r="F101" s="139"/>
      <c r="G101" s="140"/>
      <c r="H101" s="140"/>
      <c r="I101" s="131"/>
      <c r="J101" s="132" t="s">
        <v>18</v>
      </c>
      <c r="K101" s="133">
        <f t="shared" si="6"/>
        <v>9.52</v>
      </c>
      <c r="L101" s="133"/>
      <c r="M101" s="133"/>
      <c r="N101" s="133"/>
      <c r="O101" s="133"/>
      <c r="P101" s="133"/>
      <c r="Q101" s="133"/>
    </row>
    <row r="102">
      <c r="A102" s="134"/>
      <c r="B102" s="137"/>
      <c r="C102" s="93"/>
      <c r="D102" s="138"/>
      <c r="E102" s="139"/>
      <c r="F102" s="139"/>
      <c r="G102" s="140"/>
      <c r="H102" s="140"/>
      <c r="I102" s="131"/>
      <c r="J102" s="183" t="s">
        <v>261</v>
      </c>
      <c r="K102" s="133">
        <f t="shared" si="6"/>
        <v>0</v>
      </c>
      <c r="L102" s="93"/>
      <c r="M102" s="93"/>
      <c r="N102" s="93"/>
      <c r="O102" s="93"/>
      <c r="P102" s="93"/>
      <c r="Q102" s="93"/>
    </row>
    <row r="103">
      <c r="A103" s="134"/>
      <c r="B103" s="137"/>
      <c r="C103" s="93"/>
      <c r="D103" s="138"/>
      <c r="E103" s="139"/>
      <c r="F103" s="139"/>
      <c r="G103" s="140"/>
      <c r="H103" s="140"/>
      <c r="I103" s="131"/>
      <c r="J103" s="182" t="s">
        <v>252</v>
      </c>
      <c r="K103" s="133">
        <f t="shared" si="6"/>
        <v>704.29</v>
      </c>
      <c r="L103" s="93"/>
      <c r="M103" s="93"/>
      <c r="N103" s="93"/>
      <c r="O103" s="93"/>
      <c r="P103" s="93"/>
      <c r="Q103" s="93"/>
    </row>
    <row r="104">
      <c r="A104" s="134"/>
      <c r="B104" s="137"/>
      <c r="C104" s="93"/>
      <c r="D104" s="138"/>
      <c r="E104" s="139"/>
      <c r="F104" s="139"/>
      <c r="G104" s="140"/>
      <c r="H104" s="140"/>
      <c r="I104" s="131"/>
      <c r="J104" s="182" t="s">
        <v>249</v>
      </c>
      <c r="K104" s="133">
        <f t="shared" si="6"/>
        <v>295</v>
      </c>
      <c r="L104" s="93"/>
      <c r="M104" s="93"/>
      <c r="N104" s="93"/>
      <c r="O104" s="93"/>
      <c r="P104" s="93"/>
      <c r="Q104" s="93"/>
    </row>
    <row r="105">
      <c r="A105" s="134"/>
      <c r="B105" s="137"/>
      <c r="C105" s="93"/>
      <c r="D105" s="138"/>
      <c r="E105" s="139"/>
      <c r="F105" s="139"/>
      <c r="G105" s="140"/>
      <c r="H105" s="140"/>
      <c r="I105" s="131"/>
      <c r="J105" s="93"/>
      <c r="K105" s="93"/>
      <c r="L105" s="93"/>
      <c r="M105" s="93"/>
      <c r="N105" s="93"/>
      <c r="O105" s="93"/>
      <c r="P105" s="93"/>
      <c r="Q105" s="93"/>
    </row>
  </sheetData>
  <customSheetViews>
    <customSheetView guid="{8E320149-1ED8-4245-AE83-2AF08A85D2EE}" filter="1" showAutoFilter="1">
      <autoFilter ref="$A$2:$K$3"/>
    </customSheetView>
    <customSheetView guid="{5F890A4C-8AFA-4126-80E7-AF0191C5590F}" filter="1" showAutoFilter="1">
      <autoFilter ref="$A$2:$K$3"/>
    </customSheetView>
    <customSheetView guid="{FF238D65-B29E-47B3-BB76-09A78DB37DDE}" filter="1" showAutoFilter="1">
      <autoFilter ref="$A$2:$K$3"/>
    </customSheetView>
    <customSheetView guid="{F6E0E906-D63E-467F-B486-84E6C0126E80}" filter="1" showAutoFilter="1">
      <autoFilter ref="$A$2:$K$3"/>
    </customSheetView>
    <customSheetView guid="{55ED7845-B94B-4003-AD57-D4008EE7E009}" filter="1" showAutoFilter="1">
      <autoFilter ref="$A$2:$K$13"/>
    </customSheetView>
  </customSheetViews>
  <conditionalFormatting sqref="A3:Q94">
    <cfRule type="expression" dxfId="0" priority="1">
      <formula>ISEVEN(ROW())</formula>
    </cfRule>
  </conditionalFormatting>
  <conditionalFormatting sqref="A3:Q94">
    <cfRule type="expression" dxfId="1" priority="2">
      <formula>ISODD(ROW())</formula>
    </cfRule>
  </conditionalFormatting>
  <dataValidations>
    <dataValidation type="list" allowBlank="1" sqref="A3:A93">
      <formula1>listas!$A$1:$A$17</formula1>
    </dataValidation>
    <dataValidation type="list" allowBlank="1" sqref="I3:I93">
      <formula1>listas!$B$1:$B$21</formula1>
    </dataValidation>
  </dataValidations>
  <drawing r:id="rId2"/>
  <legacyDrawing r:id="rId3"/>
  <tableParts count="2">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88"/>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7.0</v>
      </c>
      <c r="D3" s="14"/>
      <c r="E3" s="15"/>
      <c r="F3" s="15"/>
      <c r="G3" s="16"/>
      <c r="H3" s="17"/>
      <c r="I3" s="18"/>
      <c r="J3" s="19"/>
      <c r="K3" s="20"/>
      <c r="L3" s="20"/>
      <c r="M3" s="20"/>
      <c r="N3" s="20"/>
      <c r="O3" s="20"/>
      <c r="P3" s="20"/>
      <c r="Q3" s="20"/>
    </row>
    <row r="4">
      <c r="A4" s="192" t="s">
        <v>5</v>
      </c>
      <c r="B4" s="21" t="s">
        <v>145</v>
      </c>
      <c r="C4" s="13">
        <v>1.0</v>
      </c>
      <c r="D4" s="14" t="str">
        <f t="shared" ref="D4:D34" si="1">UPPER(TEXT(WEEKDAY(DATEVALUE(CONCATENATE(C4,"/",$C$3,"/",$A$1))),"DDD"))</f>
        <v>QUI.</v>
      </c>
      <c r="E4" s="13">
        <f t="shared" ref="E4:E112" si="2">$C$3</f>
        <v>7</v>
      </c>
      <c r="F4" s="15"/>
      <c r="G4" s="16">
        <f>junho!K97</f>
        <v>39.57</v>
      </c>
      <c r="H4" s="17"/>
      <c r="I4" s="18" t="s">
        <v>13</v>
      </c>
      <c r="J4" s="21" t="s">
        <v>14</v>
      </c>
      <c r="K4" s="22"/>
      <c r="L4" s="22"/>
      <c r="M4" s="22"/>
      <c r="N4" s="22"/>
      <c r="O4" s="22"/>
      <c r="P4" s="22"/>
      <c r="Q4" s="22"/>
    </row>
    <row r="5">
      <c r="A5" s="192" t="s">
        <v>5</v>
      </c>
      <c r="B5" s="21" t="s">
        <v>145</v>
      </c>
      <c r="C5" s="13">
        <v>1.0</v>
      </c>
      <c r="D5" s="14" t="str">
        <f t="shared" si="1"/>
        <v>QUI.</v>
      </c>
      <c r="E5" s="13">
        <f t="shared" si="2"/>
        <v>7</v>
      </c>
      <c r="F5" s="15"/>
      <c r="G5" s="16">
        <f>junho!K98</f>
        <v>2.85</v>
      </c>
      <c r="H5" s="17"/>
      <c r="I5" s="18" t="s">
        <v>15</v>
      </c>
      <c r="J5" s="21" t="s">
        <v>14</v>
      </c>
      <c r="K5" s="22"/>
      <c r="L5" s="22"/>
      <c r="M5" s="22"/>
      <c r="N5" s="22"/>
      <c r="O5" s="22"/>
      <c r="P5" s="22"/>
      <c r="Q5" s="22"/>
    </row>
    <row r="6">
      <c r="A6" s="192" t="s">
        <v>5</v>
      </c>
      <c r="B6" s="21" t="s">
        <v>145</v>
      </c>
      <c r="C6" s="13">
        <v>1.0</v>
      </c>
      <c r="D6" s="14" t="str">
        <f t="shared" si="1"/>
        <v>QUI.</v>
      </c>
      <c r="E6" s="13">
        <f t="shared" si="2"/>
        <v>7</v>
      </c>
      <c r="F6" s="15"/>
      <c r="G6" s="16">
        <f>junho!K99</f>
        <v>2.73</v>
      </c>
      <c r="H6" s="17"/>
      <c r="I6" s="18" t="s">
        <v>16</v>
      </c>
      <c r="J6" s="21" t="s">
        <v>14</v>
      </c>
      <c r="K6" s="22"/>
      <c r="L6" s="22"/>
      <c r="M6" s="22"/>
      <c r="N6" s="22"/>
      <c r="O6" s="22"/>
      <c r="P6" s="22"/>
      <c r="Q6" s="22"/>
    </row>
    <row r="7">
      <c r="A7" s="192" t="s">
        <v>5</v>
      </c>
      <c r="B7" s="21" t="s">
        <v>145</v>
      </c>
      <c r="C7" s="13">
        <v>1.0</v>
      </c>
      <c r="D7" s="14" t="str">
        <f t="shared" si="1"/>
        <v>QUI.</v>
      </c>
      <c r="E7" s="13">
        <f t="shared" si="2"/>
        <v>7</v>
      </c>
      <c r="F7" s="15"/>
      <c r="G7" s="16">
        <f>junho!K100</f>
        <v>3389.47</v>
      </c>
      <c r="H7" s="17"/>
      <c r="I7" s="18" t="s">
        <v>17</v>
      </c>
      <c r="J7" s="21" t="s">
        <v>14</v>
      </c>
      <c r="K7" s="22"/>
      <c r="L7" s="22"/>
      <c r="M7" s="22"/>
      <c r="N7" s="22"/>
      <c r="O7" s="22"/>
      <c r="P7" s="22"/>
      <c r="Q7" s="22"/>
    </row>
    <row r="8">
      <c r="A8" s="192" t="s">
        <v>5</v>
      </c>
      <c r="B8" s="21" t="s">
        <v>145</v>
      </c>
      <c r="C8" s="13">
        <v>1.0</v>
      </c>
      <c r="D8" s="14" t="str">
        <f t="shared" si="1"/>
        <v>QUI.</v>
      </c>
      <c r="E8" s="13">
        <f t="shared" si="2"/>
        <v>7</v>
      </c>
      <c r="F8" s="15"/>
      <c r="G8" s="16">
        <f>junho!K101</f>
        <v>9.52</v>
      </c>
      <c r="H8" s="17"/>
      <c r="I8" s="18" t="s">
        <v>18</v>
      </c>
      <c r="J8" s="21" t="s">
        <v>14</v>
      </c>
      <c r="K8" s="22"/>
      <c r="L8" s="22"/>
      <c r="M8" s="22"/>
      <c r="N8" s="22"/>
      <c r="O8" s="22"/>
      <c r="P8" s="22"/>
      <c r="Q8" s="22"/>
    </row>
    <row r="9">
      <c r="A9" s="192" t="s">
        <v>5</v>
      </c>
      <c r="B9" s="72" t="s">
        <v>145</v>
      </c>
      <c r="C9" s="193">
        <v>1.0</v>
      </c>
      <c r="D9" s="74" t="str">
        <f t="shared" si="1"/>
        <v>QUI.</v>
      </c>
      <c r="E9" s="13">
        <f t="shared" si="2"/>
        <v>7</v>
      </c>
      <c r="F9" s="30"/>
      <c r="G9" s="16">
        <f>junho!K102</f>
        <v>0</v>
      </c>
      <c r="H9" s="31"/>
      <c r="I9" s="58" t="s">
        <v>261</v>
      </c>
      <c r="J9" s="72" t="s">
        <v>14</v>
      </c>
      <c r="K9" s="77"/>
      <c r="L9" s="77"/>
      <c r="M9" s="77"/>
      <c r="N9" s="77"/>
      <c r="O9" s="77"/>
      <c r="P9" s="77"/>
      <c r="Q9" s="77"/>
    </row>
    <row r="10">
      <c r="A10" s="192" t="s">
        <v>5</v>
      </c>
      <c r="B10" s="173" t="s">
        <v>145</v>
      </c>
      <c r="C10" s="184">
        <v>1.0</v>
      </c>
      <c r="D10" s="25" t="str">
        <f t="shared" si="1"/>
        <v>QUI.</v>
      </c>
      <c r="E10" s="13">
        <f t="shared" si="2"/>
        <v>7</v>
      </c>
      <c r="F10" s="26"/>
      <c r="G10" s="16">
        <f>junho!K103</f>
        <v>704.29</v>
      </c>
      <c r="H10" s="56"/>
      <c r="I10" s="33" t="s">
        <v>252</v>
      </c>
      <c r="J10" s="173" t="s">
        <v>14</v>
      </c>
      <c r="K10" s="59"/>
      <c r="L10" s="59"/>
      <c r="M10" s="59"/>
      <c r="N10" s="59"/>
      <c r="O10" s="59"/>
      <c r="P10" s="59"/>
      <c r="Q10" s="59"/>
    </row>
    <row r="11">
      <c r="A11" s="192" t="s">
        <v>5</v>
      </c>
      <c r="B11" s="42" t="s">
        <v>145</v>
      </c>
      <c r="C11" s="144">
        <v>1.0</v>
      </c>
      <c r="D11" s="14" t="str">
        <f t="shared" si="1"/>
        <v>QUI.</v>
      </c>
      <c r="E11" s="13">
        <f t="shared" si="2"/>
        <v>7</v>
      </c>
      <c r="F11" s="43"/>
      <c r="G11" s="16">
        <f>junho!K104</f>
        <v>295</v>
      </c>
      <c r="H11" s="45"/>
      <c r="I11" s="41" t="s">
        <v>249</v>
      </c>
      <c r="J11" s="42" t="s">
        <v>14</v>
      </c>
      <c r="K11" s="68"/>
      <c r="L11" s="68"/>
      <c r="M11" s="68"/>
      <c r="N11" s="68"/>
      <c r="O11" s="68"/>
      <c r="P11" s="68"/>
      <c r="Q11" s="68"/>
    </row>
    <row r="12" ht="15.0" customHeight="1">
      <c r="A12" s="95" t="s">
        <v>5</v>
      </c>
      <c r="B12" s="42" t="s">
        <v>377</v>
      </c>
      <c r="C12" s="144">
        <v>1.0</v>
      </c>
      <c r="D12" s="14" t="str">
        <f t="shared" si="1"/>
        <v>QUI.</v>
      </c>
      <c r="E12" s="13">
        <f t="shared" si="2"/>
        <v>7</v>
      </c>
      <c r="F12" s="14"/>
      <c r="G12" s="85"/>
      <c r="H12" s="46">
        <v>177.52</v>
      </c>
      <c r="I12" s="149" t="s">
        <v>13</v>
      </c>
      <c r="J12" s="209" t="s">
        <v>378</v>
      </c>
      <c r="K12" s="42"/>
      <c r="L12" s="188"/>
      <c r="M12" s="21"/>
      <c r="N12" s="21"/>
      <c r="O12" s="39"/>
      <c r="P12" s="39"/>
      <c r="Q12" s="39"/>
    </row>
    <row r="13" ht="15.0" customHeight="1">
      <c r="A13" s="192" t="s">
        <v>25</v>
      </c>
      <c r="B13" s="44" t="s">
        <v>379</v>
      </c>
      <c r="C13" s="66">
        <v>1.0</v>
      </c>
      <c r="D13" s="14" t="str">
        <f t="shared" si="1"/>
        <v>QUI.</v>
      </c>
      <c r="E13" s="13">
        <f t="shared" si="2"/>
        <v>7</v>
      </c>
      <c r="F13" s="43"/>
      <c r="G13" s="45"/>
      <c r="H13" s="46">
        <v>250.0</v>
      </c>
      <c r="I13" s="149" t="s">
        <v>17</v>
      </c>
      <c r="J13" s="44"/>
      <c r="K13" s="68"/>
      <c r="L13" s="68"/>
      <c r="M13" s="68"/>
      <c r="N13" s="68"/>
      <c r="O13" s="68"/>
      <c r="P13" s="68"/>
      <c r="Q13" s="68"/>
    </row>
    <row r="14" ht="15.0" customHeight="1">
      <c r="A14" s="192" t="s">
        <v>25</v>
      </c>
      <c r="B14" s="34" t="s">
        <v>380</v>
      </c>
      <c r="C14" s="148">
        <v>1.0</v>
      </c>
      <c r="D14" s="25" t="str">
        <f t="shared" si="1"/>
        <v>QUI.</v>
      </c>
      <c r="E14" s="13">
        <f t="shared" si="2"/>
        <v>7</v>
      </c>
      <c r="F14" s="26"/>
      <c r="G14" s="63">
        <v>250.0</v>
      </c>
      <c r="H14" s="56"/>
      <c r="I14" s="37" t="s">
        <v>13</v>
      </c>
      <c r="J14" s="34"/>
      <c r="K14" s="59"/>
      <c r="L14" s="59"/>
      <c r="M14" s="59"/>
      <c r="N14" s="59"/>
      <c r="O14" s="59"/>
      <c r="P14" s="59"/>
      <c r="Q14" s="59"/>
    </row>
    <row r="15" ht="15.0" customHeight="1">
      <c r="A15" s="192" t="s">
        <v>5</v>
      </c>
      <c r="B15" s="44" t="s">
        <v>381</v>
      </c>
      <c r="C15" s="13">
        <v>1.0</v>
      </c>
      <c r="D15" s="25" t="str">
        <f t="shared" si="1"/>
        <v>QUI.</v>
      </c>
      <c r="E15" s="13">
        <f t="shared" si="2"/>
        <v>7</v>
      </c>
      <c r="F15" s="85"/>
      <c r="G15" s="63">
        <v>1775.16</v>
      </c>
      <c r="H15" s="46"/>
      <c r="I15" s="58" t="s">
        <v>15</v>
      </c>
      <c r="J15" s="34" t="s">
        <v>382</v>
      </c>
      <c r="K15" s="21"/>
      <c r="L15" s="21"/>
      <c r="M15" s="21"/>
      <c r="N15" s="21"/>
      <c r="O15" s="39"/>
      <c r="P15" s="39"/>
      <c r="Q15" s="39"/>
    </row>
    <row r="16">
      <c r="A16" s="192" t="s">
        <v>25</v>
      </c>
      <c r="B16" s="39" t="s">
        <v>26</v>
      </c>
      <c r="C16" s="66">
        <v>1.0</v>
      </c>
      <c r="D16" s="14" t="str">
        <f t="shared" si="1"/>
        <v>QUI.</v>
      </c>
      <c r="E16" s="13">
        <f t="shared" si="2"/>
        <v>7</v>
      </c>
      <c r="F16" s="43"/>
      <c r="G16" s="45"/>
      <c r="H16" s="63">
        <v>1775.16</v>
      </c>
      <c r="I16" s="149" t="s">
        <v>15</v>
      </c>
      <c r="J16" s="44"/>
      <c r="K16" s="68"/>
      <c r="L16" s="68"/>
      <c r="M16" s="68"/>
      <c r="N16" s="68"/>
      <c r="O16" s="68"/>
      <c r="P16" s="68"/>
      <c r="Q16" s="68"/>
    </row>
    <row r="17">
      <c r="A17" s="192" t="s">
        <v>25</v>
      </c>
      <c r="B17" s="61" t="s">
        <v>27</v>
      </c>
      <c r="C17" s="148">
        <v>1.0</v>
      </c>
      <c r="D17" s="25" t="str">
        <f t="shared" si="1"/>
        <v>QUI.</v>
      </c>
      <c r="E17" s="13">
        <f t="shared" si="2"/>
        <v>7</v>
      </c>
      <c r="F17" s="26"/>
      <c r="G17" s="63">
        <v>1775.16</v>
      </c>
      <c r="H17" s="56"/>
      <c r="I17" s="37" t="s">
        <v>17</v>
      </c>
      <c r="J17" s="34"/>
      <c r="K17" s="59"/>
      <c r="L17" s="59"/>
      <c r="M17" s="59"/>
      <c r="N17" s="59"/>
      <c r="O17" s="59"/>
      <c r="P17" s="59"/>
      <c r="Q17" s="59"/>
    </row>
    <row r="18">
      <c r="A18" s="11" t="s">
        <v>5</v>
      </c>
      <c r="B18" s="61" t="s">
        <v>65</v>
      </c>
      <c r="C18" s="13">
        <v>1.0</v>
      </c>
      <c r="D18" s="25" t="str">
        <f t="shared" si="1"/>
        <v>QUI.</v>
      </c>
      <c r="E18" s="13">
        <f t="shared" si="2"/>
        <v>7</v>
      </c>
      <c r="F18" s="85"/>
      <c r="G18" s="45"/>
      <c r="H18" s="63">
        <v>1775.16</v>
      </c>
      <c r="I18" s="58" t="s">
        <v>17</v>
      </c>
      <c r="J18" s="34" t="s">
        <v>383</v>
      </c>
      <c r="K18" s="39"/>
      <c r="L18" s="39"/>
      <c r="M18" s="39"/>
      <c r="N18" s="39"/>
      <c r="O18" s="39"/>
      <c r="P18" s="39"/>
      <c r="Q18" s="39"/>
    </row>
    <row r="19" ht="15.0" customHeight="1">
      <c r="A19" s="192" t="s">
        <v>5</v>
      </c>
      <c r="B19" s="44" t="s">
        <v>73</v>
      </c>
      <c r="C19" s="13">
        <v>2.0</v>
      </c>
      <c r="D19" s="14" t="str">
        <f t="shared" si="1"/>
        <v>SEX.</v>
      </c>
      <c r="E19" s="13">
        <f t="shared" si="2"/>
        <v>7</v>
      </c>
      <c r="F19" s="85"/>
      <c r="G19" s="45"/>
      <c r="H19" s="46">
        <v>33.0</v>
      </c>
      <c r="I19" s="58" t="s">
        <v>17</v>
      </c>
      <c r="J19" s="21" t="s">
        <v>20</v>
      </c>
      <c r="K19" s="21"/>
      <c r="L19" s="21"/>
      <c r="M19" s="21"/>
      <c r="N19" s="21"/>
      <c r="O19" s="39"/>
      <c r="P19" s="39"/>
      <c r="Q19" s="39"/>
    </row>
    <row r="20">
      <c r="A20" s="192" t="s">
        <v>5</v>
      </c>
      <c r="B20" s="28" t="s">
        <v>148</v>
      </c>
      <c r="C20" s="13">
        <v>2.0</v>
      </c>
      <c r="D20" s="14" t="str">
        <f t="shared" si="1"/>
        <v>SEX.</v>
      </c>
      <c r="E20" s="13">
        <f t="shared" si="2"/>
        <v>7</v>
      </c>
      <c r="F20" s="35"/>
      <c r="G20" s="70"/>
      <c r="H20" s="86">
        <v>67.05</v>
      </c>
      <c r="I20" s="142" t="s">
        <v>13</v>
      </c>
      <c r="J20" s="21" t="s">
        <v>149</v>
      </c>
      <c r="K20" s="28"/>
      <c r="L20" s="28"/>
      <c r="M20" s="28"/>
      <c r="N20" s="28"/>
      <c r="O20" s="28"/>
      <c r="P20" s="28"/>
      <c r="Q20" s="28"/>
    </row>
    <row r="21">
      <c r="A21" s="33" t="s">
        <v>5</v>
      </c>
      <c r="B21" s="34" t="s">
        <v>23</v>
      </c>
      <c r="C21" s="13">
        <v>2.0</v>
      </c>
      <c r="D21" s="14" t="str">
        <f t="shared" si="1"/>
        <v>SEX.</v>
      </c>
      <c r="E21" s="13">
        <f t="shared" si="2"/>
        <v>7</v>
      </c>
      <c r="F21" s="35"/>
      <c r="G21" s="26"/>
      <c r="H21" s="36">
        <v>0.36</v>
      </c>
      <c r="I21" s="37" t="s">
        <v>13</v>
      </c>
      <c r="J21" s="38" t="s">
        <v>24</v>
      </c>
      <c r="K21" s="39"/>
      <c r="L21" s="39"/>
      <c r="M21" s="39"/>
      <c r="N21" s="39"/>
      <c r="O21" s="39"/>
      <c r="P21" s="39"/>
      <c r="Q21" s="39"/>
    </row>
    <row r="22">
      <c r="A22" s="192" t="s">
        <v>5</v>
      </c>
      <c r="B22" s="185" t="s">
        <v>138</v>
      </c>
      <c r="C22" s="66">
        <v>2.0</v>
      </c>
      <c r="D22" s="14" t="str">
        <f t="shared" si="1"/>
        <v>SEX.</v>
      </c>
      <c r="E22" s="13">
        <f t="shared" si="2"/>
        <v>7</v>
      </c>
      <c r="F22" s="43"/>
      <c r="G22" s="45"/>
      <c r="H22" s="53">
        <v>63.8</v>
      </c>
      <c r="I22" s="41" t="s">
        <v>252</v>
      </c>
      <c r="J22" s="42" t="s">
        <v>20</v>
      </c>
      <c r="K22" s="45"/>
      <c r="L22" s="45"/>
      <c r="M22" s="45"/>
      <c r="N22" s="45"/>
      <c r="O22" s="45"/>
      <c r="P22" s="45"/>
      <c r="Q22" s="45"/>
    </row>
    <row r="23">
      <c r="A23" s="192" t="s">
        <v>5</v>
      </c>
      <c r="B23" s="177" t="s">
        <v>21</v>
      </c>
      <c r="C23" s="62">
        <v>2.0</v>
      </c>
      <c r="D23" s="25" t="str">
        <f t="shared" si="1"/>
        <v>SEX.</v>
      </c>
      <c r="E23" s="13">
        <f t="shared" si="2"/>
        <v>7</v>
      </c>
      <c r="F23" s="26"/>
      <c r="G23" s="56"/>
      <c r="H23" s="63">
        <v>167.61</v>
      </c>
      <c r="I23" s="33" t="s">
        <v>252</v>
      </c>
      <c r="J23" s="173" t="s">
        <v>22</v>
      </c>
      <c r="K23" s="56"/>
      <c r="L23" s="56"/>
      <c r="M23" s="56"/>
      <c r="N23" s="56"/>
      <c r="O23" s="56"/>
      <c r="P23" s="56"/>
      <c r="Q23" s="56"/>
    </row>
    <row r="24">
      <c r="A24" s="95" t="s">
        <v>5</v>
      </c>
      <c r="B24" s="44" t="s">
        <v>384</v>
      </c>
      <c r="C24" s="13">
        <v>5.0</v>
      </c>
      <c r="D24" s="25" t="str">
        <f t="shared" si="1"/>
        <v>SEG.</v>
      </c>
      <c r="E24" s="13">
        <f t="shared" si="2"/>
        <v>7</v>
      </c>
      <c r="F24" s="14"/>
      <c r="G24" s="46">
        <v>2858.03</v>
      </c>
      <c r="H24" s="46"/>
      <c r="I24" s="58" t="s">
        <v>17</v>
      </c>
      <c r="J24" s="21" t="s">
        <v>385</v>
      </c>
      <c r="K24" s="42"/>
      <c r="L24" s="191"/>
      <c r="M24" s="55"/>
      <c r="N24" s="55"/>
      <c r="O24" s="55"/>
      <c r="P24" s="55"/>
      <c r="Q24" s="55"/>
    </row>
    <row r="25">
      <c r="A25" s="47" t="s">
        <v>5</v>
      </c>
      <c r="B25" s="83" t="s">
        <v>386</v>
      </c>
      <c r="C25" s="210">
        <v>5.0</v>
      </c>
      <c r="D25" s="81" t="str">
        <f t="shared" si="1"/>
        <v>SEG.</v>
      </c>
      <c r="E25" s="13">
        <f t="shared" si="2"/>
        <v>7</v>
      </c>
      <c r="F25" s="35"/>
      <c r="G25" s="36">
        <v>450.0</v>
      </c>
      <c r="H25" s="70"/>
      <c r="I25" s="82" t="s">
        <v>17</v>
      </c>
      <c r="J25" s="79" t="s">
        <v>387</v>
      </c>
      <c r="K25" s="84"/>
      <c r="L25" s="84"/>
      <c r="M25" s="84"/>
      <c r="N25" s="84"/>
      <c r="O25" s="84"/>
      <c r="P25" s="84"/>
      <c r="Q25" s="84"/>
    </row>
    <row r="26">
      <c r="A26" s="192" t="s">
        <v>5</v>
      </c>
      <c r="B26" s="44" t="s">
        <v>388</v>
      </c>
      <c r="C26" s="66">
        <v>6.0</v>
      </c>
      <c r="D26" s="14" t="str">
        <f t="shared" si="1"/>
        <v>TER.</v>
      </c>
      <c r="E26" s="13">
        <f t="shared" si="2"/>
        <v>7</v>
      </c>
      <c r="F26" s="43"/>
      <c r="G26" s="45"/>
      <c r="H26" s="46">
        <v>2858.03</v>
      </c>
      <c r="I26" s="149" t="s">
        <v>17</v>
      </c>
      <c r="J26" s="44" t="s">
        <v>389</v>
      </c>
      <c r="K26" s="68"/>
      <c r="L26" s="68"/>
      <c r="M26" s="68"/>
      <c r="N26" s="68"/>
      <c r="O26" s="68"/>
      <c r="P26" s="68"/>
      <c r="Q26" s="68"/>
    </row>
    <row r="27">
      <c r="A27" s="192" t="s">
        <v>5</v>
      </c>
      <c r="B27" s="83" t="s">
        <v>350</v>
      </c>
      <c r="C27" s="13">
        <v>6.0</v>
      </c>
      <c r="D27" s="14" t="str">
        <f t="shared" si="1"/>
        <v>TER.</v>
      </c>
      <c r="E27" s="13">
        <f t="shared" si="2"/>
        <v>7</v>
      </c>
      <c r="F27" s="35"/>
      <c r="G27" s="36">
        <v>500.0</v>
      </c>
      <c r="H27" s="70"/>
      <c r="I27" s="78" t="s">
        <v>17</v>
      </c>
      <c r="J27" s="21" t="s">
        <v>390</v>
      </c>
      <c r="K27" s="84"/>
      <c r="L27" s="84"/>
      <c r="M27" s="84"/>
      <c r="N27" s="84"/>
      <c r="O27" s="84"/>
      <c r="P27" s="84"/>
      <c r="Q27" s="84"/>
    </row>
    <row r="28">
      <c r="A28" s="192" t="s">
        <v>5</v>
      </c>
      <c r="B28" s="83" t="s">
        <v>352</v>
      </c>
      <c r="C28" s="13">
        <v>6.0</v>
      </c>
      <c r="D28" s="14" t="str">
        <f t="shared" si="1"/>
        <v>TER.</v>
      </c>
      <c r="E28" s="13">
        <f t="shared" si="2"/>
        <v>7</v>
      </c>
      <c r="F28" s="35"/>
      <c r="G28" s="36"/>
      <c r="H28" s="36">
        <v>500.0</v>
      </c>
      <c r="I28" s="78" t="s">
        <v>17</v>
      </c>
      <c r="J28" s="21" t="s">
        <v>391</v>
      </c>
      <c r="K28" s="84"/>
      <c r="L28" s="84"/>
      <c r="M28" s="84"/>
      <c r="N28" s="84"/>
      <c r="O28" s="84"/>
      <c r="P28" s="84"/>
      <c r="Q28" s="84"/>
    </row>
    <row r="29">
      <c r="A29" s="181" t="s">
        <v>5</v>
      </c>
      <c r="B29" s="44" t="s">
        <v>295</v>
      </c>
      <c r="C29" s="13">
        <v>7.0</v>
      </c>
      <c r="D29" s="25" t="str">
        <f t="shared" si="1"/>
        <v>QUA.</v>
      </c>
      <c r="E29" s="13">
        <f t="shared" si="2"/>
        <v>7</v>
      </c>
      <c r="F29" s="14"/>
      <c r="G29" s="46">
        <v>987.06</v>
      </c>
      <c r="H29" s="46"/>
      <c r="I29" s="58" t="s">
        <v>13</v>
      </c>
      <c r="J29" s="21" t="s">
        <v>296</v>
      </c>
      <c r="K29" s="42"/>
      <c r="L29" s="191"/>
      <c r="M29" s="55"/>
      <c r="N29" s="55"/>
      <c r="O29" s="55"/>
      <c r="P29" s="55"/>
      <c r="Q29" s="55"/>
    </row>
    <row r="30">
      <c r="A30" s="71" t="s">
        <v>5</v>
      </c>
      <c r="B30" s="159" t="s">
        <v>388</v>
      </c>
      <c r="C30" s="73">
        <v>7.0</v>
      </c>
      <c r="D30" s="74" t="str">
        <f t="shared" si="1"/>
        <v>QUA.</v>
      </c>
      <c r="E30" s="13">
        <f t="shared" si="2"/>
        <v>7</v>
      </c>
      <c r="F30" s="30"/>
      <c r="G30" s="31"/>
      <c r="H30" s="46">
        <v>987.06</v>
      </c>
      <c r="I30" s="75" t="s">
        <v>13</v>
      </c>
      <c r="J30" s="72" t="s">
        <v>389</v>
      </c>
      <c r="K30" s="31"/>
      <c r="L30" s="31"/>
      <c r="M30" s="31"/>
      <c r="N30" s="31"/>
      <c r="O30" s="31"/>
      <c r="P30" s="31"/>
      <c r="Q30" s="31"/>
    </row>
    <row r="31">
      <c r="A31" s="192" t="s">
        <v>5</v>
      </c>
      <c r="B31" s="44" t="s">
        <v>73</v>
      </c>
      <c r="C31" s="13">
        <v>7.0</v>
      </c>
      <c r="D31" s="14" t="str">
        <f t="shared" si="1"/>
        <v>QUA.</v>
      </c>
      <c r="E31" s="13">
        <f t="shared" si="2"/>
        <v>7</v>
      </c>
      <c r="F31" s="85"/>
      <c r="G31" s="45"/>
      <c r="H31" s="46">
        <v>30.5</v>
      </c>
      <c r="I31" s="58" t="s">
        <v>17</v>
      </c>
      <c r="J31" s="21" t="s">
        <v>20</v>
      </c>
      <c r="K31" s="21"/>
      <c r="L31" s="21"/>
      <c r="M31" s="21"/>
      <c r="N31" s="21"/>
      <c r="O31" s="39"/>
      <c r="P31" s="39"/>
      <c r="Q31" s="39"/>
    </row>
    <row r="32">
      <c r="A32" s="192" t="s">
        <v>5</v>
      </c>
      <c r="B32" s="178" t="s">
        <v>305</v>
      </c>
      <c r="C32" s="66">
        <v>7.0</v>
      </c>
      <c r="D32" s="14" t="str">
        <f t="shared" si="1"/>
        <v>QUA.</v>
      </c>
      <c r="E32" s="13">
        <f t="shared" si="2"/>
        <v>7</v>
      </c>
      <c r="F32" s="43"/>
      <c r="G32" s="45"/>
      <c r="H32" s="46">
        <v>100.0</v>
      </c>
      <c r="I32" s="41" t="s">
        <v>17</v>
      </c>
      <c r="J32" s="44" t="s">
        <v>306</v>
      </c>
      <c r="K32" s="45"/>
      <c r="L32" s="45"/>
      <c r="M32" s="45"/>
      <c r="N32" s="45"/>
      <c r="O32" s="45"/>
      <c r="P32" s="45"/>
      <c r="Q32" s="45"/>
    </row>
    <row r="33">
      <c r="A33" s="192" t="s">
        <v>5</v>
      </c>
      <c r="B33" s="99" t="s">
        <v>119</v>
      </c>
      <c r="C33" s="13">
        <v>7.0</v>
      </c>
      <c r="D33" s="14" t="str">
        <f t="shared" si="1"/>
        <v>QUA.</v>
      </c>
      <c r="E33" s="13">
        <f t="shared" si="2"/>
        <v>7</v>
      </c>
      <c r="F33" s="35"/>
      <c r="G33" s="36">
        <v>3.84</v>
      </c>
      <c r="H33" s="70"/>
      <c r="I33" s="78" t="s">
        <v>17</v>
      </c>
      <c r="J33" s="21" t="s">
        <v>120</v>
      </c>
      <c r="K33" s="84"/>
      <c r="L33" s="84"/>
      <c r="M33" s="84"/>
      <c r="N33" s="84"/>
      <c r="O33" s="84"/>
      <c r="P33" s="84"/>
      <c r="Q33" s="84"/>
    </row>
    <row r="34">
      <c r="A34" s="192" t="s">
        <v>5</v>
      </c>
      <c r="B34" s="44" t="s">
        <v>39</v>
      </c>
      <c r="C34" s="13">
        <v>7.0</v>
      </c>
      <c r="D34" s="14" t="str">
        <f t="shared" si="1"/>
        <v>QUA.</v>
      </c>
      <c r="E34" s="13">
        <f t="shared" si="2"/>
        <v>7</v>
      </c>
      <c r="F34" s="87"/>
      <c r="G34" s="45"/>
      <c r="H34" s="53">
        <f>SUM(H35:H38)</f>
        <v>113.59</v>
      </c>
      <c r="I34" s="47" t="s">
        <v>17</v>
      </c>
      <c r="J34" s="21"/>
      <c r="K34" s="39"/>
      <c r="L34" s="39"/>
      <c r="M34" s="39"/>
      <c r="N34" s="39"/>
      <c r="O34" s="39"/>
      <c r="P34" s="39"/>
      <c r="Q34" s="39"/>
    </row>
    <row r="35" outlineLevel="1">
      <c r="A35" s="192" t="s">
        <v>40</v>
      </c>
      <c r="B35" s="83" t="s">
        <v>239</v>
      </c>
      <c r="C35" s="194"/>
      <c r="D35" s="195"/>
      <c r="E35" s="13">
        <f t="shared" si="2"/>
        <v>7</v>
      </c>
      <c r="F35" s="54"/>
      <c r="G35" s="70"/>
      <c r="H35" s="36">
        <v>1.0</v>
      </c>
      <c r="I35" s="197"/>
      <c r="J35" s="103" t="s">
        <v>157</v>
      </c>
      <c r="K35" s="84"/>
      <c r="L35" s="84"/>
      <c r="M35" s="84"/>
      <c r="N35" s="84"/>
      <c r="O35" s="84"/>
      <c r="P35" s="84"/>
      <c r="Q35" s="84"/>
    </row>
    <row r="36" outlineLevel="1">
      <c r="A36" s="192" t="s">
        <v>40</v>
      </c>
      <c r="B36" s="44" t="s">
        <v>392</v>
      </c>
      <c r="C36" s="13"/>
      <c r="D36" s="14"/>
      <c r="E36" s="13">
        <f t="shared" si="2"/>
        <v>7</v>
      </c>
      <c r="F36" s="54"/>
      <c r="G36" s="45"/>
      <c r="H36" s="46">
        <v>65.99</v>
      </c>
      <c r="I36" s="47"/>
      <c r="J36" s="21" t="s">
        <v>393</v>
      </c>
      <c r="K36" s="39"/>
      <c r="L36" s="39"/>
      <c r="M36" s="39"/>
      <c r="N36" s="39"/>
      <c r="O36" s="39"/>
      <c r="P36" s="39"/>
      <c r="Q36" s="39"/>
    </row>
    <row r="37" outlineLevel="1">
      <c r="A37" s="192" t="s">
        <v>40</v>
      </c>
      <c r="B37" s="44" t="s">
        <v>47</v>
      </c>
      <c r="C37" s="13"/>
      <c r="D37" s="14"/>
      <c r="E37" s="13">
        <f t="shared" si="2"/>
        <v>7</v>
      </c>
      <c r="F37" s="54"/>
      <c r="G37" s="45"/>
      <c r="H37" s="46">
        <v>13.7</v>
      </c>
      <c r="I37" s="47"/>
      <c r="J37" s="21" t="s">
        <v>48</v>
      </c>
      <c r="K37" s="39"/>
      <c r="L37" s="39"/>
      <c r="M37" s="39"/>
      <c r="N37" s="39"/>
      <c r="O37" s="39"/>
      <c r="P37" s="39"/>
      <c r="Q37" s="39"/>
    </row>
    <row r="38" outlineLevel="1">
      <c r="A38" s="192" t="s">
        <v>40</v>
      </c>
      <c r="B38" s="44" t="s">
        <v>244</v>
      </c>
      <c r="C38" s="13"/>
      <c r="D38" s="14"/>
      <c r="E38" s="13">
        <f t="shared" si="2"/>
        <v>7</v>
      </c>
      <c r="F38" s="54"/>
      <c r="G38" s="45"/>
      <c r="H38" s="46">
        <v>32.9</v>
      </c>
      <c r="I38" s="47"/>
      <c r="J38" s="21" t="s">
        <v>281</v>
      </c>
      <c r="K38" s="39"/>
      <c r="L38" s="39"/>
      <c r="M38" s="39"/>
      <c r="N38" s="39"/>
      <c r="O38" s="39"/>
      <c r="P38" s="39"/>
      <c r="Q38" s="39"/>
    </row>
    <row r="39">
      <c r="A39" s="192" t="s">
        <v>5</v>
      </c>
      <c r="B39" s="90" t="s">
        <v>394</v>
      </c>
      <c r="C39" s="13">
        <v>8.0</v>
      </c>
      <c r="D39" s="14" t="str">
        <f t="shared" ref="D39:D47" si="3">UPPER(TEXT(WEEKDAY(DATEVALUE(CONCATENATE(C39,"/",$C$3,"/",$A$1))),"DDD"))</f>
        <v>QUI.</v>
      </c>
      <c r="E39" s="13">
        <f t="shared" si="2"/>
        <v>7</v>
      </c>
      <c r="F39" s="87">
        <v>44390.0</v>
      </c>
      <c r="G39" s="56"/>
      <c r="H39" s="88">
        <v>551.68</v>
      </c>
      <c r="I39" s="58" t="s">
        <v>17</v>
      </c>
      <c r="J39" s="21" t="s">
        <v>60</v>
      </c>
      <c r="K39" s="59"/>
      <c r="L39" s="59"/>
      <c r="M39" s="59"/>
      <c r="N39" s="59"/>
      <c r="O39" s="59"/>
      <c r="P39" s="59"/>
      <c r="Q39" s="59"/>
    </row>
    <row r="40">
      <c r="A40" s="192" t="s">
        <v>5</v>
      </c>
      <c r="B40" s="39" t="s">
        <v>61</v>
      </c>
      <c r="C40" s="13">
        <v>8.0</v>
      </c>
      <c r="D40" s="14" t="str">
        <f t="shared" si="3"/>
        <v>QUI.</v>
      </c>
      <c r="E40" s="13">
        <f t="shared" si="2"/>
        <v>7</v>
      </c>
      <c r="F40" s="87"/>
      <c r="G40" s="45"/>
      <c r="H40" s="46">
        <v>179.27</v>
      </c>
      <c r="I40" s="58" t="s">
        <v>17</v>
      </c>
      <c r="J40" s="21" t="s">
        <v>62</v>
      </c>
      <c r="K40" s="39"/>
      <c r="L40" s="39"/>
      <c r="M40" s="39"/>
      <c r="N40" s="39"/>
      <c r="O40" s="39"/>
      <c r="P40" s="39"/>
      <c r="Q40" s="39"/>
    </row>
    <row r="41">
      <c r="A41" s="192" t="s">
        <v>5</v>
      </c>
      <c r="B41" s="44" t="s">
        <v>395</v>
      </c>
      <c r="C41" s="13">
        <v>9.0</v>
      </c>
      <c r="D41" s="14" t="str">
        <f t="shared" si="3"/>
        <v>SEX.</v>
      </c>
      <c r="E41" s="13">
        <f t="shared" si="2"/>
        <v>7</v>
      </c>
      <c r="F41" s="87"/>
      <c r="G41" s="45"/>
      <c r="H41" s="46">
        <v>37.8</v>
      </c>
      <c r="I41" s="58" t="s">
        <v>252</v>
      </c>
      <c r="J41" s="21" t="s">
        <v>20</v>
      </c>
      <c r="K41" s="39"/>
      <c r="L41" s="39"/>
      <c r="M41" s="39"/>
      <c r="N41" s="39"/>
      <c r="O41" s="39"/>
      <c r="P41" s="39"/>
      <c r="Q41" s="39"/>
    </row>
    <row r="42">
      <c r="A42" s="23" t="s">
        <v>5</v>
      </c>
      <c r="B42" s="177" t="s">
        <v>304</v>
      </c>
      <c r="C42" s="148">
        <v>9.0</v>
      </c>
      <c r="D42" s="14" t="str">
        <f t="shared" si="3"/>
        <v>SEX.</v>
      </c>
      <c r="E42" s="13">
        <f t="shared" si="2"/>
        <v>7</v>
      </c>
      <c r="F42" s="26"/>
      <c r="G42" s="56"/>
      <c r="H42" s="63">
        <v>20.0</v>
      </c>
      <c r="I42" s="180" t="s">
        <v>252</v>
      </c>
      <c r="J42" s="40" t="s">
        <v>20</v>
      </c>
      <c r="K42" s="56"/>
      <c r="L42" s="56"/>
      <c r="M42" s="56"/>
      <c r="N42" s="56"/>
      <c r="O42" s="56"/>
      <c r="P42" s="56"/>
      <c r="Q42" s="56"/>
    </row>
    <row r="43">
      <c r="A43" s="192" t="s">
        <v>5</v>
      </c>
      <c r="B43" s="61" t="s">
        <v>21</v>
      </c>
      <c r="C43" s="13">
        <v>9.0</v>
      </c>
      <c r="D43" s="14" t="str">
        <f t="shared" si="3"/>
        <v>SEX.</v>
      </c>
      <c r="E43" s="13">
        <f t="shared" si="2"/>
        <v>7</v>
      </c>
      <c r="F43" s="26"/>
      <c r="G43" s="56"/>
      <c r="H43" s="63">
        <v>395.22</v>
      </c>
      <c r="I43" s="58" t="s">
        <v>252</v>
      </c>
      <c r="J43" s="21" t="s">
        <v>22</v>
      </c>
      <c r="K43" s="59"/>
      <c r="L43" s="59"/>
      <c r="M43" s="59"/>
      <c r="N43" s="59"/>
      <c r="O43" s="59"/>
      <c r="P43" s="59"/>
      <c r="Q43" s="59"/>
    </row>
    <row r="44">
      <c r="A44" s="192" t="s">
        <v>5</v>
      </c>
      <c r="B44" s="34" t="s">
        <v>396</v>
      </c>
      <c r="C44" s="13">
        <v>10.0</v>
      </c>
      <c r="D44" s="14" t="str">
        <f t="shared" si="3"/>
        <v>SÁB.</v>
      </c>
      <c r="E44" s="13">
        <f t="shared" si="2"/>
        <v>7</v>
      </c>
      <c r="F44" s="87"/>
      <c r="G44" s="56"/>
      <c r="H44" s="63">
        <v>0.0</v>
      </c>
      <c r="I44" s="58" t="s">
        <v>17</v>
      </c>
      <c r="J44" s="21" t="s">
        <v>67</v>
      </c>
      <c r="K44" s="59"/>
      <c r="L44" s="59"/>
      <c r="M44" s="59"/>
      <c r="N44" s="59"/>
      <c r="O44" s="59"/>
      <c r="P44" s="59"/>
      <c r="Q44" s="59"/>
    </row>
    <row r="45">
      <c r="A45" s="192" t="s">
        <v>5</v>
      </c>
      <c r="B45" s="44" t="s">
        <v>74</v>
      </c>
      <c r="C45" s="13">
        <v>10.0</v>
      </c>
      <c r="D45" s="14" t="str">
        <f t="shared" si="3"/>
        <v>SÁB.</v>
      </c>
      <c r="E45" s="13">
        <f t="shared" si="2"/>
        <v>7</v>
      </c>
      <c r="F45" s="87">
        <v>44384.0</v>
      </c>
      <c r="G45" s="45"/>
      <c r="H45" s="46">
        <v>102.0</v>
      </c>
      <c r="I45" s="58" t="s">
        <v>17</v>
      </c>
      <c r="J45" s="21" t="s">
        <v>75</v>
      </c>
      <c r="K45" s="39"/>
      <c r="L45" s="39"/>
      <c r="M45" s="39"/>
      <c r="N45" s="39"/>
      <c r="O45" s="39"/>
      <c r="P45" s="39"/>
      <c r="Q45" s="39"/>
    </row>
    <row r="46">
      <c r="A46" s="192" t="s">
        <v>5</v>
      </c>
      <c r="B46" s="83" t="s">
        <v>374</v>
      </c>
      <c r="C46" s="13">
        <v>11.0</v>
      </c>
      <c r="D46" s="14" t="str">
        <f t="shared" si="3"/>
        <v>DOM.</v>
      </c>
      <c r="E46" s="13">
        <f t="shared" si="2"/>
        <v>7</v>
      </c>
      <c r="F46" s="35"/>
      <c r="G46" s="36"/>
      <c r="H46" s="36">
        <v>74.8</v>
      </c>
      <c r="I46" s="78" t="s">
        <v>17</v>
      </c>
      <c r="J46" s="21" t="s">
        <v>397</v>
      </c>
      <c r="K46" s="84"/>
      <c r="L46" s="84"/>
      <c r="M46" s="84"/>
      <c r="N46" s="84"/>
      <c r="O46" s="84"/>
      <c r="P46" s="84"/>
      <c r="Q46" s="84"/>
    </row>
    <row r="47">
      <c r="A47" s="192" t="s">
        <v>5</v>
      </c>
      <c r="B47" s="177" t="s">
        <v>84</v>
      </c>
      <c r="C47" s="148">
        <v>12.0</v>
      </c>
      <c r="D47" s="25" t="str">
        <f t="shared" si="3"/>
        <v>SEG.</v>
      </c>
      <c r="E47" s="13">
        <f t="shared" si="2"/>
        <v>7</v>
      </c>
      <c r="F47" s="87">
        <v>44384.0</v>
      </c>
      <c r="G47" s="56"/>
      <c r="H47" s="101">
        <f>SUM(H48:H54)</f>
        <v>676.03</v>
      </c>
      <c r="I47" s="23" t="s">
        <v>17</v>
      </c>
      <c r="J47" s="40"/>
      <c r="K47" s="56"/>
      <c r="L47" s="56"/>
      <c r="M47" s="56"/>
      <c r="N47" s="56"/>
      <c r="O47" s="56"/>
      <c r="P47" s="56"/>
      <c r="Q47" s="56"/>
    </row>
    <row r="48" outlineLevel="1">
      <c r="A48" s="192" t="s">
        <v>40</v>
      </c>
      <c r="B48" s="44" t="s">
        <v>398</v>
      </c>
      <c r="C48" s="187"/>
      <c r="D48" s="108"/>
      <c r="E48" s="13">
        <f t="shared" si="2"/>
        <v>7</v>
      </c>
      <c r="F48" s="100">
        <v>44355.0</v>
      </c>
      <c r="G48" s="45"/>
      <c r="H48" s="46">
        <v>222.18</v>
      </c>
      <c r="I48" s="188"/>
      <c r="J48" s="44" t="s">
        <v>399</v>
      </c>
      <c r="K48" s="68"/>
      <c r="L48" s="68"/>
      <c r="M48" s="68"/>
      <c r="N48" s="68"/>
      <c r="O48" s="68"/>
      <c r="P48" s="68"/>
      <c r="Q48" s="68"/>
    </row>
    <row r="49" outlineLevel="1">
      <c r="A49" s="192" t="s">
        <v>40</v>
      </c>
      <c r="B49" s="44" t="s">
        <v>400</v>
      </c>
      <c r="C49" s="187"/>
      <c r="D49" s="108"/>
      <c r="E49" s="13">
        <f t="shared" si="2"/>
        <v>7</v>
      </c>
      <c r="F49" s="100">
        <v>44355.0</v>
      </c>
      <c r="G49" s="45"/>
      <c r="H49" s="46">
        <v>56.59</v>
      </c>
      <c r="I49" s="188"/>
      <c r="J49" s="21" t="s">
        <v>401</v>
      </c>
      <c r="K49" s="68"/>
      <c r="L49" s="68"/>
      <c r="M49" s="68"/>
      <c r="N49" s="68"/>
      <c r="O49" s="68"/>
      <c r="P49" s="68"/>
      <c r="Q49" s="68"/>
    </row>
    <row r="50" outlineLevel="1">
      <c r="A50" s="192" t="s">
        <v>40</v>
      </c>
      <c r="B50" s="198" t="s">
        <v>402</v>
      </c>
      <c r="C50" s="194"/>
      <c r="D50" s="195"/>
      <c r="E50" s="13">
        <f t="shared" si="2"/>
        <v>7</v>
      </c>
      <c r="F50" s="211">
        <v>44359.0</v>
      </c>
      <c r="G50" s="70"/>
      <c r="H50" s="151">
        <v>47.9</v>
      </c>
      <c r="I50" s="78"/>
      <c r="J50" s="83" t="s">
        <v>215</v>
      </c>
      <c r="K50" s="70"/>
      <c r="L50" s="70"/>
      <c r="M50" s="70"/>
      <c r="N50" s="70"/>
      <c r="O50" s="70"/>
      <c r="P50" s="70"/>
      <c r="Q50" s="70"/>
    </row>
    <row r="51" outlineLevel="1">
      <c r="A51" s="192" t="s">
        <v>40</v>
      </c>
      <c r="B51" s="61" t="s">
        <v>21</v>
      </c>
      <c r="C51" s="13"/>
      <c r="D51" s="14"/>
      <c r="E51" s="13">
        <f t="shared" si="2"/>
        <v>7</v>
      </c>
      <c r="F51" s="196">
        <v>44362.0</v>
      </c>
      <c r="G51" s="56"/>
      <c r="H51" s="63">
        <v>258.5</v>
      </c>
      <c r="I51" s="47"/>
      <c r="J51" s="21" t="s">
        <v>403</v>
      </c>
      <c r="K51" s="59"/>
      <c r="L51" s="59"/>
      <c r="M51" s="59"/>
      <c r="N51" s="59"/>
      <c r="O51" s="59"/>
      <c r="P51" s="59"/>
      <c r="Q51" s="59"/>
    </row>
    <row r="52" outlineLevel="1">
      <c r="A52" s="192" t="s">
        <v>40</v>
      </c>
      <c r="B52" s="55" t="s">
        <v>133</v>
      </c>
      <c r="C52" s="33"/>
      <c r="D52" s="81"/>
      <c r="E52" s="13">
        <f t="shared" si="2"/>
        <v>7</v>
      </c>
      <c r="F52" s="196">
        <v>44362.0</v>
      </c>
      <c r="G52" s="147"/>
      <c r="H52" s="36">
        <v>72.97</v>
      </c>
      <c r="I52" s="58"/>
      <c r="J52" s="83" t="s">
        <v>404</v>
      </c>
      <c r="K52" s="39"/>
      <c r="L52" s="39"/>
      <c r="M52" s="39"/>
      <c r="N52" s="39"/>
      <c r="O52" s="39"/>
      <c r="P52" s="39"/>
      <c r="Q52" s="39"/>
    </row>
    <row r="53" outlineLevel="1">
      <c r="A53" s="192" t="s">
        <v>40</v>
      </c>
      <c r="B53" s="177" t="s">
        <v>311</v>
      </c>
      <c r="C53" s="200"/>
      <c r="D53" s="201"/>
      <c r="E53" s="13">
        <f t="shared" si="2"/>
        <v>7</v>
      </c>
      <c r="F53" s="94">
        <v>44362.0</v>
      </c>
      <c r="G53" s="203"/>
      <c r="H53" s="101">
        <v>7.99</v>
      </c>
      <c r="I53" s="23"/>
      <c r="J53" s="34" t="s">
        <v>309</v>
      </c>
      <c r="K53" s="203"/>
      <c r="L53" s="203"/>
      <c r="M53" s="203"/>
      <c r="N53" s="203"/>
      <c r="O53" s="203"/>
      <c r="P53" s="203"/>
      <c r="Q53" s="203"/>
    </row>
    <row r="54" outlineLevel="1">
      <c r="A54" s="192" t="s">
        <v>40</v>
      </c>
      <c r="B54" s="42" t="s">
        <v>87</v>
      </c>
      <c r="C54" s="204"/>
      <c r="D54" s="205"/>
      <c r="E54" s="13">
        <f t="shared" si="2"/>
        <v>7</v>
      </c>
      <c r="F54" s="100">
        <v>44373.0</v>
      </c>
      <c r="G54" s="206"/>
      <c r="H54" s="53">
        <v>9.9</v>
      </c>
      <c r="I54" s="65"/>
      <c r="J54" s="44" t="s">
        <v>88</v>
      </c>
      <c r="K54" s="191"/>
      <c r="L54" s="191"/>
      <c r="M54" s="191"/>
      <c r="N54" s="191"/>
      <c r="O54" s="191"/>
      <c r="P54" s="191"/>
      <c r="Q54" s="191"/>
    </row>
    <row r="55">
      <c r="A55" s="11" t="s">
        <v>5</v>
      </c>
      <c r="B55" s="44" t="s">
        <v>405</v>
      </c>
      <c r="C55" s="13">
        <v>12.0</v>
      </c>
      <c r="D55" s="14" t="str">
        <f t="shared" ref="D55:D112" si="4">UPPER(TEXT(WEEKDAY(DATEVALUE(CONCATENATE(C55,"/",$C$3,"/",$A$1))),"DDD"))</f>
        <v>SEG.</v>
      </c>
      <c r="E55" s="13">
        <f t="shared" si="2"/>
        <v>7</v>
      </c>
      <c r="F55" s="87">
        <v>44384.0</v>
      </c>
      <c r="G55" s="45"/>
      <c r="H55" s="46">
        <v>908.04</v>
      </c>
      <c r="I55" s="58" t="s">
        <v>17</v>
      </c>
      <c r="J55" s="21" t="s">
        <v>83</v>
      </c>
      <c r="K55" s="39"/>
      <c r="L55" s="39"/>
      <c r="M55" s="39"/>
      <c r="N55" s="39"/>
      <c r="O55" s="39"/>
      <c r="P55" s="39"/>
      <c r="Q55" s="39"/>
    </row>
    <row r="56">
      <c r="A56" s="192" t="s">
        <v>5</v>
      </c>
      <c r="B56" s="79" t="s">
        <v>117</v>
      </c>
      <c r="C56" s="80">
        <v>12.0</v>
      </c>
      <c r="D56" s="81" t="str">
        <f t="shared" si="4"/>
        <v>SEG.</v>
      </c>
      <c r="E56" s="13">
        <f t="shared" si="2"/>
        <v>7</v>
      </c>
      <c r="F56" s="35"/>
      <c r="G56" s="70"/>
      <c r="H56" s="151">
        <v>20.0</v>
      </c>
      <c r="I56" s="78" t="s">
        <v>17</v>
      </c>
      <c r="J56" s="199" t="s">
        <v>118</v>
      </c>
      <c r="K56" s="84"/>
      <c r="L56" s="84"/>
      <c r="M56" s="84"/>
      <c r="N56" s="84"/>
      <c r="O56" s="84"/>
      <c r="P56" s="84"/>
      <c r="Q56" s="84"/>
    </row>
    <row r="57">
      <c r="A57" s="102" t="s">
        <v>5</v>
      </c>
      <c r="B57" s="69" t="s">
        <v>406</v>
      </c>
      <c r="C57" s="80">
        <v>13.0</v>
      </c>
      <c r="D57" s="81" t="str">
        <f t="shared" si="4"/>
        <v>TER.</v>
      </c>
      <c r="E57" s="13">
        <f t="shared" si="2"/>
        <v>7</v>
      </c>
      <c r="F57" s="35"/>
      <c r="G57" s="36">
        <v>540.0</v>
      </c>
      <c r="H57" s="151"/>
      <c r="I57" s="78" t="s">
        <v>17</v>
      </c>
      <c r="J57" s="103" t="s">
        <v>407</v>
      </c>
      <c r="K57" s="70"/>
      <c r="L57" s="70"/>
      <c r="M57" s="70"/>
      <c r="N57" s="70"/>
      <c r="O57" s="70"/>
      <c r="P57" s="70"/>
      <c r="Q57" s="70"/>
    </row>
    <row r="58">
      <c r="A58" s="192" t="s">
        <v>5</v>
      </c>
      <c r="B58" s="29" t="s">
        <v>305</v>
      </c>
      <c r="C58" s="73">
        <v>14.0</v>
      </c>
      <c r="D58" s="74" t="str">
        <f t="shared" si="4"/>
        <v>QUA.</v>
      </c>
      <c r="E58" s="13">
        <f t="shared" si="2"/>
        <v>7</v>
      </c>
      <c r="F58" s="30"/>
      <c r="G58" s="31"/>
      <c r="H58" s="153">
        <v>100.0</v>
      </c>
      <c r="I58" s="71" t="s">
        <v>17</v>
      </c>
      <c r="J58" s="72" t="s">
        <v>306</v>
      </c>
      <c r="K58" s="31"/>
      <c r="L58" s="31"/>
      <c r="M58" s="31"/>
      <c r="N58" s="31"/>
      <c r="O58" s="31"/>
      <c r="P58" s="31"/>
      <c r="Q58" s="31"/>
    </row>
    <row r="59">
      <c r="A59" s="192" t="s">
        <v>5</v>
      </c>
      <c r="B59" s="198" t="s">
        <v>260</v>
      </c>
      <c r="C59" s="80">
        <v>15.0</v>
      </c>
      <c r="D59" s="81" t="str">
        <f t="shared" si="4"/>
        <v>QUI.</v>
      </c>
      <c r="E59" s="13">
        <f t="shared" si="2"/>
        <v>7</v>
      </c>
      <c r="F59" s="35"/>
      <c r="G59" s="36">
        <v>5000.0</v>
      </c>
      <c r="H59" s="70"/>
      <c r="I59" s="78" t="s">
        <v>261</v>
      </c>
      <c r="J59" s="103" t="s">
        <v>64</v>
      </c>
      <c r="K59" s="70"/>
      <c r="L59" s="70"/>
      <c r="M59" s="70"/>
      <c r="N59" s="70"/>
      <c r="O59" s="70"/>
      <c r="P59" s="70"/>
      <c r="Q59" s="70"/>
    </row>
    <row r="60">
      <c r="A60" s="192" t="s">
        <v>25</v>
      </c>
      <c r="B60" s="39" t="s">
        <v>26</v>
      </c>
      <c r="C60" s="66">
        <v>15.0</v>
      </c>
      <c r="D60" s="14" t="str">
        <f t="shared" si="4"/>
        <v>QUI.</v>
      </c>
      <c r="E60" s="13">
        <f t="shared" si="2"/>
        <v>7</v>
      </c>
      <c r="F60" s="43"/>
      <c r="G60" s="45"/>
      <c r="H60" s="53">
        <v>5000.0</v>
      </c>
      <c r="I60" s="67" t="s">
        <v>261</v>
      </c>
      <c r="J60" s="42"/>
      <c r="K60" s="68"/>
      <c r="L60" s="68"/>
      <c r="M60" s="68"/>
      <c r="N60" s="68"/>
      <c r="O60" s="68"/>
      <c r="P60" s="68"/>
      <c r="Q60" s="68"/>
    </row>
    <row r="61">
      <c r="A61" s="192" t="s">
        <v>25</v>
      </c>
      <c r="B61" s="61" t="s">
        <v>27</v>
      </c>
      <c r="C61" s="148">
        <v>15.0</v>
      </c>
      <c r="D61" s="25" t="str">
        <f t="shared" si="4"/>
        <v>QUI.</v>
      </c>
      <c r="E61" s="13">
        <f t="shared" si="2"/>
        <v>7</v>
      </c>
      <c r="F61" s="26"/>
      <c r="G61" s="101">
        <v>5000.0</v>
      </c>
      <c r="H61" s="56"/>
      <c r="I61" s="64" t="s">
        <v>17</v>
      </c>
      <c r="J61" s="40"/>
      <c r="K61" s="59"/>
      <c r="L61" s="59"/>
      <c r="M61" s="59"/>
      <c r="N61" s="59"/>
      <c r="O61" s="59"/>
      <c r="P61" s="59"/>
      <c r="Q61" s="59"/>
    </row>
    <row r="62">
      <c r="A62" s="192" t="s">
        <v>5</v>
      </c>
      <c r="B62" s="39" t="s">
        <v>102</v>
      </c>
      <c r="C62" s="13">
        <v>15.0</v>
      </c>
      <c r="D62" s="14" t="str">
        <f t="shared" si="4"/>
        <v>QUI.</v>
      </c>
      <c r="E62" s="13">
        <f t="shared" si="2"/>
        <v>7</v>
      </c>
      <c r="F62" s="87">
        <v>44384.0</v>
      </c>
      <c r="G62" s="45"/>
      <c r="H62" s="46">
        <v>208.7</v>
      </c>
      <c r="I62" s="58" t="s">
        <v>17</v>
      </c>
      <c r="J62" s="21" t="s">
        <v>408</v>
      </c>
      <c r="K62" s="39"/>
      <c r="L62" s="39"/>
      <c r="M62" s="39"/>
      <c r="N62" s="39"/>
      <c r="O62" s="39"/>
      <c r="P62" s="39"/>
      <c r="Q62" s="39"/>
    </row>
    <row r="63">
      <c r="A63" s="192" t="s">
        <v>5</v>
      </c>
      <c r="B63" s="61" t="s">
        <v>103</v>
      </c>
      <c r="C63" s="13">
        <v>15.0</v>
      </c>
      <c r="D63" s="14" t="str">
        <f t="shared" si="4"/>
        <v>QUI.</v>
      </c>
      <c r="E63" s="13">
        <f t="shared" si="2"/>
        <v>7</v>
      </c>
      <c r="F63" s="87">
        <v>44384.0</v>
      </c>
      <c r="G63" s="56"/>
      <c r="H63" s="63">
        <v>208.7</v>
      </c>
      <c r="I63" s="58" t="s">
        <v>17</v>
      </c>
      <c r="J63" s="21" t="s">
        <v>409</v>
      </c>
      <c r="K63" s="61"/>
      <c r="L63" s="61"/>
      <c r="M63" s="61"/>
      <c r="N63" s="61"/>
      <c r="O63" s="61"/>
      <c r="P63" s="61"/>
      <c r="Q63" s="61"/>
    </row>
    <row r="64">
      <c r="A64" s="192" t="s">
        <v>5</v>
      </c>
      <c r="B64" s="39" t="s">
        <v>104</v>
      </c>
      <c r="C64" s="13">
        <v>15.0</v>
      </c>
      <c r="D64" s="14" t="str">
        <f t="shared" si="4"/>
        <v>QUI.</v>
      </c>
      <c r="E64" s="13">
        <f t="shared" si="2"/>
        <v>7</v>
      </c>
      <c r="F64" s="87">
        <v>44384.0</v>
      </c>
      <c r="G64" s="45"/>
      <c r="H64" s="46">
        <v>263.88</v>
      </c>
      <c r="I64" s="58" t="s">
        <v>17</v>
      </c>
      <c r="J64" s="21" t="s">
        <v>291</v>
      </c>
      <c r="K64" s="39"/>
      <c r="L64" s="39"/>
      <c r="M64" s="39"/>
      <c r="N64" s="39"/>
      <c r="O64" s="39"/>
      <c r="P64" s="39"/>
      <c r="Q64" s="39"/>
    </row>
    <row r="65">
      <c r="A65" s="78" t="s">
        <v>5</v>
      </c>
      <c r="B65" s="79" t="s">
        <v>73</v>
      </c>
      <c r="C65" s="80">
        <v>15.0</v>
      </c>
      <c r="D65" s="81" t="str">
        <f t="shared" si="4"/>
        <v>QUI.</v>
      </c>
      <c r="E65" s="13">
        <f t="shared" si="2"/>
        <v>7</v>
      </c>
      <c r="F65" s="35"/>
      <c r="G65" s="70"/>
      <c r="H65" s="36">
        <v>38.0</v>
      </c>
      <c r="I65" s="152" t="s">
        <v>17</v>
      </c>
      <c r="J65" s="199" t="s">
        <v>20</v>
      </c>
      <c r="K65" s="106"/>
      <c r="L65" s="106"/>
      <c r="M65" s="106"/>
      <c r="N65" s="106"/>
      <c r="O65" s="84"/>
      <c r="P65" s="84"/>
      <c r="Q65" s="84"/>
    </row>
    <row r="66">
      <c r="A66" s="192" t="s">
        <v>5</v>
      </c>
      <c r="B66" s="44" t="s">
        <v>410</v>
      </c>
      <c r="C66" s="13">
        <v>15.0</v>
      </c>
      <c r="D66" s="14" t="str">
        <f t="shared" si="4"/>
        <v>QUI.</v>
      </c>
      <c r="E66" s="13">
        <f t="shared" si="2"/>
        <v>7</v>
      </c>
      <c r="F66" s="94"/>
      <c r="G66" s="45"/>
      <c r="H66" s="46">
        <v>750.0</v>
      </c>
      <c r="I66" s="58" t="s">
        <v>17</v>
      </c>
      <c r="J66" s="21" t="s">
        <v>122</v>
      </c>
      <c r="K66" s="39"/>
      <c r="L66" s="39"/>
      <c r="M66" s="39"/>
      <c r="N66" s="39"/>
      <c r="O66" s="39"/>
      <c r="P66" s="39"/>
      <c r="Q66" s="39"/>
    </row>
    <row r="67">
      <c r="A67" s="192" t="s">
        <v>5</v>
      </c>
      <c r="B67" s="42" t="s">
        <v>109</v>
      </c>
      <c r="C67" s="13">
        <v>15.0</v>
      </c>
      <c r="D67" s="14" t="str">
        <f t="shared" si="4"/>
        <v>QUI.</v>
      </c>
      <c r="E67" s="13">
        <f t="shared" si="2"/>
        <v>7</v>
      </c>
      <c r="F67" s="14"/>
      <c r="G67" s="53">
        <v>2500.0</v>
      </c>
      <c r="H67" s="53"/>
      <c r="I67" s="58" t="s">
        <v>15</v>
      </c>
      <c r="J67" s="44" t="s">
        <v>411</v>
      </c>
      <c r="K67" s="42"/>
      <c r="L67" s="96"/>
      <c r="M67" s="21"/>
      <c r="N67" s="21"/>
      <c r="O67" s="39"/>
      <c r="P67" s="39"/>
      <c r="Q67" s="39"/>
    </row>
    <row r="68">
      <c r="A68" s="41" t="s">
        <v>25</v>
      </c>
      <c r="B68" s="39" t="s">
        <v>26</v>
      </c>
      <c r="C68" s="66">
        <v>15.0</v>
      </c>
      <c r="D68" s="14" t="str">
        <f t="shared" si="4"/>
        <v>QUI.</v>
      </c>
      <c r="E68" s="13">
        <f t="shared" si="2"/>
        <v>7</v>
      </c>
      <c r="F68" s="43"/>
      <c r="G68" s="45"/>
      <c r="H68" s="53">
        <v>2500.0</v>
      </c>
      <c r="I68" s="149" t="s">
        <v>15</v>
      </c>
      <c r="J68" s="44"/>
      <c r="K68" s="68"/>
      <c r="L68" s="68"/>
      <c r="M68" s="68"/>
      <c r="N68" s="68"/>
      <c r="O68" s="68"/>
      <c r="P68" s="68"/>
      <c r="Q68" s="68"/>
    </row>
    <row r="69">
      <c r="A69" s="71" t="s">
        <v>25</v>
      </c>
      <c r="B69" s="72" t="s">
        <v>27</v>
      </c>
      <c r="C69" s="193">
        <v>15.0</v>
      </c>
      <c r="D69" s="74" t="str">
        <f t="shared" si="4"/>
        <v>QUI.</v>
      </c>
      <c r="E69" s="13">
        <f t="shared" si="2"/>
        <v>7</v>
      </c>
      <c r="F69" s="30"/>
      <c r="G69" s="53">
        <v>2500.0</v>
      </c>
      <c r="H69" s="31"/>
      <c r="I69" s="154" t="s">
        <v>17</v>
      </c>
      <c r="J69" s="76"/>
      <c r="K69" s="77"/>
      <c r="L69" s="77"/>
      <c r="M69" s="77"/>
      <c r="N69" s="77"/>
      <c r="O69" s="77"/>
      <c r="P69" s="77"/>
      <c r="Q69" s="77"/>
    </row>
    <row r="70">
      <c r="A70" s="11" t="s">
        <v>5</v>
      </c>
      <c r="B70" s="61" t="s">
        <v>65</v>
      </c>
      <c r="C70" s="13">
        <v>15.0</v>
      </c>
      <c r="D70" s="25" t="str">
        <f t="shared" si="4"/>
        <v>QUI.</v>
      </c>
      <c r="E70" s="13">
        <f t="shared" si="2"/>
        <v>7</v>
      </c>
      <c r="F70" s="85"/>
      <c r="G70" s="45"/>
      <c r="H70" s="53">
        <v>2500.0</v>
      </c>
      <c r="I70" s="58" t="s">
        <v>17</v>
      </c>
      <c r="J70" s="34" t="s">
        <v>191</v>
      </c>
      <c r="K70" s="39"/>
      <c r="L70" s="39"/>
      <c r="M70" s="39"/>
      <c r="N70" s="39"/>
      <c r="O70" s="39"/>
      <c r="P70" s="39"/>
      <c r="Q70" s="39"/>
    </row>
    <row r="71">
      <c r="A71" s="192" t="s">
        <v>5</v>
      </c>
      <c r="B71" s="83" t="s">
        <v>412</v>
      </c>
      <c r="C71" s="13">
        <v>15.0</v>
      </c>
      <c r="D71" s="14" t="str">
        <f t="shared" si="4"/>
        <v>QUI.</v>
      </c>
      <c r="E71" s="13">
        <f t="shared" si="2"/>
        <v>7</v>
      </c>
      <c r="F71" s="35"/>
      <c r="G71" s="36"/>
      <c r="H71" s="36">
        <v>497.0</v>
      </c>
      <c r="I71" s="78" t="s">
        <v>17</v>
      </c>
      <c r="J71" s="21" t="s">
        <v>413</v>
      </c>
      <c r="K71" s="84"/>
      <c r="L71" s="84"/>
      <c r="M71" s="84"/>
      <c r="N71" s="84"/>
      <c r="O71" s="84"/>
      <c r="P71" s="84"/>
      <c r="Q71" s="84"/>
    </row>
    <row r="72">
      <c r="A72" s="192" t="s">
        <v>5</v>
      </c>
      <c r="B72" s="185" t="s">
        <v>138</v>
      </c>
      <c r="C72" s="66">
        <v>16.0</v>
      </c>
      <c r="D72" s="14" t="str">
        <f t="shared" si="4"/>
        <v>SEX.</v>
      </c>
      <c r="E72" s="13">
        <f t="shared" si="2"/>
        <v>7</v>
      </c>
      <c r="F72" s="43"/>
      <c r="G72" s="45"/>
      <c r="H72" s="46">
        <v>61.8</v>
      </c>
      <c r="I72" s="41" t="s">
        <v>17</v>
      </c>
      <c r="J72" s="42" t="s">
        <v>20</v>
      </c>
      <c r="K72" s="45"/>
      <c r="L72" s="45"/>
      <c r="M72" s="45"/>
      <c r="N72" s="45"/>
      <c r="O72" s="45"/>
      <c r="P72" s="45"/>
      <c r="Q72" s="45"/>
    </row>
    <row r="73">
      <c r="A73" s="192" t="s">
        <v>5</v>
      </c>
      <c r="B73" s="177" t="s">
        <v>21</v>
      </c>
      <c r="C73" s="62">
        <v>16.0</v>
      </c>
      <c r="D73" s="25" t="str">
        <f t="shared" si="4"/>
        <v>SEX.</v>
      </c>
      <c r="E73" s="13">
        <f t="shared" si="2"/>
        <v>7</v>
      </c>
      <c r="F73" s="26"/>
      <c r="G73" s="56"/>
      <c r="H73" s="63">
        <v>378.82</v>
      </c>
      <c r="I73" s="33" t="s">
        <v>17</v>
      </c>
      <c r="J73" s="173" t="s">
        <v>22</v>
      </c>
      <c r="K73" s="56"/>
      <c r="L73" s="56"/>
      <c r="M73" s="56"/>
      <c r="N73" s="56"/>
      <c r="O73" s="56"/>
      <c r="P73" s="56"/>
      <c r="Q73" s="56"/>
    </row>
    <row r="74">
      <c r="A74" s="78" t="s">
        <v>25</v>
      </c>
      <c r="B74" s="79" t="s">
        <v>26</v>
      </c>
      <c r="C74" s="150">
        <v>17.0</v>
      </c>
      <c r="D74" s="81" t="str">
        <f t="shared" si="4"/>
        <v>SÁB.</v>
      </c>
      <c r="E74" s="13">
        <f t="shared" si="2"/>
        <v>7</v>
      </c>
      <c r="F74" s="35"/>
      <c r="G74" s="70"/>
      <c r="H74" s="36">
        <v>2.73</v>
      </c>
      <c r="I74" s="82" t="s">
        <v>16</v>
      </c>
      <c r="J74" s="83"/>
      <c r="K74" s="84"/>
      <c r="L74" s="84"/>
      <c r="M74" s="84"/>
      <c r="N74" s="84"/>
      <c r="O74" s="84"/>
      <c r="P74" s="84"/>
      <c r="Q74" s="84"/>
    </row>
    <row r="75">
      <c r="A75" s="71" t="s">
        <v>25</v>
      </c>
      <c r="B75" s="72" t="s">
        <v>27</v>
      </c>
      <c r="C75" s="73">
        <v>17.0</v>
      </c>
      <c r="D75" s="74" t="str">
        <f t="shared" si="4"/>
        <v>SÁB.</v>
      </c>
      <c r="E75" s="13">
        <f t="shared" si="2"/>
        <v>7</v>
      </c>
      <c r="F75" s="30"/>
      <c r="G75" s="32">
        <v>2.73</v>
      </c>
      <c r="H75" s="31"/>
      <c r="I75" s="154" t="s">
        <v>17</v>
      </c>
      <c r="J75" s="76"/>
      <c r="K75" s="77"/>
      <c r="L75" s="77"/>
      <c r="M75" s="77"/>
      <c r="N75" s="77"/>
      <c r="O75" s="77"/>
      <c r="P75" s="77"/>
      <c r="Q75" s="77"/>
    </row>
    <row r="76">
      <c r="A76" s="102" t="s">
        <v>5</v>
      </c>
      <c r="B76" s="83" t="s">
        <v>368</v>
      </c>
      <c r="C76" s="207">
        <v>11.0</v>
      </c>
      <c r="D76" s="81" t="str">
        <f t="shared" si="4"/>
        <v>DOM.</v>
      </c>
      <c r="E76" s="13">
        <f t="shared" si="2"/>
        <v>7</v>
      </c>
      <c r="F76" s="35"/>
      <c r="G76" s="151"/>
      <c r="H76" s="36">
        <v>540.0</v>
      </c>
      <c r="I76" s="78" t="s">
        <v>17</v>
      </c>
      <c r="J76" s="199" t="s">
        <v>363</v>
      </c>
      <c r="K76" s="84"/>
      <c r="L76" s="84"/>
      <c r="M76" s="84"/>
      <c r="N76" s="84"/>
      <c r="O76" s="84"/>
      <c r="P76" s="84"/>
      <c r="Q76" s="84"/>
    </row>
    <row r="77">
      <c r="A77" s="158" t="s">
        <v>5</v>
      </c>
      <c r="B77" s="55" t="s">
        <v>414</v>
      </c>
      <c r="C77" s="33">
        <v>19.0</v>
      </c>
      <c r="D77" s="14" t="str">
        <f t="shared" si="4"/>
        <v>SEG.</v>
      </c>
      <c r="E77" s="13">
        <f t="shared" si="2"/>
        <v>7</v>
      </c>
      <c r="F77" s="146"/>
      <c r="G77" s="212"/>
      <c r="H77" s="36">
        <v>110.0</v>
      </c>
      <c r="I77" s="213" t="s">
        <v>17</v>
      </c>
      <c r="J77" s="55" t="s">
        <v>415</v>
      </c>
      <c r="K77" s="55"/>
      <c r="L77" s="214"/>
      <c r="M77" s="39"/>
      <c r="N77" s="39"/>
      <c r="O77" s="39"/>
      <c r="P77" s="39"/>
      <c r="Q77" s="39"/>
    </row>
    <row r="78">
      <c r="A78" s="192" t="s">
        <v>5</v>
      </c>
      <c r="B78" s="44" t="s">
        <v>416</v>
      </c>
      <c r="C78" s="13">
        <v>19.0</v>
      </c>
      <c r="D78" s="14" t="str">
        <f t="shared" si="4"/>
        <v>SEG.</v>
      </c>
      <c r="E78" s="13">
        <f t="shared" si="2"/>
        <v>7</v>
      </c>
      <c r="F78" s="87"/>
      <c r="G78" s="45"/>
      <c r="H78" s="46">
        <v>30.0</v>
      </c>
      <c r="I78" s="58" t="s">
        <v>17</v>
      </c>
      <c r="J78" s="55" t="s">
        <v>415</v>
      </c>
      <c r="K78" s="39"/>
      <c r="L78" s="39"/>
      <c r="M78" s="39"/>
      <c r="N78" s="39"/>
      <c r="O78" s="39"/>
      <c r="P78" s="39"/>
      <c r="Q78" s="39"/>
    </row>
    <row r="79">
      <c r="A79" s="192" t="s">
        <v>5</v>
      </c>
      <c r="B79" s="44" t="s">
        <v>417</v>
      </c>
      <c r="C79" s="13">
        <v>19.0</v>
      </c>
      <c r="D79" s="14" t="str">
        <f t="shared" si="4"/>
        <v>SEG.</v>
      </c>
      <c r="E79" s="13">
        <f t="shared" si="2"/>
        <v>7</v>
      </c>
      <c r="F79" s="87"/>
      <c r="G79" s="45"/>
      <c r="H79" s="46">
        <v>157.62</v>
      </c>
      <c r="I79" s="58" t="s">
        <v>249</v>
      </c>
      <c r="J79" s="21" t="s">
        <v>418</v>
      </c>
      <c r="K79" s="39"/>
      <c r="L79" s="39"/>
      <c r="M79" s="39"/>
      <c r="N79" s="39"/>
      <c r="O79" s="39"/>
      <c r="P79" s="39"/>
      <c r="Q79" s="39"/>
    </row>
    <row r="80">
      <c r="A80" s="192" t="s">
        <v>5</v>
      </c>
      <c r="B80" s="39" t="s">
        <v>125</v>
      </c>
      <c r="C80" s="13">
        <v>20.0</v>
      </c>
      <c r="D80" s="14" t="str">
        <f t="shared" si="4"/>
        <v>TER.</v>
      </c>
      <c r="E80" s="13">
        <f t="shared" si="2"/>
        <v>7</v>
      </c>
      <c r="F80" s="87">
        <v>44384.0</v>
      </c>
      <c r="G80" s="45"/>
      <c r="H80" s="46">
        <v>373.41</v>
      </c>
      <c r="I80" s="58" t="s">
        <v>17</v>
      </c>
      <c r="J80" s="21" t="s">
        <v>126</v>
      </c>
      <c r="K80" s="39"/>
      <c r="L80" s="39"/>
      <c r="M80" s="39"/>
      <c r="N80" s="39"/>
      <c r="O80" s="39"/>
      <c r="P80" s="39"/>
      <c r="Q80" s="39"/>
    </row>
    <row r="81">
      <c r="A81" s="192" t="s">
        <v>5</v>
      </c>
      <c r="B81" s="44" t="s">
        <v>419</v>
      </c>
      <c r="C81" s="13">
        <v>20.0</v>
      </c>
      <c r="D81" s="14" t="str">
        <f t="shared" si="4"/>
        <v>TER.</v>
      </c>
      <c r="E81" s="13">
        <f t="shared" si="2"/>
        <v>7</v>
      </c>
      <c r="F81" s="87"/>
      <c r="G81" s="45"/>
      <c r="H81" s="46">
        <v>718.2</v>
      </c>
      <c r="I81" s="58" t="s">
        <v>17</v>
      </c>
      <c r="J81" s="21" t="s">
        <v>420</v>
      </c>
      <c r="K81" s="39"/>
      <c r="L81" s="39"/>
      <c r="M81" s="39"/>
      <c r="N81" s="39"/>
      <c r="O81" s="39"/>
      <c r="P81" s="39"/>
      <c r="Q81" s="39"/>
    </row>
    <row r="82">
      <c r="A82" s="11" t="s">
        <v>5</v>
      </c>
      <c r="B82" s="34" t="s">
        <v>421</v>
      </c>
      <c r="C82" s="13">
        <v>21.0</v>
      </c>
      <c r="D82" s="14" t="str">
        <f t="shared" si="4"/>
        <v>QUA.</v>
      </c>
      <c r="E82" s="13">
        <f t="shared" si="2"/>
        <v>7</v>
      </c>
      <c r="F82" s="26"/>
      <c r="G82" s="56"/>
      <c r="H82" s="63">
        <v>520.0</v>
      </c>
      <c r="I82" s="58" t="s">
        <v>17</v>
      </c>
      <c r="J82" s="21" t="s">
        <v>422</v>
      </c>
      <c r="K82" s="59"/>
      <c r="L82" s="59"/>
      <c r="M82" s="59"/>
      <c r="N82" s="59"/>
      <c r="O82" s="59"/>
      <c r="P82" s="59"/>
      <c r="Q82" s="59"/>
    </row>
    <row r="83">
      <c r="A83" s="192" t="s">
        <v>5</v>
      </c>
      <c r="B83" s="29" t="s">
        <v>305</v>
      </c>
      <c r="C83" s="73">
        <v>21.0</v>
      </c>
      <c r="D83" s="74" t="str">
        <f t="shared" si="4"/>
        <v>QUA.</v>
      </c>
      <c r="E83" s="13">
        <f t="shared" si="2"/>
        <v>7</v>
      </c>
      <c r="F83" s="30"/>
      <c r="G83" s="31"/>
      <c r="H83" s="153">
        <v>100.0</v>
      </c>
      <c r="I83" s="71" t="s">
        <v>17</v>
      </c>
      <c r="J83" s="72" t="s">
        <v>306</v>
      </c>
      <c r="K83" s="31"/>
      <c r="L83" s="31"/>
      <c r="M83" s="31"/>
      <c r="N83" s="31"/>
      <c r="O83" s="31"/>
      <c r="P83" s="31"/>
      <c r="Q83" s="31"/>
    </row>
    <row r="84">
      <c r="A84" s="65" t="s">
        <v>25</v>
      </c>
      <c r="B84" s="39" t="s">
        <v>26</v>
      </c>
      <c r="C84" s="66">
        <v>21.0</v>
      </c>
      <c r="D84" s="14" t="str">
        <f t="shared" si="4"/>
        <v>QUA.</v>
      </c>
      <c r="E84" s="13">
        <f t="shared" si="2"/>
        <v>7</v>
      </c>
      <c r="F84" s="43"/>
      <c r="G84" s="45"/>
      <c r="H84" s="63">
        <v>300.0</v>
      </c>
      <c r="I84" s="67" t="s">
        <v>17</v>
      </c>
      <c r="J84" s="42"/>
      <c r="K84" s="68"/>
      <c r="L84" s="68"/>
      <c r="M84" s="68"/>
      <c r="N84" s="68"/>
      <c r="O84" s="68"/>
      <c r="P84" s="68"/>
      <c r="Q84" s="68"/>
    </row>
    <row r="85">
      <c r="A85" s="23" t="s">
        <v>25</v>
      </c>
      <c r="B85" s="61" t="s">
        <v>27</v>
      </c>
      <c r="C85" s="148">
        <v>21.0</v>
      </c>
      <c r="D85" s="25" t="str">
        <f t="shared" si="4"/>
        <v>QUA.</v>
      </c>
      <c r="E85" s="13">
        <f t="shared" si="2"/>
        <v>7</v>
      </c>
      <c r="F85" s="26"/>
      <c r="G85" s="63">
        <v>300.0</v>
      </c>
      <c r="H85" s="101"/>
      <c r="I85" s="64" t="s">
        <v>13</v>
      </c>
      <c r="J85" s="40"/>
      <c r="K85" s="59"/>
      <c r="L85" s="59"/>
      <c r="M85" s="59"/>
      <c r="N85" s="59"/>
      <c r="O85" s="59"/>
      <c r="P85" s="59"/>
      <c r="Q85" s="59"/>
    </row>
    <row r="86">
      <c r="A86" s="192" t="s">
        <v>5</v>
      </c>
      <c r="B86" s="34" t="s">
        <v>373</v>
      </c>
      <c r="C86" s="13">
        <v>22.0</v>
      </c>
      <c r="D86" s="14" t="str">
        <f t="shared" si="4"/>
        <v>QUI.</v>
      </c>
      <c r="E86" s="13">
        <f t="shared" si="2"/>
        <v>7</v>
      </c>
      <c r="F86" s="94"/>
      <c r="G86" s="56"/>
      <c r="H86" s="63">
        <v>0.0</v>
      </c>
      <c r="I86" s="58" t="s">
        <v>17</v>
      </c>
      <c r="J86" s="21" t="s">
        <v>128</v>
      </c>
      <c r="K86" s="61"/>
      <c r="L86" s="61"/>
      <c r="M86" s="61"/>
      <c r="N86" s="61"/>
      <c r="O86" s="61"/>
      <c r="P86" s="61"/>
      <c r="Q86" s="61"/>
    </row>
    <row r="87">
      <c r="A87" s="192" t="s">
        <v>5</v>
      </c>
      <c r="B87" s="39" t="s">
        <v>134</v>
      </c>
      <c r="C87" s="13">
        <v>22.0</v>
      </c>
      <c r="D87" s="14" t="str">
        <f t="shared" si="4"/>
        <v>QUI.</v>
      </c>
      <c r="E87" s="13">
        <f t="shared" si="2"/>
        <v>7</v>
      </c>
      <c r="F87" s="43"/>
      <c r="G87" s="45"/>
      <c r="H87" s="46">
        <v>287.22</v>
      </c>
      <c r="I87" s="60" t="s">
        <v>13</v>
      </c>
      <c r="J87" s="21" t="s">
        <v>135</v>
      </c>
      <c r="K87" s="39"/>
      <c r="L87" s="39"/>
      <c r="M87" s="39"/>
      <c r="N87" s="39"/>
      <c r="O87" s="39"/>
      <c r="P87" s="39"/>
      <c r="Q87" s="39"/>
    </row>
    <row r="88">
      <c r="A88" s="192" t="s">
        <v>5</v>
      </c>
      <c r="B88" s="83" t="s">
        <v>370</v>
      </c>
      <c r="C88" s="13">
        <v>24.0</v>
      </c>
      <c r="D88" s="14" t="str">
        <f t="shared" si="4"/>
        <v>SÁB.</v>
      </c>
      <c r="E88" s="13">
        <f t="shared" si="2"/>
        <v>7</v>
      </c>
      <c r="F88" s="35"/>
      <c r="G88" s="36"/>
      <c r="H88" s="36">
        <v>80.8</v>
      </c>
      <c r="I88" s="78" t="s">
        <v>17</v>
      </c>
      <c r="J88" s="21" t="s">
        <v>397</v>
      </c>
      <c r="K88" s="84"/>
      <c r="L88" s="84"/>
      <c r="M88" s="84"/>
      <c r="N88" s="84"/>
      <c r="O88" s="84"/>
      <c r="P88" s="84"/>
      <c r="Q88" s="84"/>
    </row>
    <row r="89">
      <c r="A89" s="192" t="s">
        <v>5</v>
      </c>
      <c r="B89" s="44" t="s">
        <v>73</v>
      </c>
      <c r="C89" s="13">
        <v>25.0</v>
      </c>
      <c r="D89" s="14" t="str">
        <f t="shared" si="4"/>
        <v>DOM.</v>
      </c>
      <c r="E89" s="13">
        <f t="shared" si="2"/>
        <v>7</v>
      </c>
      <c r="F89" s="85"/>
      <c r="G89" s="45"/>
      <c r="H89" s="46">
        <v>30.5</v>
      </c>
      <c r="I89" s="58" t="s">
        <v>17</v>
      </c>
      <c r="J89" s="21" t="s">
        <v>20</v>
      </c>
      <c r="K89" s="21"/>
      <c r="L89" s="21"/>
      <c r="M89" s="21"/>
      <c r="N89" s="21"/>
      <c r="O89" s="39"/>
      <c r="P89" s="39"/>
      <c r="Q89" s="39"/>
    </row>
    <row r="90">
      <c r="A90" s="192" t="s">
        <v>5</v>
      </c>
      <c r="B90" s="90" t="s">
        <v>423</v>
      </c>
      <c r="C90" s="13">
        <v>25.0</v>
      </c>
      <c r="D90" s="14" t="str">
        <f t="shared" si="4"/>
        <v>DOM.</v>
      </c>
      <c r="E90" s="13">
        <f t="shared" si="2"/>
        <v>7</v>
      </c>
      <c r="F90" s="26"/>
      <c r="G90" s="56"/>
      <c r="H90" s="88">
        <v>557.06</v>
      </c>
      <c r="I90" s="58" t="s">
        <v>17</v>
      </c>
      <c r="J90" s="21" t="s">
        <v>424</v>
      </c>
      <c r="K90" s="55"/>
      <c r="L90" s="55"/>
      <c r="M90" s="55"/>
      <c r="N90" s="55"/>
      <c r="O90" s="55"/>
      <c r="P90" s="55"/>
      <c r="Q90" s="55"/>
    </row>
    <row r="91">
      <c r="A91" s="78" t="s">
        <v>5</v>
      </c>
      <c r="B91" s="69" t="s">
        <v>425</v>
      </c>
      <c r="C91" s="80">
        <v>26.0</v>
      </c>
      <c r="D91" s="81" t="str">
        <f t="shared" si="4"/>
        <v>SEG.</v>
      </c>
      <c r="E91" s="13">
        <f t="shared" si="2"/>
        <v>7</v>
      </c>
      <c r="F91" s="35"/>
      <c r="G91" s="70"/>
      <c r="H91" s="151">
        <v>20.0</v>
      </c>
      <c r="I91" s="78" t="s">
        <v>17</v>
      </c>
      <c r="J91" s="103" t="s">
        <v>426</v>
      </c>
      <c r="K91" s="70"/>
      <c r="L91" s="70"/>
      <c r="M91" s="70"/>
      <c r="N91" s="70"/>
      <c r="O91" s="70"/>
      <c r="P91" s="70"/>
      <c r="Q91" s="70"/>
    </row>
    <row r="92">
      <c r="A92" s="192" t="s">
        <v>5</v>
      </c>
      <c r="B92" s="179" t="s">
        <v>427</v>
      </c>
      <c r="C92" s="62">
        <v>27.0</v>
      </c>
      <c r="D92" s="25" t="str">
        <f t="shared" si="4"/>
        <v>TER.</v>
      </c>
      <c r="E92" s="13">
        <f t="shared" si="2"/>
        <v>7</v>
      </c>
      <c r="F92" s="26"/>
      <c r="G92" s="56"/>
      <c r="H92" s="63">
        <v>224.99</v>
      </c>
      <c r="I92" s="33" t="s">
        <v>17</v>
      </c>
      <c r="J92" s="173" t="s">
        <v>22</v>
      </c>
      <c r="K92" s="56"/>
      <c r="L92" s="56"/>
      <c r="M92" s="56"/>
      <c r="N92" s="56"/>
      <c r="O92" s="56"/>
      <c r="P92" s="56"/>
      <c r="Q92" s="56"/>
    </row>
    <row r="93">
      <c r="A93" s="192" t="s">
        <v>5</v>
      </c>
      <c r="B93" s="29" t="s">
        <v>305</v>
      </c>
      <c r="C93" s="73">
        <v>28.0</v>
      </c>
      <c r="D93" s="74" t="str">
        <f t="shared" si="4"/>
        <v>QUA.</v>
      </c>
      <c r="E93" s="13">
        <f t="shared" si="2"/>
        <v>7</v>
      </c>
      <c r="F93" s="30"/>
      <c r="G93" s="31"/>
      <c r="H93" s="153">
        <v>100.0</v>
      </c>
      <c r="I93" s="71" t="s">
        <v>17</v>
      </c>
      <c r="J93" s="72" t="s">
        <v>306</v>
      </c>
      <c r="K93" s="31"/>
      <c r="L93" s="31"/>
      <c r="M93" s="31"/>
      <c r="N93" s="31"/>
      <c r="O93" s="31"/>
      <c r="P93" s="31"/>
      <c r="Q93" s="31"/>
    </row>
    <row r="94">
      <c r="A94" s="58" t="s">
        <v>5</v>
      </c>
      <c r="B94" s="72" t="s">
        <v>27</v>
      </c>
      <c r="C94" s="73">
        <v>28.0</v>
      </c>
      <c r="D94" s="74" t="str">
        <f t="shared" si="4"/>
        <v>QUA.</v>
      </c>
      <c r="E94" s="13">
        <f t="shared" si="2"/>
        <v>7</v>
      </c>
      <c r="F94" s="30"/>
      <c r="G94" s="46">
        <v>3854.31</v>
      </c>
      <c r="H94" s="31"/>
      <c r="I94" s="154" t="s">
        <v>17</v>
      </c>
      <c r="J94" s="76" t="s">
        <v>428</v>
      </c>
      <c r="K94" s="77"/>
      <c r="L94" s="77"/>
      <c r="M94" s="77"/>
      <c r="N94" s="77"/>
      <c r="O94" s="77"/>
      <c r="P94" s="77"/>
      <c r="Q94" s="77"/>
    </row>
    <row r="95">
      <c r="A95" s="11" t="s">
        <v>5</v>
      </c>
      <c r="B95" s="61" t="s">
        <v>65</v>
      </c>
      <c r="C95" s="13">
        <v>28.0</v>
      </c>
      <c r="D95" s="25" t="str">
        <f t="shared" si="4"/>
        <v>QUA.</v>
      </c>
      <c r="E95" s="13">
        <f t="shared" si="2"/>
        <v>7</v>
      </c>
      <c r="F95" s="85"/>
      <c r="G95" s="45"/>
      <c r="H95" s="46">
        <v>3854.31</v>
      </c>
      <c r="I95" s="58" t="s">
        <v>17</v>
      </c>
      <c r="J95" s="34" t="s">
        <v>191</v>
      </c>
      <c r="K95" s="39"/>
      <c r="L95" s="39"/>
      <c r="M95" s="39"/>
      <c r="N95" s="39"/>
      <c r="O95" s="39"/>
      <c r="P95" s="39"/>
      <c r="Q95" s="39"/>
    </row>
    <row r="96">
      <c r="A96" s="192" t="s">
        <v>5</v>
      </c>
      <c r="B96" s="179" t="s">
        <v>429</v>
      </c>
      <c r="C96" s="62">
        <v>30.0</v>
      </c>
      <c r="D96" s="25" t="str">
        <f t="shared" si="4"/>
        <v>SEX.</v>
      </c>
      <c r="E96" s="13">
        <f t="shared" si="2"/>
        <v>7</v>
      </c>
      <c r="F96" s="26"/>
      <c r="G96" s="46">
        <v>2055.6</v>
      </c>
      <c r="H96" s="63"/>
      <c r="I96" s="33" t="s">
        <v>13</v>
      </c>
      <c r="J96" s="90" t="s">
        <v>430</v>
      </c>
      <c r="K96" s="56"/>
      <c r="L96" s="56"/>
      <c r="M96" s="56"/>
      <c r="N96" s="56"/>
      <c r="O96" s="56"/>
      <c r="P96" s="56"/>
      <c r="Q96" s="56"/>
    </row>
    <row r="97">
      <c r="A97" s="192" t="s">
        <v>5</v>
      </c>
      <c r="B97" s="40" t="s">
        <v>248</v>
      </c>
      <c r="C97" s="62">
        <v>30.0</v>
      </c>
      <c r="D97" s="25" t="str">
        <f t="shared" si="4"/>
        <v>SEX.</v>
      </c>
      <c r="E97" s="13">
        <f t="shared" si="2"/>
        <v>7</v>
      </c>
      <c r="F97" s="26"/>
      <c r="G97" s="63">
        <v>330.0</v>
      </c>
      <c r="H97" s="101"/>
      <c r="I97" s="60" t="s">
        <v>249</v>
      </c>
      <c r="J97" s="173" t="s">
        <v>250</v>
      </c>
      <c r="K97" s="59"/>
      <c r="L97" s="59"/>
      <c r="M97" s="59"/>
      <c r="N97" s="59"/>
      <c r="O97" s="59"/>
      <c r="P97" s="59"/>
      <c r="Q97" s="59"/>
    </row>
    <row r="98">
      <c r="A98" s="192" t="s">
        <v>5</v>
      </c>
      <c r="B98" s="40" t="s">
        <v>248</v>
      </c>
      <c r="C98" s="62">
        <v>30.0</v>
      </c>
      <c r="D98" s="25" t="str">
        <f t="shared" si="4"/>
        <v>SEX.</v>
      </c>
      <c r="E98" s="13">
        <f t="shared" si="2"/>
        <v>7</v>
      </c>
      <c r="F98" s="26"/>
      <c r="G98" s="63">
        <v>70.0</v>
      </c>
      <c r="H98" s="101"/>
      <c r="I98" s="60" t="s">
        <v>249</v>
      </c>
      <c r="J98" s="173" t="s">
        <v>250</v>
      </c>
      <c r="K98" s="59"/>
      <c r="L98" s="59"/>
      <c r="M98" s="59"/>
      <c r="N98" s="59"/>
      <c r="O98" s="59"/>
      <c r="P98" s="59"/>
      <c r="Q98" s="59"/>
    </row>
    <row r="99">
      <c r="A99" s="192" t="s">
        <v>5</v>
      </c>
      <c r="B99" s="42" t="s">
        <v>251</v>
      </c>
      <c r="C99" s="66">
        <v>30.0</v>
      </c>
      <c r="D99" s="14" t="str">
        <f t="shared" si="4"/>
        <v>SEX.</v>
      </c>
      <c r="E99" s="13">
        <f t="shared" si="2"/>
        <v>7</v>
      </c>
      <c r="F99" s="43"/>
      <c r="G99" s="46">
        <v>700.0</v>
      </c>
      <c r="H99" s="53"/>
      <c r="I99" s="65" t="s">
        <v>252</v>
      </c>
      <c r="J99" s="42" t="s">
        <v>253</v>
      </c>
      <c r="K99" s="68"/>
      <c r="L99" s="68"/>
      <c r="M99" s="68"/>
      <c r="N99" s="68"/>
      <c r="O99" s="68"/>
      <c r="P99" s="68"/>
      <c r="Q99" s="68"/>
    </row>
    <row r="100">
      <c r="A100" s="192" t="s">
        <v>5</v>
      </c>
      <c r="B100" s="42" t="s">
        <v>251</v>
      </c>
      <c r="C100" s="66">
        <v>30.0</v>
      </c>
      <c r="D100" s="14" t="str">
        <f t="shared" si="4"/>
        <v>SEX.</v>
      </c>
      <c r="E100" s="13">
        <f t="shared" si="2"/>
        <v>7</v>
      </c>
      <c r="F100" s="43"/>
      <c r="G100" s="46">
        <v>130.0</v>
      </c>
      <c r="H100" s="53"/>
      <c r="I100" s="65" t="s">
        <v>252</v>
      </c>
      <c r="J100" s="42" t="s">
        <v>253</v>
      </c>
      <c r="K100" s="68"/>
      <c r="L100" s="68"/>
      <c r="M100" s="68"/>
      <c r="N100" s="68"/>
      <c r="O100" s="68"/>
      <c r="P100" s="68"/>
      <c r="Q100" s="68"/>
    </row>
    <row r="101">
      <c r="A101" s="192" t="s">
        <v>5</v>
      </c>
      <c r="B101" s="69" t="s">
        <v>431</v>
      </c>
      <c r="C101" s="13">
        <v>30.0</v>
      </c>
      <c r="D101" s="14" t="str">
        <f t="shared" si="4"/>
        <v>SEX.</v>
      </c>
      <c r="E101" s="13">
        <f t="shared" si="2"/>
        <v>7</v>
      </c>
      <c r="F101" s="54"/>
      <c r="G101" s="36">
        <v>4159.34</v>
      </c>
      <c r="H101" s="70"/>
      <c r="I101" s="47" t="s">
        <v>261</v>
      </c>
      <c r="J101" s="21" t="s">
        <v>64</v>
      </c>
      <c r="K101" s="70"/>
      <c r="L101" s="70"/>
      <c r="M101" s="70"/>
      <c r="N101" s="70"/>
      <c r="O101" s="70"/>
      <c r="P101" s="70"/>
      <c r="Q101" s="70"/>
    </row>
    <row r="102">
      <c r="A102" s="192" t="s">
        <v>25</v>
      </c>
      <c r="B102" s="61" t="s">
        <v>26</v>
      </c>
      <c r="C102" s="148">
        <v>30.0</v>
      </c>
      <c r="D102" s="25" t="str">
        <f t="shared" si="4"/>
        <v>SEX.</v>
      </c>
      <c r="E102" s="13">
        <f t="shared" si="2"/>
        <v>7</v>
      </c>
      <c r="F102" s="26"/>
      <c r="G102" s="56"/>
      <c r="H102" s="36">
        <v>4159.34</v>
      </c>
      <c r="I102" s="64" t="s">
        <v>261</v>
      </c>
      <c r="J102" s="40"/>
      <c r="K102" s="59"/>
      <c r="L102" s="59"/>
      <c r="M102" s="59"/>
      <c r="N102" s="59"/>
      <c r="O102" s="59"/>
      <c r="P102" s="59"/>
      <c r="Q102" s="59"/>
    </row>
    <row r="103">
      <c r="A103" s="192" t="s">
        <v>25</v>
      </c>
      <c r="B103" s="39" t="s">
        <v>27</v>
      </c>
      <c r="C103" s="66">
        <v>30.0</v>
      </c>
      <c r="D103" s="14" t="str">
        <f t="shared" si="4"/>
        <v>SEX.</v>
      </c>
      <c r="E103" s="13">
        <f t="shared" si="2"/>
        <v>7</v>
      </c>
      <c r="F103" s="43"/>
      <c r="G103" s="36">
        <v>4159.34</v>
      </c>
      <c r="H103" s="45"/>
      <c r="I103" s="67" t="s">
        <v>17</v>
      </c>
      <c r="J103" s="42"/>
      <c r="K103" s="68"/>
      <c r="L103" s="68"/>
      <c r="M103" s="68"/>
      <c r="N103" s="68"/>
      <c r="O103" s="68"/>
      <c r="P103" s="68"/>
      <c r="Q103" s="68"/>
    </row>
    <row r="104">
      <c r="A104" s="71" t="s">
        <v>25</v>
      </c>
      <c r="B104" s="98" t="s">
        <v>26</v>
      </c>
      <c r="C104" s="73">
        <v>30.0</v>
      </c>
      <c r="D104" s="74" t="str">
        <f t="shared" si="4"/>
        <v>SEX.</v>
      </c>
      <c r="E104" s="193">
        <f t="shared" si="2"/>
        <v>7</v>
      </c>
      <c r="F104" s="30"/>
      <c r="G104" s="31"/>
      <c r="H104" s="32">
        <v>2050.0</v>
      </c>
      <c r="I104" s="75" t="s">
        <v>13</v>
      </c>
      <c r="J104" s="72"/>
      <c r="K104" s="77"/>
      <c r="L104" s="77"/>
      <c r="M104" s="77"/>
      <c r="N104" s="77"/>
      <c r="O104" s="77"/>
      <c r="P104" s="77"/>
      <c r="Q104" s="77"/>
    </row>
    <row r="105">
      <c r="A105" s="78" t="s">
        <v>25</v>
      </c>
      <c r="B105" s="99" t="s">
        <v>27</v>
      </c>
      <c r="C105" s="150">
        <v>30.0</v>
      </c>
      <c r="D105" s="81" t="str">
        <f t="shared" si="4"/>
        <v>SEX.</v>
      </c>
      <c r="E105" s="207">
        <f t="shared" si="2"/>
        <v>7</v>
      </c>
      <c r="F105" s="35"/>
      <c r="G105" s="36">
        <v>2050.0</v>
      </c>
      <c r="H105" s="70"/>
      <c r="I105" s="82" t="s">
        <v>17</v>
      </c>
      <c r="J105" s="79"/>
      <c r="K105" s="84"/>
      <c r="L105" s="84"/>
      <c r="M105" s="84"/>
      <c r="N105" s="84"/>
      <c r="O105" s="84"/>
      <c r="P105" s="84"/>
      <c r="Q105" s="84"/>
    </row>
    <row r="106">
      <c r="A106" s="102" t="s">
        <v>5</v>
      </c>
      <c r="B106" s="99" t="s">
        <v>65</v>
      </c>
      <c r="C106" s="80">
        <v>30.0</v>
      </c>
      <c r="D106" s="81" t="str">
        <f t="shared" si="4"/>
        <v>SEX.</v>
      </c>
      <c r="E106" s="207">
        <f t="shared" si="2"/>
        <v>7</v>
      </c>
      <c r="F106" s="35"/>
      <c r="G106" s="70"/>
      <c r="H106" s="36">
        <v>2050.0</v>
      </c>
      <c r="I106" s="78" t="s">
        <v>17</v>
      </c>
      <c r="J106" s="83" t="s">
        <v>383</v>
      </c>
      <c r="K106" s="84"/>
      <c r="L106" s="84"/>
      <c r="M106" s="84"/>
      <c r="N106" s="84"/>
      <c r="O106" s="84"/>
      <c r="P106" s="84"/>
      <c r="Q106" s="84"/>
    </row>
    <row r="107">
      <c r="A107" s="95" t="s">
        <v>5</v>
      </c>
      <c r="B107" s="44" t="s">
        <v>432</v>
      </c>
      <c r="C107" s="66">
        <v>30.0</v>
      </c>
      <c r="D107" s="14" t="str">
        <f t="shared" si="4"/>
        <v>SEX.</v>
      </c>
      <c r="E107" s="13">
        <f t="shared" si="2"/>
        <v>7</v>
      </c>
      <c r="F107" s="43"/>
      <c r="G107" s="45"/>
      <c r="H107" s="46">
        <v>820.0</v>
      </c>
      <c r="I107" s="41" t="s">
        <v>17</v>
      </c>
      <c r="J107" s="42" t="s">
        <v>101</v>
      </c>
      <c r="K107" s="68"/>
      <c r="L107" s="68"/>
      <c r="M107" s="68"/>
      <c r="N107" s="68"/>
      <c r="O107" s="68"/>
      <c r="P107" s="68"/>
      <c r="Q107" s="68"/>
    </row>
    <row r="108">
      <c r="A108" s="192" t="s">
        <v>5</v>
      </c>
      <c r="B108" s="179" t="s">
        <v>21</v>
      </c>
      <c r="C108" s="62">
        <v>30.0</v>
      </c>
      <c r="D108" s="25" t="str">
        <f t="shared" si="4"/>
        <v>SEX.</v>
      </c>
      <c r="E108" s="13">
        <f t="shared" si="2"/>
        <v>7</v>
      </c>
      <c r="F108" s="26"/>
      <c r="G108" s="56"/>
      <c r="H108" s="63">
        <v>81.08</v>
      </c>
      <c r="I108" s="33" t="s">
        <v>249</v>
      </c>
      <c r="J108" s="173" t="s">
        <v>22</v>
      </c>
      <c r="K108" s="56"/>
      <c r="L108" s="56"/>
      <c r="M108" s="56"/>
      <c r="N108" s="56"/>
      <c r="O108" s="56"/>
      <c r="P108" s="56"/>
      <c r="Q108" s="56"/>
    </row>
    <row r="109">
      <c r="A109" s="192" t="s">
        <v>5</v>
      </c>
      <c r="B109" s="44" t="s">
        <v>433</v>
      </c>
      <c r="C109" s="13">
        <v>30.0</v>
      </c>
      <c r="D109" s="14" t="str">
        <f t="shared" si="4"/>
        <v>SEX.</v>
      </c>
      <c r="E109" s="13">
        <f t="shared" si="2"/>
        <v>7</v>
      </c>
      <c r="F109" s="85"/>
      <c r="G109" s="45"/>
      <c r="H109" s="46">
        <v>154.8</v>
      </c>
      <c r="I109" s="58" t="s">
        <v>17</v>
      </c>
      <c r="J109" s="21" t="s">
        <v>20</v>
      </c>
      <c r="K109" s="21"/>
      <c r="L109" s="21"/>
      <c r="M109" s="21"/>
      <c r="N109" s="21"/>
      <c r="O109" s="39"/>
      <c r="P109" s="39"/>
      <c r="Q109" s="39"/>
    </row>
    <row r="110">
      <c r="A110" s="11" t="s">
        <v>5</v>
      </c>
      <c r="B110" s="44" t="s">
        <v>434</v>
      </c>
      <c r="C110" s="13">
        <v>30.0</v>
      </c>
      <c r="D110" s="14" t="str">
        <f t="shared" si="4"/>
        <v>SEX.</v>
      </c>
      <c r="E110" s="13">
        <f t="shared" si="2"/>
        <v>7</v>
      </c>
      <c r="F110" s="94"/>
      <c r="G110" s="45"/>
      <c r="H110" s="46">
        <v>1104.5</v>
      </c>
      <c r="I110" s="58" t="s">
        <v>17</v>
      </c>
      <c r="J110" s="21" t="s">
        <v>435</v>
      </c>
      <c r="K110" s="39"/>
      <c r="L110" s="39"/>
      <c r="M110" s="39"/>
      <c r="N110" s="39"/>
      <c r="O110" s="39"/>
      <c r="P110" s="39"/>
      <c r="Q110" s="39"/>
    </row>
    <row r="111">
      <c r="A111" s="192" t="s">
        <v>5</v>
      </c>
      <c r="B111" s="44" t="s">
        <v>73</v>
      </c>
      <c r="C111" s="13">
        <v>31.0</v>
      </c>
      <c r="D111" s="14" t="str">
        <f t="shared" si="4"/>
        <v>SÁB.</v>
      </c>
      <c r="E111" s="13">
        <f t="shared" si="2"/>
        <v>7</v>
      </c>
      <c r="F111" s="85"/>
      <c r="G111" s="45"/>
      <c r="H111" s="46">
        <v>32.5</v>
      </c>
      <c r="I111" s="58" t="s">
        <v>17</v>
      </c>
      <c r="J111" s="21" t="s">
        <v>20</v>
      </c>
      <c r="K111" s="21"/>
      <c r="L111" s="21"/>
      <c r="M111" s="21"/>
      <c r="N111" s="21"/>
      <c r="O111" s="39"/>
      <c r="P111" s="39"/>
      <c r="Q111" s="39"/>
    </row>
    <row r="112">
      <c r="A112" s="192" t="s">
        <v>5</v>
      </c>
      <c r="B112" s="90" t="s">
        <v>436</v>
      </c>
      <c r="C112" s="13">
        <v>31.0</v>
      </c>
      <c r="D112" s="14" t="str">
        <f t="shared" si="4"/>
        <v>SÁB.</v>
      </c>
      <c r="E112" s="13">
        <f t="shared" si="2"/>
        <v>7</v>
      </c>
      <c r="F112" s="26"/>
      <c r="G112" s="56"/>
      <c r="H112" s="88">
        <v>0.0</v>
      </c>
      <c r="I112" s="58" t="s">
        <v>17</v>
      </c>
      <c r="J112" s="21" t="s">
        <v>92</v>
      </c>
      <c r="K112" s="55"/>
      <c r="L112" s="55"/>
      <c r="M112" s="55"/>
      <c r="N112" s="55"/>
      <c r="O112" s="55"/>
      <c r="P112" s="55"/>
      <c r="Q112" s="55"/>
    </row>
    <row r="113">
      <c r="A113" s="11"/>
      <c r="B113" s="59"/>
      <c r="C113" s="26"/>
      <c r="D113" s="107"/>
      <c r="E113" s="26"/>
      <c r="F113" s="26"/>
      <c r="G113" s="56"/>
      <c r="H113" s="56"/>
      <c r="I113" s="47"/>
      <c r="J113" s="21"/>
      <c r="K113" s="59"/>
      <c r="L113" s="59"/>
      <c r="M113" s="59"/>
      <c r="N113" s="59"/>
      <c r="O113" s="59"/>
      <c r="P113" s="59"/>
      <c r="Q113" s="59"/>
    </row>
    <row r="114">
      <c r="A114" s="11"/>
      <c r="B114" s="68"/>
      <c r="C114" s="43"/>
      <c r="D114" s="108"/>
      <c r="E114" s="43"/>
      <c r="F114" s="43"/>
      <c r="G114" s="45"/>
      <c r="H114" s="45"/>
      <c r="I114" s="47"/>
      <c r="J114" s="21"/>
      <c r="K114" s="68"/>
      <c r="L114" s="68"/>
      <c r="M114" s="68"/>
      <c r="N114" s="68"/>
      <c r="O114" s="68"/>
      <c r="P114" s="68"/>
      <c r="Q114" s="68"/>
    </row>
    <row r="115">
      <c r="A115" s="109"/>
      <c r="B115" s="110"/>
      <c r="C115" s="111"/>
      <c r="D115" s="112"/>
      <c r="E115" s="111"/>
      <c r="F115" s="111"/>
      <c r="G115" s="113"/>
      <c r="H115" s="113"/>
      <c r="I115" s="114"/>
      <c r="J115" s="21"/>
      <c r="K115" s="110"/>
      <c r="L115" s="110"/>
      <c r="M115" s="110"/>
      <c r="N115" s="110"/>
      <c r="O115" s="110"/>
      <c r="P115" s="110"/>
      <c r="Q115" s="110"/>
    </row>
    <row r="116" ht="15.75" customHeight="1">
      <c r="A116" s="115"/>
      <c r="B116" s="116" t="s">
        <v>142</v>
      </c>
      <c r="C116" s="117"/>
      <c r="D116" s="118"/>
      <c r="E116" s="119"/>
      <c r="F116" s="119"/>
      <c r="G116" s="120">
        <f>SUMIF(A3:A115,"PAGO",G3:G115)</f>
        <v>30356.77</v>
      </c>
      <c r="H116" s="120">
        <f>SUMIF(A3:A115,"PAGO",H3:H115)</f>
        <v>26792.41</v>
      </c>
      <c r="I116" s="121"/>
      <c r="J116" s="117"/>
      <c r="K116" s="120">
        <f t="shared" ref="K116:K117" si="5">G116-H116</f>
        <v>3564.36</v>
      </c>
      <c r="L116" s="120"/>
      <c r="M116" s="120"/>
      <c r="N116" s="120"/>
      <c r="O116" s="120"/>
      <c r="P116" s="120"/>
      <c r="Q116" s="120"/>
    </row>
    <row r="117" ht="15.75" customHeight="1">
      <c r="A117" s="115"/>
      <c r="B117" s="122" t="s">
        <v>143</v>
      </c>
      <c r="C117" s="117"/>
      <c r="D117" s="123"/>
      <c r="E117" s="124"/>
      <c r="F117" s="124"/>
      <c r="G117" s="125">
        <f>SUMIF(A3:A115,"PAGO",G3:G115) + SUMIF(A3:A115,"PREVISTO",G3:G115)</f>
        <v>30356.77</v>
      </c>
      <c r="H117" s="125">
        <f>SUMIF(A3:A115,"PAGO",H3:H115) + SUMIF(A3:A115,"PREVISTO",H3:H115)</f>
        <v>26792.41</v>
      </c>
      <c r="I117" s="121"/>
      <c r="J117" s="122" t="s">
        <v>144</v>
      </c>
      <c r="K117" s="125">
        <f t="shared" si="5"/>
        <v>3564.36</v>
      </c>
      <c r="L117" s="125"/>
      <c r="M117" s="125"/>
      <c r="N117" s="125"/>
      <c r="O117" s="125"/>
      <c r="P117" s="125"/>
      <c r="Q117" s="125"/>
    </row>
    <row r="118">
      <c r="A118" s="126"/>
      <c r="B118" s="127"/>
      <c r="C118" s="93"/>
      <c r="D118" s="128"/>
      <c r="E118" s="129"/>
      <c r="F118" s="129"/>
      <c r="G118" s="130"/>
      <c r="H118" s="130"/>
      <c r="I118" s="131"/>
      <c r="J118" s="132" t="s">
        <v>13</v>
      </c>
      <c r="K118" s="133">
        <f t="shared" ref="K118:K125" si="6">(SUMIFS($G$3:$G$115,$I$3:$I$115,J118,$A$3:$A$115,"PAGO") + SUMIFS($G$3:$G$115,$I$3:$I$115,J118,$A$3:$A$115,"CONTAS")) - (SUMIFS($H$3:$H$115,$I$3:$I$115,J118,$A$3:$A$115,"PAGO") + SUMIFS($H$3:$H$115,$I$3:$I$115,J118,$A$3:$A$115,"CONTAS"))</f>
        <v>63.02</v>
      </c>
      <c r="L118" s="133"/>
      <c r="M118" s="133"/>
      <c r="N118" s="133"/>
      <c r="O118" s="133"/>
      <c r="P118" s="133"/>
      <c r="Q118" s="133"/>
    </row>
    <row r="119">
      <c r="A119" s="134"/>
      <c r="B119" s="135"/>
      <c r="C119" s="93"/>
      <c r="D119" s="128"/>
      <c r="E119" s="129"/>
      <c r="F119" s="129"/>
      <c r="G119" s="130"/>
      <c r="H119" s="130"/>
      <c r="I119" s="131"/>
      <c r="J119" s="132" t="s">
        <v>15</v>
      </c>
      <c r="K119" s="133">
        <f t="shared" si="6"/>
        <v>2.85</v>
      </c>
      <c r="L119" s="133"/>
      <c r="M119" s="133"/>
      <c r="N119" s="133"/>
      <c r="O119" s="133"/>
      <c r="P119" s="133"/>
      <c r="Q119" s="133"/>
    </row>
    <row r="120">
      <c r="A120" s="134"/>
      <c r="B120" s="136"/>
      <c r="C120" s="137"/>
      <c r="D120" s="128"/>
      <c r="E120" s="129"/>
      <c r="F120" s="129"/>
      <c r="G120" s="130"/>
      <c r="H120" s="130"/>
      <c r="I120" s="131"/>
      <c r="J120" s="132" t="s">
        <v>16</v>
      </c>
      <c r="K120" s="133">
        <f t="shared" si="6"/>
        <v>0</v>
      </c>
      <c r="L120" s="133"/>
      <c r="M120" s="133"/>
      <c r="N120" s="133"/>
      <c r="O120" s="133"/>
      <c r="P120" s="133"/>
      <c r="Q120" s="133"/>
    </row>
    <row r="121">
      <c r="A121" s="134"/>
      <c r="B121" s="136"/>
      <c r="C121" s="137"/>
      <c r="D121" s="128"/>
      <c r="E121" s="129"/>
      <c r="F121" s="129"/>
      <c r="G121" s="130"/>
      <c r="H121" s="130"/>
      <c r="I121" s="131"/>
      <c r="J121" s="132" t="s">
        <v>17</v>
      </c>
      <c r="K121" s="133">
        <f t="shared" si="6"/>
        <v>2182.81</v>
      </c>
      <c r="L121" s="133"/>
      <c r="M121" s="133"/>
      <c r="N121" s="133"/>
      <c r="O121" s="133"/>
      <c r="P121" s="133"/>
      <c r="Q121" s="133"/>
    </row>
    <row r="122">
      <c r="A122" s="134"/>
      <c r="B122" s="93"/>
      <c r="C122" s="137"/>
      <c r="D122" s="138"/>
      <c r="E122" s="139"/>
      <c r="F122" s="139"/>
      <c r="G122" s="140"/>
      <c r="H122" s="140"/>
      <c r="I122" s="131"/>
      <c r="J122" s="132" t="s">
        <v>18</v>
      </c>
      <c r="K122" s="133">
        <f t="shared" si="6"/>
        <v>9.52</v>
      </c>
      <c r="L122" s="133"/>
      <c r="M122" s="133"/>
      <c r="N122" s="133"/>
      <c r="O122" s="133"/>
      <c r="P122" s="133"/>
      <c r="Q122" s="133"/>
    </row>
    <row r="123">
      <c r="A123" s="134"/>
      <c r="B123" s="137"/>
      <c r="C123" s="93"/>
      <c r="D123" s="138"/>
      <c r="E123" s="139"/>
      <c r="F123" s="139"/>
      <c r="G123" s="140"/>
      <c r="H123" s="140"/>
      <c r="I123" s="131"/>
      <c r="J123" s="183" t="s">
        <v>261</v>
      </c>
      <c r="K123" s="133">
        <f t="shared" si="6"/>
        <v>0</v>
      </c>
      <c r="L123" s="93"/>
      <c r="M123" s="93"/>
      <c r="N123" s="93"/>
      <c r="O123" s="93"/>
      <c r="P123" s="93"/>
      <c r="Q123" s="93"/>
    </row>
    <row r="124">
      <c r="A124" s="134"/>
      <c r="B124" s="137"/>
      <c r="C124" s="93"/>
      <c r="D124" s="138"/>
      <c r="E124" s="139"/>
      <c r="F124" s="139"/>
      <c r="G124" s="140"/>
      <c r="H124" s="140"/>
      <c r="I124" s="131"/>
      <c r="J124" s="182" t="s">
        <v>252</v>
      </c>
      <c r="K124" s="133">
        <f t="shared" si="6"/>
        <v>849.86</v>
      </c>
      <c r="L124" s="93"/>
      <c r="M124" s="93"/>
      <c r="N124" s="93"/>
      <c r="O124" s="93"/>
      <c r="P124" s="93"/>
      <c r="Q124" s="93"/>
    </row>
    <row r="125">
      <c r="A125" s="134"/>
      <c r="B125" s="137"/>
      <c r="C125" s="93"/>
      <c r="D125" s="138"/>
      <c r="E125" s="139"/>
      <c r="F125" s="139"/>
      <c r="G125" s="140"/>
      <c r="H125" s="140"/>
      <c r="I125" s="131"/>
      <c r="J125" s="182" t="s">
        <v>249</v>
      </c>
      <c r="K125" s="133">
        <f t="shared" si="6"/>
        <v>456.3</v>
      </c>
      <c r="L125" s="93"/>
      <c r="M125" s="93"/>
      <c r="N125" s="93"/>
      <c r="O125" s="93"/>
      <c r="P125" s="93"/>
      <c r="Q125" s="93"/>
    </row>
    <row r="126">
      <c r="A126" s="134"/>
      <c r="B126" s="137"/>
      <c r="C126" s="93"/>
      <c r="D126" s="138"/>
      <c r="E126" s="139"/>
      <c r="F126" s="139"/>
      <c r="G126" s="140"/>
      <c r="H126" s="140"/>
      <c r="I126" s="131"/>
      <c r="J126" s="93"/>
      <c r="K126" s="93"/>
      <c r="L126" s="93"/>
      <c r="M126" s="93"/>
      <c r="N126" s="93"/>
      <c r="O126" s="93"/>
      <c r="P126" s="93"/>
      <c r="Q126" s="93"/>
    </row>
  </sheetData>
  <customSheetViews>
    <customSheetView guid="{FF238D65-B29E-47B3-BB76-09A78DB37DDE}" filter="1" showAutoFilter="1">
      <autoFilter ref="$A$2:$K$3"/>
    </customSheetView>
    <customSheetView guid="{8E320149-1ED8-4245-AE83-2AF08A85D2EE}" filter="1" showAutoFilter="1">
      <autoFilter ref="$A$2:$K$3"/>
    </customSheetView>
    <customSheetView guid="{F6E0E906-D63E-467F-B486-84E6C0126E80}" filter="1" showAutoFilter="1">
      <autoFilter ref="$A$2:$K$3"/>
    </customSheetView>
    <customSheetView guid="{5F890A4C-8AFA-4126-80E7-AF0191C5590F}" filter="1" showAutoFilter="1">
      <autoFilter ref="$A$2:$K$3"/>
    </customSheetView>
    <customSheetView guid="{55ED7845-B94B-4003-AD57-D4008EE7E009}" filter="1" showAutoFilter="1">
      <autoFilter ref="$A$2:$K$19"/>
    </customSheetView>
  </customSheetViews>
  <conditionalFormatting sqref="A3:Q115">
    <cfRule type="expression" dxfId="0" priority="1">
      <formula>ISEVEN(ROW())</formula>
    </cfRule>
  </conditionalFormatting>
  <conditionalFormatting sqref="A3:Q115">
    <cfRule type="expression" dxfId="1" priority="2">
      <formula>ISODD(ROW())</formula>
    </cfRule>
  </conditionalFormatting>
  <dataValidations>
    <dataValidation type="list" allowBlank="1" sqref="A3:A114">
      <formula1>listas!$A$1:$A$17</formula1>
    </dataValidation>
    <dataValidation type="list" allowBlank="1" sqref="I3:I114">
      <formula1>listas!$B$1:$B$21</formula1>
    </dataValidation>
  </dataValidations>
  <drawing r:id="rId2"/>
  <legacyDrawing r:id="rId3"/>
  <tableParts count="2">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1.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8.0</v>
      </c>
      <c r="D3" s="14"/>
      <c r="E3" s="15"/>
      <c r="F3" s="15"/>
      <c r="G3" s="16"/>
      <c r="H3" s="17"/>
      <c r="I3" s="18"/>
      <c r="J3" s="19"/>
      <c r="K3" s="20"/>
      <c r="L3" s="20"/>
      <c r="M3" s="20"/>
      <c r="N3" s="20"/>
      <c r="O3" s="20"/>
      <c r="P3" s="20"/>
      <c r="Q3" s="20"/>
    </row>
    <row r="4">
      <c r="A4" s="11" t="s">
        <v>5</v>
      </c>
      <c r="B4" s="21" t="s">
        <v>145</v>
      </c>
      <c r="C4" s="13">
        <v>1.0</v>
      </c>
      <c r="D4" s="14" t="str">
        <f t="shared" ref="D4:D19" si="1">UPPER(TEXT(WEEKDAY(DATEVALUE(CONCATENATE(C4,"/",$C$3,"/",$A$1))),"DDD"))</f>
        <v>DOM.</v>
      </c>
      <c r="E4" s="13">
        <f t="shared" ref="E4:E78" si="2">$C$3</f>
        <v>8</v>
      </c>
      <c r="F4" s="15"/>
      <c r="G4" s="16">
        <f>julho!K118</f>
        <v>63.02</v>
      </c>
      <c r="H4" s="17"/>
      <c r="I4" s="18" t="s">
        <v>13</v>
      </c>
      <c r="J4" s="21" t="s">
        <v>14</v>
      </c>
      <c r="K4" s="22"/>
      <c r="L4" s="22"/>
      <c r="M4" s="22"/>
      <c r="N4" s="22"/>
      <c r="O4" s="22"/>
      <c r="P4" s="22"/>
      <c r="Q4" s="22"/>
    </row>
    <row r="5">
      <c r="A5" s="11" t="s">
        <v>5</v>
      </c>
      <c r="B5" s="21" t="s">
        <v>145</v>
      </c>
      <c r="C5" s="13">
        <v>1.0</v>
      </c>
      <c r="D5" s="14" t="str">
        <f t="shared" si="1"/>
        <v>DOM.</v>
      </c>
      <c r="E5" s="13">
        <f t="shared" si="2"/>
        <v>8</v>
      </c>
      <c r="F5" s="15"/>
      <c r="G5" s="16">
        <f>julho!K119</f>
        <v>2.85</v>
      </c>
      <c r="H5" s="17"/>
      <c r="I5" s="18" t="s">
        <v>15</v>
      </c>
      <c r="J5" s="21" t="s">
        <v>14</v>
      </c>
      <c r="K5" s="22"/>
      <c r="L5" s="22"/>
      <c r="M5" s="22"/>
      <c r="N5" s="22"/>
      <c r="O5" s="22"/>
      <c r="P5" s="22"/>
      <c r="Q5" s="22"/>
    </row>
    <row r="6">
      <c r="A6" s="11" t="s">
        <v>5</v>
      </c>
      <c r="B6" s="21" t="s">
        <v>145</v>
      </c>
      <c r="C6" s="13">
        <v>1.0</v>
      </c>
      <c r="D6" s="14" t="str">
        <f t="shared" si="1"/>
        <v>DOM.</v>
      </c>
      <c r="E6" s="13">
        <f t="shared" si="2"/>
        <v>8</v>
      </c>
      <c r="F6" s="15"/>
      <c r="G6" s="16">
        <f>julho!K120</f>
        <v>0</v>
      </c>
      <c r="H6" s="17"/>
      <c r="I6" s="18" t="s">
        <v>16</v>
      </c>
      <c r="J6" s="21" t="s">
        <v>14</v>
      </c>
      <c r="K6" s="22"/>
      <c r="L6" s="22"/>
      <c r="M6" s="22"/>
      <c r="N6" s="22"/>
      <c r="O6" s="22"/>
      <c r="P6" s="22"/>
      <c r="Q6" s="22"/>
    </row>
    <row r="7">
      <c r="A7" s="11" t="s">
        <v>5</v>
      </c>
      <c r="B7" s="21" t="s">
        <v>145</v>
      </c>
      <c r="C7" s="13">
        <v>1.0</v>
      </c>
      <c r="D7" s="14" t="str">
        <f t="shared" si="1"/>
        <v>DOM.</v>
      </c>
      <c r="E7" s="13">
        <f t="shared" si="2"/>
        <v>8</v>
      </c>
      <c r="F7" s="15"/>
      <c r="G7" s="16">
        <f>julho!K121</f>
        <v>2182.81</v>
      </c>
      <c r="H7" s="17"/>
      <c r="I7" s="18" t="s">
        <v>17</v>
      </c>
      <c r="J7" s="21" t="s">
        <v>14</v>
      </c>
      <c r="K7" s="22"/>
      <c r="L7" s="22"/>
      <c r="M7" s="22"/>
      <c r="N7" s="22"/>
      <c r="O7" s="22"/>
      <c r="P7" s="22"/>
      <c r="Q7" s="22"/>
    </row>
    <row r="8">
      <c r="A8" s="11" t="s">
        <v>5</v>
      </c>
      <c r="B8" s="21" t="s">
        <v>145</v>
      </c>
      <c r="C8" s="13">
        <v>1.0</v>
      </c>
      <c r="D8" s="14" t="str">
        <f t="shared" si="1"/>
        <v>DOM.</v>
      </c>
      <c r="E8" s="13">
        <f t="shared" si="2"/>
        <v>8</v>
      </c>
      <c r="F8" s="15"/>
      <c r="G8" s="16">
        <f>julho!K122</f>
        <v>9.52</v>
      </c>
      <c r="H8" s="17"/>
      <c r="I8" s="18" t="s">
        <v>18</v>
      </c>
      <c r="J8" s="21" t="s">
        <v>14</v>
      </c>
      <c r="K8" s="22"/>
      <c r="L8" s="22"/>
      <c r="M8" s="22"/>
      <c r="N8" s="22"/>
      <c r="O8" s="22"/>
      <c r="P8" s="22"/>
      <c r="Q8" s="22"/>
    </row>
    <row r="9">
      <c r="A9" s="11" t="s">
        <v>5</v>
      </c>
      <c r="B9" s="72" t="s">
        <v>145</v>
      </c>
      <c r="C9" s="193">
        <v>1.0</v>
      </c>
      <c r="D9" s="74" t="str">
        <f t="shared" si="1"/>
        <v>DOM.</v>
      </c>
      <c r="E9" s="13">
        <f t="shared" si="2"/>
        <v>8</v>
      </c>
      <c r="F9" s="30"/>
      <c r="G9" s="16">
        <f>julho!K123</f>
        <v>0</v>
      </c>
      <c r="H9" s="31"/>
      <c r="I9" s="58" t="s">
        <v>261</v>
      </c>
      <c r="J9" s="72" t="s">
        <v>14</v>
      </c>
      <c r="K9" s="77"/>
      <c r="L9" s="77"/>
      <c r="M9" s="77"/>
      <c r="N9" s="77"/>
      <c r="O9" s="77"/>
      <c r="P9" s="77"/>
      <c r="Q9" s="77"/>
    </row>
    <row r="10">
      <c r="A10" s="11" t="s">
        <v>5</v>
      </c>
      <c r="B10" s="173" t="s">
        <v>145</v>
      </c>
      <c r="C10" s="184">
        <v>1.0</v>
      </c>
      <c r="D10" s="25" t="str">
        <f t="shared" si="1"/>
        <v>DOM.</v>
      </c>
      <c r="E10" s="13">
        <f t="shared" si="2"/>
        <v>8</v>
      </c>
      <c r="F10" s="26"/>
      <c r="G10" s="16">
        <f>julho!K124</f>
        <v>849.86</v>
      </c>
      <c r="H10" s="56"/>
      <c r="I10" s="33" t="s">
        <v>252</v>
      </c>
      <c r="J10" s="173" t="s">
        <v>14</v>
      </c>
      <c r="K10" s="59"/>
      <c r="L10" s="59"/>
      <c r="M10" s="59"/>
      <c r="N10" s="59"/>
      <c r="O10" s="59"/>
      <c r="P10" s="59"/>
      <c r="Q10" s="59"/>
    </row>
    <row r="11">
      <c r="A11" s="11" t="s">
        <v>5</v>
      </c>
      <c r="B11" s="42" t="s">
        <v>145</v>
      </c>
      <c r="C11" s="144">
        <v>1.0</v>
      </c>
      <c r="D11" s="14" t="str">
        <f t="shared" si="1"/>
        <v>DOM.</v>
      </c>
      <c r="E11" s="13">
        <f t="shared" si="2"/>
        <v>8</v>
      </c>
      <c r="F11" s="43"/>
      <c r="G11" s="16">
        <f>julho!K125</f>
        <v>456.3</v>
      </c>
      <c r="H11" s="45"/>
      <c r="I11" s="41" t="s">
        <v>249</v>
      </c>
      <c r="J11" s="42" t="s">
        <v>14</v>
      </c>
      <c r="K11" s="68"/>
      <c r="L11" s="68"/>
      <c r="M11" s="68"/>
      <c r="N11" s="68"/>
      <c r="O11" s="68"/>
      <c r="P11" s="68"/>
      <c r="Q11" s="68"/>
    </row>
    <row r="12">
      <c r="A12" s="11" t="s">
        <v>5</v>
      </c>
      <c r="B12" s="28" t="s">
        <v>148</v>
      </c>
      <c r="C12" s="13">
        <v>2.0</v>
      </c>
      <c r="D12" s="14" t="str">
        <f t="shared" si="1"/>
        <v>SEG.</v>
      </c>
      <c r="E12" s="13">
        <f t="shared" si="2"/>
        <v>8</v>
      </c>
      <c r="F12" s="35"/>
      <c r="G12" s="70"/>
      <c r="H12" s="86">
        <v>59.79</v>
      </c>
      <c r="I12" s="142" t="s">
        <v>13</v>
      </c>
      <c r="J12" s="21" t="s">
        <v>149</v>
      </c>
      <c r="K12" s="28"/>
      <c r="L12" s="28"/>
      <c r="M12" s="28"/>
      <c r="N12" s="28"/>
      <c r="O12" s="28"/>
      <c r="P12" s="28"/>
      <c r="Q12" s="28"/>
    </row>
    <row r="13">
      <c r="A13" s="11" t="s">
        <v>5</v>
      </c>
      <c r="B13" s="179" t="s">
        <v>437</v>
      </c>
      <c r="C13" s="62">
        <v>3.0</v>
      </c>
      <c r="D13" s="14" t="str">
        <f t="shared" si="1"/>
        <v>TER.</v>
      </c>
      <c r="E13" s="13">
        <f t="shared" si="2"/>
        <v>8</v>
      </c>
      <c r="F13" s="26"/>
      <c r="G13" s="56"/>
      <c r="H13" s="63">
        <v>221.98</v>
      </c>
      <c r="I13" s="33" t="s">
        <v>17</v>
      </c>
      <c r="J13" s="90" t="s">
        <v>438</v>
      </c>
      <c r="K13" s="56"/>
      <c r="L13" s="56"/>
      <c r="M13" s="56"/>
      <c r="N13" s="56"/>
      <c r="O13" s="56"/>
      <c r="P13" s="56"/>
      <c r="Q13" s="56"/>
    </row>
    <row r="14">
      <c r="A14" s="11" t="s">
        <v>5</v>
      </c>
      <c r="B14" s="179" t="s">
        <v>439</v>
      </c>
      <c r="C14" s="62">
        <v>4.0</v>
      </c>
      <c r="D14" s="25" t="str">
        <f t="shared" si="1"/>
        <v>QUA.</v>
      </c>
      <c r="E14" s="13">
        <f t="shared" si="2"/>
        <v>8</v>
      </c>
      <c r="F14" s="26"/>
      <c r="G14" s="56"/>
      <c r="H14" s="63">
        <v>229.34</v>
      </c>
      <c r="I14" s="33" t="s">
        <v>252</v>
      </c>
      <c r="J14" s="173" t="s">
        <v>22</v>
      </c>
      <c r="K14" s="56"/>
      <c r="L14" s="56"/>
      <c r="M14" s="56"/>
      <c r="N14" s="56"/>
      <c r="O14" s="56"/>
      <c r="P14" s="56"/>
      <c r="Q14" s="56"/>
    </row>
    <row r="15">
      <c r="A15" s="11" t="s">
        <v>5</v>
      </c>
      <c r="B15" s="83" t="s">
        <v>350</v>
      </c>
      <c r="C15" s="13">
        <v>6.0</v>
      </c>
      <c r="D15" s="14" t="str">
        <f t="shared" si="1"/>
        <v>SEX.</v>
      </c>
      <c r="E15" s="13">
        <f t="shared" si="2"/>
        <v>8</v>
      </c>
      <c r="F15" s="35"/>
      <c r="G15" s="36">
        <v>500.0</v>
      </c>
      <c r="H15" s="70"/>
      <c r="I15" s="78" t="s">
        <v>17</v>
      </c>
      <c r="J15" s="21" t="s">
        <v>351</v>
      </c>
      <c r="K15" s="84"/>
      <c r="L15" s="84"/>
      <c r="M15" s="84"/>
      <c r="N15" s="84"/>
      <c r="O15" s="84"/>
      <c r="P15" s="84"/>
      <c r="Q15" s="84"/>
    </row>
    <row r="16">
      <c r="A16" s="11" t="s">
        <v>5</v>
      </c>
      <c r="B16" s="83" t="s">
        <v>352</v>
      </c>
      <c r="C16" s="13">
        <v>6.0</v>
      </c>
      <c r="D16" s="14" t="str">
        <f t="shared" si="1"/>
        <v>SEX.</v>
      </c>
      <c r="E16" s="13">
        <f t="shared" si="2"/>
        <v>8</v>
      </c>
      <c r="F16" s="35"/>
      <c r="G16" s="36"/>
      <c r="H16" s="36">
        <v>500.0</v>
      </c>
      <c r="I16" s="78" t="s">
        <v>17</v>
      </c>
      <c r="J16" s="21" t="s">
        <v>353</v>
      </c>
      <c r="K16" s="84"/>
      <c r="L16" s="84"/>
      <c r="M16" s="84"/>
      <c r="N16" s="84"/>
      <c r="O16" s="84"/>
      <c r="P16" s="84"/>
      <c r="Q16" s="84"/>
    </row>
    <row r="17">
      <c r="A17" s="11" t="s">
        <v>5</v>
      </c>
      <c r="B17" s="99" t="s">
        <v>119</v>
      </c>
      <c r="C17" s="13">
        <v>7.0</v>
      </c>
      <c r="D17" s="14" t="str">
        <f t="shared" si="1"/>
        <v>SÁB.</v>
      </c>
      <c r="E17" s="13">
        <f t="shared" si="2"/>
        <v>8</v>
      </c>
      <c r="F17" s="35"/>
      <c r="G17" s="36">
        <v>5.04</v>
      </c>
      <c r="H17" s="70"/>
      <c r="I17" s="78" t="s">
        <v>17</v>
      </c>
      <c r="J17" s="21" t="s">
        <v>120</v>
      </c>
      <c r="K17" s="84"/>
      <c r="L17" s="84"/>
      <c r="M17" s="84"/>
      <c r="N17" s="84"/>
      <c r="O17" s="84"/>
      <c r="P17" s="84"/>
      <c r="Q17" s="84"/>
    </row>
    <row r="18">
      <c r="A18" s="192" t="s">
        <v>5</v>
      </c>
      <c r="B18" s="90" t="s">
        <v>440</v>
      </c>
      <c r="C18" s="13">
        <v>7.0</v>
      </c>
      <c r="D18" s="14" t="str">
        <f t="shared" si="1"/>
        <v>SÁB.</v>
      </c>
      <c r="E18" s="13">
        <f t="shared" si="2"/>
        <v>8</v>
      </c>
      <c r="F18" s="26"/>
      <c r="G18" s="56"/>
      <c r="H18" s="88">
        <v>456.3</v>
      </c>
      <c r="I18" s="58" t="s">
        <v>249</v>
      </c>
      <c r="J18" s="21" t="s">
        <v>92</v>
      </c>
      <c r="K18" s="55"/>
      <c r="L18" s="55"/>
      <c r="M18" s="55"/>
      <c r="N18" s="55"/>
      <c r="O18" s="55"/>
      <c r="P18" s="55"/>
      <c r="Q18" s="55"/>
    </row>
    <row r="19">
      <c r="A19" s="11" t="s">
        <v>5</v>
      </c>
      <c r="B19" s="44" t="s">
        <v>39</v>
      </c>
      <c r="C19" s="13">
        <v>8.0</v>
      </c>
      <c r="D19" s="14" t="str">
        <f t="shared" si="1"/>
        <v>DOM.</v>
      </c>
      <c r="E19" s="13">
        <f t="shared" si="2"/>
        <v>8</v>
      </c>
      <c r="F19" s="87">
        <v>44411.0</v>
      </c>
      <c r="G19" s="45"/>
      <c r="H19" s="53">
        <f>SUM(H20:H29)</f>
        <v>358.68</v>
      </c>
      <c r="I19" s="47" t="s">
        <v>17</v>
      </c>
      <c r="J19" s="21"/>
      <c r="K19" s="39"/>
      <c r="L19" s="39"/>
      <c r="M19" s="39"/>
      <c r="N19" s="39"/>
      <c r="O19" s="39"/>
      <c r="P19" s="39"/>
      <c r="Q19" s="39"/>
    </row>
    <row r="20" outlineLevel="1">
      <c r="A20" s="11" t="s">
        <v>40</v>
      </c>
      <c r="B20" s="44" t="s">
        <v>441</v>
      </c>
      <c r="C20" s="13"/>
      <c r="D20" s="14"/>
      <c r="E20" s="13">
        <f t="shared" si="2"/>
        <v>8</v>
      </c>
      <c r="F20" s="54">
        <v>44375.0</v>
      </c>
      <c r="G20" s="45"/>
      <c r="H20" s="46">
        <v>28.0</v>
      </c>
      <c r="I20" s="47"/>
      <c r="J20" s="21" t="s">
        <v>393</v>
      </c>
      <c r="K20" s="39"/>
      <c r="L20" s="39"/>
      <c r="M20" s="39"/>
      <c r="N20" s="39"/>
      <c r="O20" s="39"/>
      <c r="P20" s="39"/>
      <c r="Q20" s="39"/>
    </row>
    <row r="21" outlineLevel="1">
      <c r="A21" s="97" t="s">
        <v>40</v>
      </c>
      <c r="B21" s="72" t="s">
        <v>441</v>
      </c>
      <c r="C21" s="155"/>
      <c r="D21" s="156"/>
      <c r="E21" s="13">
        <f t="shared" si="2"/>
        <v>8</v>
      </c>
      <c r="F21" s="54">
        <v>44375.0</v>
      </c>
      <c r="G21" s="31"/>
      <c r="H21" s="32">
        <v>29.59</v>
      </c>
      <c r="I21" s="157"/>
      <c r="J21" s="72" t="s">
        <v>393</v>
      </c>
      <c r="K21" s="77"/>
      <c r="L21" s="77"/>
      <c r="M21" s="77"/>
      <c r="N21" s="77"/>
      <c r="O21" s="77"/>
      <c r="P21" s="77"/>
      <c r="Q21" s="77"/>
    </row>
    <row r="22" outlineLevel="1">
      <c r="A22" s="11" t="s">
        <v>40</v>
      </c>
      <c r="B22" s="44" t="s">
        <v>441</v>
      </c>
      <c r="C22" s="13"/>
      <c r="D22" s="14"/>
      <c r="E22" s="13">
        <f t="shared" si="2"/>
        <v>8</v>
      </c>
      <c r="F22" s="54">
        <v>44376.0</v>
      </c>
      <c r="G22" s="45"/>
      <c r="H22" s="46">
        <v>39.9</v>
      </c>
      <c r="I22" s="47"/>
      <c r="J22" s="21" t="s">
        <v>393</v>
      </c>
      <c r="K22" s="39"/>
      <c r="L22" s="39"/>
      <c r="M22" s="39"/>
      <c r="N22" s="39"/>
      <c r="O22" s="39"/>
      <c r="P22" s="39"/>
      <c r="Q22" s="39"/>
    </row>
    <row r="23" outlineLevel="1">
      <c r="A23" s="11" t="s">
        <v>40</v>
      </c>
      <c r="B23" s="83" t="s">
        <v>239</v>
      </c>
      <c r="C23" s="194"/>
      <c r="D23" s="195"/>
      <c r="E23" s="13">
        <f t="shared" si="2"/>
        <v>8</v>
      </c>
      <c r="F23" s="54">
        <v>44378.0</v>
      </c>
      <c r="G23" s="70"/>
      <c r="H23" s="36">
        <v>1.0</v>
      </c>
      <c r="I23" s="197"/>
      <c r="J23" s="103" t="s">
        <v>157</v>
      </c>
      <c r="K23" s="84"/>
      <c r="L23" s="84"/>
      <c r="M23" s="84"/>
      <c r="N23" s="84"/>
      <c r="O23" s="84"/>
      <c r="P23" s="84"/>
      <c r="Q23" s="84"/>
    </row>
    <row r="24" outlineLevel="1">
      <c r="A24" s="97" t="s">
        <v>40</v>
      </c>
      <c r="B24" s="72" t="s">
        <v>441</v>
      </c>
      <c r="C24" s="155"/>
      <c r="D24" s="156"/>
      <c r="E24" s="13">
        <f t="shared" si="2"/>
        <v>8</v>
      </c>
      <c r="F24" s="54">
        <v>44379.0</v>
      </c>
      <c r="G24" s="31"/>
      <c r="H24" s="32">
        <v>-29.59</v>
      </c>
      <c r="I24" s="157"/>
      <c r="J24" s="72" t="s">
        <v>393</v>
      </c>
      <c r="K24" s="77"/>
      <c r="L24" s="77"/>
      <c r="M24" s="77"/>
      <c r="N24" s="77"/>
      <c r="O24" s="77"/>
      <c r="P24" s="77"/>
      <c r="Q24" s="77"/>
    </row>
    <row r="25" outlineLevel="1">
      <c r="A25" s="97" t="s">
        <v>40</v>
      </c>
      <c r="B25" s="72" t="s">
        <v>441</v>
      </c>
      <c r="C25" s="155"/>
      <c r="D25" s="156"/>
      <c r="E25" s="13">
        <f t="shared" si="2"/>
        <v>8</v>
      </c>
      <c r="F25" s="54">
        <v>44381.0</v>
      </c>
      <c r="G25" s="31"/>
      <c r="H25" s="32">
        <v>51.89</v>
      </c>
      <c r="I25" s="157"/>
      <c r="J25" s="72" t="s">
        <v>393</v>
      </c>
      <c r="K25" s="77"/>
      <c r="L25" s="77"/>
      <c r="M25" s="77"/>
      <c r="N25" s="77"/>
      <c r="O25" s="77"/>
      <c r="P25" s="77"/>
      <c r="Q25" s="77"/>
    </row>
    <row r="26" outlineLevel="1">
      <c r="A26" s="97" t="s">
        <v>40</v>
      </c>
      <c r="B26" s="72" t="s">
        <v>441</v>
      </c>
      <c r="C26" s="155"/>
      <c r="D26" s="156"/>
      <c r="E26" s="13">
        <f t="shared" si="2"/>
        <v>8</v>
      </c>
      <c r="F26" s="54">
        <v>44382.0</v>
      </c>
      <c r="G26" s="31"/>
      <c r="H26" s="32">
        <v>67.53</v>
      </c>
      <c r="I26" s="157"/>
      <c r="J26" s="72" t="s">
        <v>393</v>
      </c>
      <c r="K26" s="77"/>
      <c r="L26" s="77"/>
      <c r="M26" s="77"/>
      <c r="N26" s="77"/>
      <c r="O26" s="77"/>
      <c r="P26" s="77"/>
      <c r="Q26" s="77"/>
    </row>
    <row r="27" outlineLevel="1">
      <c r="A27" s="97" t="s">
        <v>40</v>
      </c>
      <c r="B27" s="72" t="s">
        <v>441</v>
      </c>
      <c r="C27" s="155"/>
      <c r="D27" s="156"/>
      <c r="E27" s="13">
        <f t="shared" si="2"/>
        <v>8</v>
      </c>
      <c r="F27" s="54">
        <v>44384.0</v>
      </c>
      <c r="G27" s="31"/>
      <c r="H27" s="32">
        <v>116.52</v>
      </c>
      <c r="I27" s="157"/>
      <c r="J27" s="72" t="s">
        <v>393</v>
      </c>
      <c r="K27" s="77"/>
      <c r="L27" s="77"/>
      <c r="M27" s="77"/>
      <c r="N27" s="77"/>
      <c r="O27" s="77"/>
      <c r="P27" s="77"/>
      <c r="Q27" s="77"/>
    </row>
    <row r="28" outlineLevel="1">
      <c r="A28" s="11" t="s">
        <v>40</v>
      </c>
      <c r="B28" s="44" t="s">
        <v>441</v>
      </c>
      <c r="C28" s="13"/>
      <c r="D28" s="14"/>
      <c r="E28" s="13">
        <f t="shared" si="2"/>
        <v>8</v>
      </c>
      <c r="F28" s="54">
        <v>44384.0</v>
      </c>
      <c r="G28" s="45"/>
      <c r="H28" s="46">
        <v>40.14</v>
      </c>
      <c r="I28" s="47"/>
      <c r="J28" s="21" t="s">
        <v>393</v>
      </c>
      <c r="K28" s="39"/>
      <c r="L28" s="39"/>
      <c r="M28" s="39"/>
      <c r="N28" s="39"/>
      <c r="O28" s="39"/>
      <c r="P28" s="39"/>
      <c r="Q28" s="39"/>
    </row>
    <row r="29" outlineLevel="1">
      <c r="A29" s="11" t="s">
        <v>40</v>
      </c>
      <c r="B29" s="44" t="s">
        <v>47</v>
      </c>
      <c r="C29" s="13"/>
      <c r="D29" s="14"/>
      <c r="E29" s="13">
        <f t="shared" si="2"/>
        <v>8</v>
      </c>
      <c r="F29" s="54">
        <v>44397.0</v>
      </c>
      <c r="G29" s="45"/>
      <c r="H29" s="46">
        <v>13.7</v>
      </c>
      <c r="I29" s="47"/>
      <c r="J29" s="21" t="s">
        <v>48</v>
      </c>
      <c r="K29" s="39"/>
      <c r="L29" s="39"/>
      <c r="M29" s="39"/>
      <c r="N29" s="39"/>
      <c r="O29" s="39"/>
      <c r="P29" s="39"/>
      <c r="Q29" s="39"/>
    </row>
    <row r="30">
      <c r="A30" s="11" t="s">
        <v>5</v>
      </c>
      <c r="B30" s="90" t="s">
        <v>59</v>
      </c>
      <c r="C30" s="13">
        <v>8.0</v>
      </c>
      <c r="D30" s="14" t="str">
        <f t="shared" ref="D30:D38" si="3">UPPER(TEXT(WEEKDAY(DATEVALUE(CONCATENATE(C30,"/",$C$3,"/",$A$1))),"DDD"))</f>
        <v>DOM.</v>
      </c>
      <c r="E30" s="13">
        <f t="shared" si="2"/>
        <v>8</v>
      </c>
      <c r="F30" s="87">
        <v>44410.0</v>
      </c>
      <c r="G30" s="56"/>
      <c r="H30" s="88">
        <v>539.99</v>
      </c>
      <c r="I30" s="58" t="s">
        <v>17</v>
      </c>
      <c r="J30" s="21" t="s">
        <v>60</v>
      </c>
      <c r="K30" s="59"/>
      <c r="L30" s="59"/>
      <c r="M30" s="59"/>
      <c r="N30" s="59"/>
      <c r="O30" s="59"/>
      <c r="P30" s="59"/>
      <c r="Q30" s="59"/>
    </row>
    <row r="31">
      <c r="A31" s="11" t="s">
        <v>5</v>
      </c>
      <c r="B31" s="79" t="s">
        <v>73</v>
      </c>
      <c r="C31" s="80">
        <v>8.0</v>
      </c>
      <c r="D31" s="81" t="str">
        <f t="shared" si="3"/>
        <v>DOM.</v>
      </c>
      <c r="E31" s="13">
        <f t="shared" si="2"/>
        <v>8</v>
      </c>
      <c r="F31" s="35"/>
      <c r="G31" s="70"/>
      <c r="H31" s="36">
        <v>34.8</v>
      </c>
      <c r="I31" s="152" t="s">
        <v>17</v>
      </c>
      <c r="J31" s="199" t="s">
        <v>20</v>
      </c>
      <c r="K31" s="106"/>
      <c r="L31" s="106"/>
      <c r="M31" s="106"/>
      <c r="N31" s="106"/>
      <c r="O31" s="84"/>
      <c r="P31" s="84"/>
      <c r="Q31" s="84"/>
    </row>
    <row r="32">
      <c r="A32" s="11" t="s">
        <v>5</v>
      </c>
      <c r="B32" s="39" t="s">
        <v>61</v>
      </c>
      <c r="C32" s="13">
        <v>8.0</v>
      </c>
      <c r="D32" s="14" t="str">
        <f t="shared" si="3"/>
        <v>DOM.</v>
      </c>
      <c r="E32" s="13">
        <f t="shared" si="2"/>
        <v>8</v>
      </c>
      <c r="F32" s="87">
        <v>44411.0</v>
      </c>
      <c r="G32" s="45"/>
      <c r="H32" s="46">
        <v>143.53</v>
      </c>
      <c r="I32" s="58" t="s">
        <v>17</v>
      </c>
      <c r="J32" s="21" t="s">
        <v>62</v>
      </c>
      <c r="K32" s="39"/>
      <c r="L32" s="39"/>
      <c r="M32" s="39"/>
      <c r="N32" s="39"/>
      <c r="O32" s="39"/>
      <c r="P32" s="39"/>
      <c r="Q32" s="39"/>
    </row>
    <row r="33">
      <c r="A33" s="11" t="s">
        <v>5</v>
      </c>
      <c r="B33" s="44" t="s">
        <v>442</v>
      </c>
      <c r="C33" s="13">
        <v>8.0</v>
      </c>
      <c r="D33" s="14" t="str">
        <f t="shared" si="3"/>
        <v>DOM.</v>
      </c>
      <c r="E33" s="13">
        <f t="shared" si="2"/>
        <v>8</v>
      </c>
      <c r="F33" s="87">
        <v>44411.0</v>
      </c>
      <c r="G33" s="45"/>
      <c r="H33" s="46">
        <v>16.45</v>
      </c>
      <c r="I33" s="58" t="s">
        <v>17</v>
      </c>
      <c r="J33" s="21" t="s">
        <v>443</v>
      </c>
      <c r="K33" s="39"/>
      <c r="L33" s="39"/>
      <c r="M33" s="39"/>
      <c r="N33" s="39"/>
      <c r="O33" s="39"/>
      <c r="P33" s="39"/>
      <c r="Q33" s="39"/>
    </row>
    <row r="34">
      <c r="A34" s="192" t="s">
        <v>5</v>
      </c>
      <c r="B34" s="34" t="s">
        <v>444</v>
      </c>
      <c r="C34" s="13">
        <v>10.0</v>
      </c>
      <c r="D34" s="14" t="str">
        <f t="shared" si="3"/>
        <v>TER.</v>
      </c>
      <c r="E34" s="13">
        <f t="shared" si="2"/>
        <v>8</v>
      </c>
      <c r="F34" s="87">
        <v>44410.0</v>
      </c>
      <c r="G34" s="56"/>
      <c r="H34" s="63">
        <v>643.0</v>
      </c>
      <c r="I34" s="58" t="s">
        <v>17</v>
      </c>
      <c r="J34" s="21" t="s">
        <v>67</v>
      </c>
      <c r="K34" s="59"/>
      <c r="L34" s="59"/>
      <c r="M34" s="59"/>
      <c r="N34" s="59"/>
      <c r="O34" s="59"/>
      <c r="P34" s="59"/>
      <c r="Q34" s="59"/>
    </row>
    <row r="35">
      <c r="A35" s="11" t="s">
        <v>5</v>
      </c>
      <c r="B35" s="44" t="s">
        <v>445</v>
      </c>
      <c r="C35" s="13">
        <v>10.0</v>
      </c>
      <c r="D35" s="14" t="str">
        <f t="shared" si="3"/>
        <v>TER.</v>
      </c>
      <c r="E35" s="13">
        <f t="shared" si="2"/>
        <v>8</v>
      </c>
      <c r="F35" s="87">
        <v>44412.0</v>
      </c>
      <c r="G35" s="45"/>
      <c r="H35" s="46">
        <v>102.0</v>
      </c>
      <c r="I35" s="58" t="s">
        <v>17</v>
      </c>
      <c r="J35" s="21" t="s">
        <v>446</v>
      </c>
      <c r="K35" s="39"/>
      <c r="L35" s="39"/>
      <c r="M35" s="39"/>
      <c r="N35" s="39"/>
      <c r="O35" s="39"/>
      <c r="P35" s="39"/>
      <c r="Q35" s="39"/>
    </row>
    <row r="36">
      <c r="A36" s="11" t="s">
        <v>5</v>
      </c>
      <c r="B36" s="44" t="s">
        <v>447</v>
      </c>
      <c r="C36" s="13">
        <v>10.0</v>
      </c>
      <c r="D36" s="14" t="str">
        <f t="shared" si="3"/>
        <v>TER.</v>
      </c>
      <c r="E36" s="13">
        <f t="shared" si="2"/>
        <v>8</v>
      </c>
      <c r="F36" s="87">
        <v>44412.0</v>
      </c>
      <c r="G36" s="45"/>
      <c r="H36" s="46">
        <v>81.6</v>
      </c>
      <c r="I36" s="58" t="s">
        <v>17</v>
      </c>
      <c r="J36" s="21" t="s">
        <v>75</v>
      </c>
      <c r="K36" s="39"/>
      <c r="L36" s="39"/>
      <c r="M36" s="39"/>
      <c r="N36" s="39"/>
      <c r="O36" s="39"/>
      <c r="P36" s="39"/>
      <c r="Q36" s="39"/>
    </row>
    <row r="37">
      <c r="A37" s="11" t="s">
        <v>5</v>
      </c>
      <c r="B37" s="179" t="s">
        <v>439</v>
      </c>
      <c r="C37" s="62">
        <v>11.0</v>
      </c>
      <c r="D37" s="25" t="str">
        <f t="shared" si="3"/>
        <v>QUA.</v>
      </c>
      <c r="E37" s="13">
        <f t="shared" si="2"/>
        <v>8</v>
      </c>
      <c r="F37" s="26"/>
      <c r="G37" s="56"/>
      <c r="H37" s="63">
        <v>106.19</v>
      </c>
      <c r="I37" s="33" t="s">
        <v>252</v>
      </c>
      <c r="J37" s="173" t="s">
        <v>22</v>
      </c>
      <c r="K37" s="56"/>
      <c r="L37" s="56"/>
      <c r="M37" s="56"/>
      <c r="N37" s="56"/>
      <c r="O37" s="56"/>
      <c r="P37" s="56"/>
      <c r="Q37" s="56"/>
    </row>
    <row r="38">
      <c r="A38" s="11" t="s">
        <v>5</v>
      </c>
      <c r="B38" s="177" t="s">
        <v>84</v>
      </c>
      <c r="C38" s="148">
        <v>12.0</v>
      </c>
      <c r="D38" s="25" t="str">
        <f t="shared" si="3"/>
        <v>QUI.</v>
      </c>
      <c r="E38" s="13">
        <f t="shared" si="2"/>
        <v>8</v>
      </c>
      <c r="F38" s="87">
        <v>44412.0</v>
      </c>
      <c r="G38" s="56"/>
      <c r="H38" s="101">
        <f>SUM(H39:H40)</f>
        <v>17.89</v>
      </c>
      <c r="I38" s="23" t="s">
        <v>17</v>
      </c>
      <c r="J38" s="40"/>
      <c r="K38" s="56"/>
      <c r="L38" s="56"/>
      <c r="M38" s="56"/>
      <c r="N38" s="56"/>
      <c r="O38" s="56"/>
      <c r="P38" s="56"/>
      <c r="Q38" s="56"/>
    </row>
    <row r="39" outlineLevel="1">
      <c r="A39" s="11" t="s">
        <v>40</v>
      </c>
      <c r="B39" s="177" t="s">
        <v>311</v>
      </c>
      <c r="C39" s="200"/>
      <c r="D39" s="201"/>
      <c r="E39" s="13">
        <f t="shared" si="2"/>
        <v>8</v>
      </c>
      <c r="F39" s="94"/>
      <c r="G39" s="203"/>
      <c r="H39" s="101">
        <v>7.99</v>
      </c>
      <c r="I39" s="23"/>
      <c r="J39" s="34" t="s">
        <v>309</v>
      </c>
      <c r="K39" s="203"/>
      <c r="L39" s="203"/>
      <c r="M39" s="203"/>
      <c r="N39" s="203"/>
      <c r="O39" s="203"/>
      <c r="P39" s="203"/>
      <c r="Q39" s="203"/>
    </row>
    <row r="40" outlineLevel="1">
      <c r="A40" s="11" t="s">
        <v>40</v>
      </c>
      <c r="B40" s="42" t="s">
        <v>87</v>
      </c>
      <c r="C40" s="204"/>
      <c r="D40" s="205"/>
      <c r="E40" s="13">
        <f t="shared" si="2"/>
        <v>8</v>
      </c>
      <c r="F40" s="100"/>
      <c r="G40" s="206"/>
      <c r="H40" s="53">
        <v>9.9</v>
      </c>
      <c r="I40" s="65"/>
      <c r="J40" s="44" t="s">
        <v>88</v>
      </c>
      <c r="K40" s="191"/>
      <c r="L40" s="191"/>
      <c r="M40" s="191"/>
      <c r="N40" s="191"/>
      <c r="O40" s="191"/>
      <c r="P40" s="191"/>
      <c r="Q40" s="191"/>
    </row>
    <row r="41" ht="15.0" customHeight="1">
      <c r="A41" s="192" t="s">
        <v>25</v>
      </c>
      <c r="B41" s="44" t="s">
        <v>26</v>
      </c>
      <c r="C41" s="66">
        <v>13.0</v>
      </c>
      <c r="D41" s="14" t="str">
        <f t="shared" ref="D41:D78" si="4">UPPER(TEXT(WEEKDAY(DATEVALUE(CONCATENATE(C41,"/",$C$3,"/",$A$1))),"DDD"))</f>
        <v>SEX.</v>
      </c>
      <c r="E41" s="13">
        <f t="shared" si="2"/>
        <v>8</v>
      </c>
      <c r="F41" s="43"/>
      <c r="G41" s="45"/>
      <c r="H41" s="46">
        <v>400.0</v>
      </c>
      <c r="I41" s="149" t="s">
        <v>17</v>
      </c>
      <c r="J41" s="44"/>
      <c r="K41" s="68"/>
      <c r="L41" s="68"/>
      <c r="M41" s="68"/>
      <c r="N41" s="68"/>
      <c r="O41" s="68"/>
      <c r="P41" s="68"/>
      <c r="Q41" s="68"/>
    </row>
    <row r="42" ht="15.0" customHeight="1">
      <c r="A42" s="192" t="s">
        <v>25</v>
      </c>
      <c r="B42" s="34" t="s">
        <v>27</v>
      </c>
      <c r="C42" s="148">
        <v>13.0</v>
      </c>
      <c r="D42" s="25" t="str">
        <f t="shared" si="4"/>
        <v>SEX.</v>
      </c>
      <c r="E42" s="13">
        <f t="shared" si="2"/>
        <v>8</v>
      </c>
      <c r="F42" s="26"/>
      <c r="G42" s="63">
        <v>400.0</v>
      </c>
      <c r="H42" s="56"/>
      <c r="I42" s="37" t="s">
        <v>13</v>
      </c>
      <c r="J42" s="34"/>
      <c r="K42" s="59"/>
      <c r="L42" s="59"/>
      <c r="M42" s="59"/>
      <c r="N42" s="59"/>
      <c r="O42" s="59"/>
      <c r="P42" s="59"/>
      <c r="Q42" s="59"/>
    </row>
    <row r="43">
      <c r="A43" s="95" t="s">
        <v>5</v>
      </c>
      <c r="B43" s="42" t="s">
        <v>329</v>
      </c>
      <c r="C43" s="66">
        <v>13.0</v>
      </c>
      <c r="D43" s="14" t="str">
        <f t="shared" si="4"/>
        <v>SEX.</v>
      </c>
      <c r="E43" s="13">
        <f t="shared" si="2"/>
        <v>8</v>
      </c>
      <c r="F43" s="43"/>
      <c r="G43" s="45"/>
      <c r="H43" s="46">
        <v>200.0</v>
      </c>
      <c r="I43" s="65" t="s">
        <v>17</v>
      </c>
      <c r="J43" s="42" t="s">
        <v>273</v>
      </c>
      <c r="K43" s="188"/>
      <c r="L43" s="188"/>
      <c r="M43" s="188"/>
      <c r="N43" s="188"/>
      <c r="O43" s="68"/>
      <c r="P43" s="68"/>
      <c r="Q43" s="68"/>
    </row>
    <row r="44">
      <c r="A44" s="11" t="s">
        <v>5</v>
      </c>
      <c r="B44" s="198" t="s">
        <v>260</v>
      </c>
      <c r="C44" s="80">
        <v>15.0</v>
      </c>
      <c r="D44" s="81" t="str">
        <f t="shared" si="4"/>
        <v>DOM.</v>
      </c>
      <c r="E44" s="13">
        <f t="shared" si="2"/>
        <v>8</v>
      </c>
      <c r="F44" s="87">
        <v>44421.0</v>
      </c>
      <c r="G44" s="36">
        <v>5100.0</v>
      </c>
      <c r="H44" s="70"/>
      <c r="I44" s="78" t="s">
        <v>261</v>
      </c>
      <c r="J44" s="103" t="s">
        <v>64</v>
      </c>
      <c r="K44" s="70"/>
      <c r="L44" s="70"/>
      <c r="M44" s="70"/>
      <c r="N44" s="70"/>
      <c r="O44" s="70"/>
      <c r="P44" s="70"/>
      <c r="Q44" s="70"/>
    </row>
    <row r="45">
      <c r="A45" s="192" t="s">
        <v>25</v>
      </c>
      <c r="B45" s="39" t="s">
        <v>26</v>
      </c>
      <c r="C45" s="66">
        <v>15.0</v>
      </c>
      <c r="D45" s="14" t="str">
        <f t="shared" si="4"/>
        <v>DOM.</v>
      </c>
      <c r="E45" s="13">
        <f t="shared" si="2"/>
        <v>8</v>
      </c>
      <c r="F45" s="87">
        <v>44421.0</v>
      </c>
      <c r="G45" s="45"/>
      <c r="H45" s="46">
        <v>5100.0</v>
      </c>
      <c r="I45" s="67" t="s">
        <v>261</v>
      </c>
      <c r="J45" s="42"/>
      <c r="K45" s="68"/>
      <c r="L45" s="68"/>
      <c r="M45" s="68"/>
      <c r="N45" s="68"/>
      <c r="O45" s="68"/>
      <c r="P45" s="68"/>
      <c r="Q45" s="68"/>
    </row>
    <row r="46">
      <c r="A46" s="192" t="s">
        <v>25</v>
      </c>
      <c r="B46" s="61" t="s">
        <v>27</v>
      </c>
      <c r="C46" s="148">
        <v>15.0</v>
      </c>
      <c r="D46" s="25" t="str">
        <f t="shared" si="4"/>
        <v>DOM.</v>
      </c>
      <c r="E46" s="13">
        <f t="shared" si="2"/>
        <v>8</v>
      </c>
      <c r="F46" s="87">
        <v>44421.0</v>
      </c>
      <c r="G46" s="63">
        <v>5100.0</v>
      </c>
      <c r="H46" s="56"/>
      <c r="I46" s="64" t="s">
        <v>17</v>
      </c>
      <c r="J46" s="40"/>
      <c r="K46" s="59"/>
      <c r="L46" s="59"/>
      <c r="M46" s="59"/>
      <c r="N46" s="59"/>
      <c r="O46" s="59"/>
      <c r="P46" s="59"/>
      <c r="Q46" s="59"/>
    </row>
    <row r="47">
      <c r="A47" s="11" t="s">
        <v>5</v>
      </c>
      <c r="B47" s="39" t="s">
        <v>102</v>
      </c>
      <c r="C47" s="13">
        <v>15.0</v>
      </c>
      <c r="D47" s="14" t="str">
        <f t="shared" si="4"/>
        <v>DOM.</v>
      </c>
      <c r="E47" s="13">
        <f t="shared" si="2"/>
        <v>8</v>
      </c>
      <c r="F47" s="87">
        <v>44421.0</v>
      </c>
      <c r="G47" s="45"/>
      <c r="H47" s="46">
        <v>176.16</v>
      </c>
      <c r="I47" s="58" t="s">
        <v>17</v>
      </c>
      <c r="J47" s="21" t="s">
        <v>75</v>
      </c>
      <c r="K47" s="39"/>
      <c r="L47" s="39"/>
      <c r="M47" s="39"/>
      <c r="N47" s="39"/>
      <c r="O47" s="39"/>
      <c r="P47" s="39"/>
      <c r="Q47" s="39"/>
    </row>
    <row r="48">
      <c r="A48" s="11" t="s">
        <v>5</v>
      </c>
      <c r="B48" s="61" t="s">
        <v>103</v>
      </c>
      <c r="C48" s="13">
        <v>15.0</v>
      </c>
      <c r="D48" s="14" t="str">
        <f t="shared" si="4"/>
        <v>DOM.</v>
      </c>
      <c r="E48" s="13">
        <f t="shared" si="2"/>
        <v>8</v>
      </c>
      <c r="F48" s="87">
        <v>44421.0</v>
      </c>
      <c r="G48" s="56"/>
      <c r="H48" s="63">
        <v>176.16</v>
      </c>
      <c r="I48" s="58" t="s">
        <v>17</v>
      </c>
      <c r="J48" s="21" t="s">
        <v>75</v>
      </c>
      <c r="K48" s="61"/>
      <c r="L48" s="61"/>
      <c r="M48" s="61"/>
      <c r="N48" s="61"/>
      <c r="O48" s="61"/>
      <c r="P48" s="61"/>
      <c r="Q48" s="61"/>
    </row>
    <row r="49">
      <c r="A49" s="11" t="s">
        <v>5</v>
      </c>
      <c r="B49" s="39" t="s">
        <v>104</v>
      </c>
      <c r="C49" s="13">
        <v>15.0</v>
      </c>
      <c r="D49" s="14" t="str">
        <f t="shared" si="4"/>
        <v>DOM.</v>
      </c>
      <c r="E49" s="13">
        <f t="shared" si="2"/>
        <v>8</v>
      </c>
      <c r="F49" s="87">
        <v>44421.0</v>
      </c>
      <c r="G49" s="45"/>
      <c r="H49" s="46">
        <v>222.72</v>
      </c>
      <c r="I49" s="58" t="s">
        <v>17</v>
      </c>
      <c r="J49" s="21" t="s">
        <v>75</v>
      </c>
      <c r="K49" s="39"/>
      <c r="L49" s="39"/>
      <c r="M49" s="39"/>
      <c r="N49" s="39"/>
      <c r="O49" s="39"/>
      <c r="P49" s="39"/>
      <c r="Q49" s="39"/>
    </row>
    <row r="50">
      <c r="A50" s="11" t="s">
        <v>5</v>
      </c>
      <c r="B50" s="83" t="s">
        <v>448</v>
      </c>
      <c r="C50" s="80">
        <v>15.0</v>
      </c>
      <c r="D50" s="81" t="str">
        <f t="shared" si="4"/>
        <v>DOM.</v>
      </c>
      <c r="E50" s="13">
        <f t="shared" si="2"/>
        <v>8</v>
      </c>
      <c r="F50" s="35"/>
      <c r="G50" s="70"/>
      <c r="H50" s="36">
        <v>43.98</v>
      </c>
      <c r="I50" s="82" t="s">
        <v>252</v>
      </c>
      <c r="J50" s="199" t="s">
        <v>20</v>
      </c>
      <c r="K50" s="106"/>
      <c r="L50" s="106"/>
      <c r="M50" s="106"/>
      <c r="N50" s="106"/>
      <c r="O50" s="84"/>
      <c r="P50" s="84"/>
      <c r="Q50" s="84"/>
    </row>
    <row r="51">
      <c r="A51" s="11" t="s">
        <v>5</v>
      </c>
      <c r="B51" s="29" t="s">
        <v>305</v>
      </c>
      <c r="C51" s="73">
        <v>16.0</v>
      </c>
      <c r="D51" s="74" t="str">
        <f t="shared" si="4"/>
        <v>SEG.</v>
      </c>
      <c r="E51" s="13">
        <f t="shared" si="2"/>
        <v>8</v>
      </c>
      <c r="F51" s="30"/>
      <c r="G51" s="31"/>
      <c r="H51" s="153">
        <v>100.0</v>
      </c>
      <c r="I51" s="71" t="s">
        <v>17</v>
      </c>
      <c r="J51" s="72" t="s">
        <v>306</v>
      </c>
      <c r="K51" s="31"/>
      <c r="L51" s="31"/>
      <c r="M51" s="31"/>
      <c r="N51" s="31"/>
      <c r="O51" s="31"/>
      <c r="P51" s="31"/>
      <c r="Q51" s="31"/>
    </row>
    <row r="52">
      <c r="A52" s="11" t="s">
        <v>5</v>
      </c>
      <c r="B52" s="42" t="s">
        <v>109</v>
      </c>
      <c r="C52" s="13">
        <v>17.0</v>
      </c>
      <c r="D52" s="14" t="str">
        <f t="shared" si="4"/>
        <v>TER.</v>
      </c>
      <c r="E52" s="13">
        <f t="shared" si="2"/>
        <v>8</v>
      </c>
      <c r="F52" s="14"/>
      <c r="G52" s="53">
        <v>2500.0</v>
      </c>
      <c r="H52" s="53"/>
      <c r="I52" s="58" t="s">
        <v>15</v>
      </c>
      <c r="J52" s="44" t="s">
        <v>110</v>
      </c>
      <c r="K52" s="42"/>
      <c r="L52" s="96"/>
      <c r="M52" s="21"/>
      <c r="N52" s="21"/>
      <c r="O52" s="39"/>
      <c r="P52" s="39"/>
      <c r="Q52" s="39"/>
    </row>
    <row r="53">
      <c r="A53" s="41" t="s">
        <v>25</v>
      </c>
      <c r="B53" s="39" t="s">
        <v>26</v>
      </c>
      <c r="C53" s="66">
        <v>17.0</v>
      </c>
      <c r="D53" s="14" t="str">
        <f t="shared" si="4"/>
        <v>TER.</v>
      </c>
      <c r="E53" s="13">
        <f t="shared" si="2"/>
        <v>8</v>
      </c>
      <c r="F53" s="43"/>
      <c r="G53" s="45"/>
      <c r="H53" s="53">
        <v>2500.0</v>
      </c>
      <c r="I53" s="149" t="s">
        <v>15</v>
      </c>
      <c r="J53" s="44"/>
      <c r="K53" s="68"/>
      <c r="L53" s="68"/>
      <c r="M53" s="68"/>
      <c r="N53" s="68"/>
      <c r="O53" s="68"/>
      <c r="P53" s="68"/>
      <c r="Q53" s="68"/>
    </row>
    <row r="54">
      <c r="A54" s="58" t="s">
        <v>25</v>
      </c>
      <c r="B54" s="72" t="s">
        <v>27</v>
      </c>
      <c r="C54" s="73">
        <v>17.0</v>
      </c>
      <c r="D54" s="74" t="str">
        <f t="shared" si="4"/>
        <v>TER.</v>
      </c>
      <c r="E54" s="13">
        <f t="shared" si="2"/>
        <v>8</v>
      </c>
      <c r="F54" s="30"/>
      <c r="G54" s="53">
        <v>2500.0</v>
      </c>
      <c r="H54" s="31"/>
      <c r="I54" s="154" t="s">
        <v>17</v>
      </c>
      <c r="J54" s="76"/>
      <c r="K54" s="77"/>
      <c r="L54" s="77"/>
      <c r="M54" s="77"/>
      <c r="N54" s="77"/>
      <c r="O54" s="77"/>
      <c r="P54" s="77"/>
      <c r="Q54" s="77"/>
    </row>
    <row r="55">
      <c r="A55" s="47" t="s">
        <v>5</v>
      </c>
      <c r="B55" s="69" t="s">
        <v>449</v>
      </c>
      <c r="C55" s="150">
        <v>17.0</v>
      </c>
      <c r="D55" s="81" t="str">
        <f t="shared" si="4"/>
        <v>TER.</v>
      </c>
      <c r="E55" s="207">
        <f t="shared" si="2"/>
        <v>8</v>
      </c>
      <c r="F55" s="35"/>
      <c r="G55" s="70"/>
      <c r="H55" s="36">
        <v>2500.0</v>
      </c>
      <c r="I55" s="78" t="s">
        <v>17</v>
      </c>
      <c r="J55" s="83" t="s">
        <v>115</v>
      </c>
      <c r="K55" s="70"/>
      <c r="L55" s="70"/>
      <c r="M55" s="70"/>
      <c r="N55" s="70"/>
      <c r="O55" s="70"/>
      <c r="P55" s="70"/>
      <c r="Q55" s="70"/>
    </row>
    <row r="56">
      <c r="A56" s="192" t="s">
        <v>5</v>
      </c>
      <c r="B56" s="179" t="s">
        <v>427</v>
      </c>
      <c r="C56" s="62">
        <v>17.0</v>
      </c>
      <c r="D56" s="25" t="str">
        <f t="shared" si="4"/>
        <v>TER.</v>
      </c>
      <c r="E56" s="13">
        <f t="shared" si="2"/>
        <v>8</v>
      </c>
      <c r="F56" s="26"/>
      <c r="G56" s="56"/>
      <c r="H56" s="63">
        <v>135.02</v>
      </c>
      <c r="I56" s="33" t="s">
        <v>252</v>
      </c>
      <c r="J56" s="173" t="s">
        <v>22</v>
      </c>
      <c r="K56" s="56"/>
      <c r="L56" s="56"/>
      <c r="M56" s="56"/>
      <c r="N56" s="56"/>
      <c r="O56" s="56"/>
      <c r="P56" s="56"/>
      <c r="Q56" s="56"/>
    </row>
    <row r="57">
      <c r="A57" s="11" t="s">
        <v>5</v>
      </c>
      <c r="B57" s="79" t="s">
        <v>73</v>
      </c>
      <c r="C57" s="80">
        <v>18.0</v>
      </c>
      <c r="D57" s="81" t="str">
        <f t="shared" si="4"/>
        <v>QUA.</v>
      </c>
      <c r="E57" s="13">
        <f t="shared" si="2"/>
        <v>8</v>
      </c>
      <c r="F57" s="35"/>
      <c r="G57" s="70"/>
      <c r="H57" s="36">
        <v>18.4</v>
      </c>
      <c r="I57" s="152" t="s">
        <v>17</v>
      </c>
      <c r="J57" s="199" t="s">
        <v>20</v>
      </c>
      <c r="K57" s="106"/>
      <c r="L57" s="106"/>
      <c r="M57" s="106"/>
      <c r="N57" s="106"/>
      <c r="O57" s="84"/>
      <c r="P57" s="84"/>
      <c r="Q57" s="84"/>
    </row>
    <row r="58">
      <c r="A58" s="192" t="s">
        <v>5</v>
      </c>
      <c r="B58" s="39" t="s">
        <v>125</v>
      </c>
      <c r="C58" s="13">
        <v>20.0</v>
      </c>
      <c r="D58" s="14" t="str">
        <f t="shared" si="4"/>
        <v>SEX.</v>
      </c>
      <c r="E58" s="13">
        <f t="shared" si="2"/>
        <v>8</v>
      </c>
      <c r="F58" s="87">
        <v>44421.0</v>
      </c>
      <c r="G58" s="45"/>
      <c r="H58" s="46">
        <v>373.41</v>
      </c>
      <c r="I58" s="58" t="s">
        <v>17</v>
      </c>
      <c r="J58" s="21" t="s">
        <v>126</v>
      </c>
      <c r="K58" s="39"/>
      <c r="L58" s="39"/>
      <c r="M58" s="39"/>
      <c r="N58" s="39"/>
      <c r="O58" s="39"/>
      <c r="P58" s="39"/>
      <c r="Q58" s="39"/>
    </row>
    <row r="59">
      <c r="A59" s="11" t="s">
        <v>5</v>
      </c>
      <c r="B59" s="83" t="s">
        <v>450</v>
      </c>
      <c r="C59" s="80">
        <v>21.0</v>
      </c>
      <c r="D59" s="81" t="str">
        <f t="shared" si="4"/>
        <v>SÁB.</v>
      </c>
      <c r="E59" s="13">
        <f t="shared" si="2"/>
        <v>8</v>
      </c>
      <c r="F59" s="35"/>
      <c r="G59" s="70"/>
      <c r="H59" s="36">
        <v>73.7</v>
      </c>
      <c r="I59" s="82" t="s">
        <v>252</v>
      </c>
      <c r="J59" s="199" t="s">
        <v>20</v>
      </c>
      <c r="K59" s="106"/>
      <c r="L59" s="106"/>
      <c r="M59" s="106"/>
      <c r="N59" s="106"/>
      <c r="O59" s="84"/>
      <c r="P59" s="84"/>
      <c r="Q59" s="84"/>
    </row>
    <row r="60">
      <c r="A60" s="192" t="s">
        <v>5</v>
      </c>
      <c r="B60" s="179" t="s">
        <v>21</v>
      </c>
      <c r="C60" s="62">
        <v>17.0</v>
      </c>
      <c r="D60" s="25" t="str">
        <f t="shared" si="4"/>
        <v>TER.</v>
      </c>
      <c r="E60" s="13">
        <f t="shared" si="2"/>
        <v>8</v>
      </c>
      <c r="F60" s="26"/>
      <c r="G60" s="56"/>
      <c r="H60" s="63">
        <v>228.1</v>
      </c>
      <c r="I60" s="33" t="s">
        <v>252</v>
      </c>
      <c r="J60" s="173" t="s">
        <v>22</v>
      </c>
      <c r="K60" s="56"/>
      <c r="L60" s="56"/>
      <c r="M60" s="56"/>
      <c r="N60" s="56"/>
      <c r="O60" s="56"/>
      <c r="P60" s="56"/>
      <c r="Q60" s="56"/>
    </row>
    <row r="61">
      <c r="A61" s="192" t="s">
        <v>5</v>
      </c>
      <c r="B61" s="44" t="s">
        <v>451</v>
      </c>
      <c r="C61" s="13">
        <v>22.0</v>
      </c>
      <c r="D61" s="14" t="str">
        <f t="shared" si="4"/>
        <v>DOM.</v>
      </c>
      <c r="E61" s="13">
        <f t="shared" si="2"/>
        <v>8</v>
      </c>
      <c r="F61" s="87"/>
      <c r="G61" s="45"/>
      <c r="H61" s="46">
        <v>796.1</v>
      </c>
      <c r="I61" s="58" t="s">
        <v>17</v>
      </c>
      <c r="J61" s="21" t="s">
        <v>420</v>
      </c>
      <c r="K61" s="39"/>
      <c r="L61" s="39"/>
      <c r="M61" s="39"/>
      <c r="N61" s="39"/>
      <c r="O61" s="39"/>
      <c r="P61" s="39"/>
      <c r="Q61" s="39"/>
    </row>
    <row r="62">
      <c r="A62" s="192" t="s">
        <v>5</v>
      </c>
      <c r="B62" s="34" t="s">
        <v>373</v>
      </c>
      <c r="C62" s="13">
        <v>23.0</v>
      </c>
      <c r="D62" s="14" t="str">
        <f t="shared" si="4"/>
        <v>SEG.</v>
      </c>
      <c r="E62" s="13">
        <f t="shared" si="2"/>
        <v>8</v>
      </c>
      <c r="F62" s="94"/>
      <c r="G62" s="56"/>
      <c r="H62" s="63">
        <v>0.0</v>
      </c>
      <c r="I62" s="58" t="s">
        <v>17</v>
      </c>
      <c r="J62" s="21" t="s">
        <v>128</v>
      </c>
      <c r="K62" s="61"/>
      <c r="L62" s="61"/>
      <c r="M62" s="61"/>
      <c r="N62" s="61"/>
      <c r="O62" s="61"/>
      <c r="P62" s="61"/>
      <c r="Q62" s="61"/>
    </row>
    <row r="63">
      <c r="A63" s="192" t="s">
        <v>5</v>
      </c>
      <c r="B63" s="39" t="s">
        <v>134</v>
      </c>
      <c r="C63" s="13">
        <v>23.0</v>
      </c>
      <c r="D63" s="14" t="str">
        <f t="shared" si="4"/>
        <v>SEG.</v>
      </c>
      <c r="E63" s="13">
        <f t="shared" si="2"/>
        <v>8</v>
      </c>
      <c r="F63" s="43"/>
      <c r="G63" s="45"/>
      <c r="H63" s="46">
        <v>352.02</v>
      </c>
      <c r="I63" s="60" t="s">
        <v>13</v>
      </c>
      <c r="J63" s="21" t="s">
        <v>135</v>
      </c>
      <c r="K63" s="39"/>
      <c r="L63" s="39"/>
      <c r="M63" s="39"/>
      <c r="N63" s="39"/>
      <c r="O63" s="39"/>
      <c r="P63" s="39"/>
      <c r="Q63" s="39"/>
    </row>
    <row r="64">
      <c r="A64" s="192" t="s">
        <v>5</v>
      </c>
      <c r="B64" s="44" t="s">
        <v>452</v>
      </c>
      <c r="C64" s="13">
        <v>24.0</v>
      </c>
      <c r="D64" s="14" t="str">
        <f t="shared" si="4"/>
        <v>TER.</v>
      </c>
      <c r="E64" s="13">
        <f t="shared" si="2"/>
        <v>8</v>
      </c>
      <c r="F64" s="26"/>
      <c r="G64" s="56"/>
      <c r="H64" s="63">
        <v>105.0</v>
      </c>
      <c r="I64" s="33" t="s">
        <v>17</v>
      </c>
      <c r="J64" s="44" t="s">
        <v>20</v>
      </c>
      <c r="K64" s="59"/>
      <c r="L64" s="59"/>
      <c r="M64" s="59"/>
      <c r="N64" s="59"/>
      <c r="O64" s="59"/>
      <c r="P64" s="59"/>
      <c r="Q64" s="59"/>
    </row>
    <row r="65">
      <c r="A65" s="11" t="s">
        <v>5</v>
      </c>
      <c r="B65" s="44" t="s">
        <v>453</v>
      </c>
      <c r="C65" s="13">
        <v>24.0</v>
      </c>
      <c r="D65" s="14" t="str">
        <f t="shared" si="4"/>
        <v>TER.</v>
      </c>
      <c r="E65" s="13">
        <f t="shared" si="2"/>
        <v>8</v>
      </c>
      <c r="F65" s="94"/>
      <c r="G65" s="45"/>
      <c r="H65" s="46">
        <v>63.8</v>
      </c>
      <c r="I65" s="58" t="s">
        <v>17</v>
      </c>
      <c r="J65" s="21" t="s">
        <v>435</v>
      </c>
      <c r="K65" s="39"/>
      <c r="L65" s="39"/>
      <c r="M65" s="39"/>
      <c r="N65" s="39"/>
      <c r="O65" s="39"/>
      <c r="P65" s="39"/>
      <c r="Q65" s="39"/>
    </row>
    <row r="66">
      <c r="A66" s="192" t="s">
        <v>5</v>
      </c>
      <c r="B66" s="44" t="s">
        <v>454</v>
      </c>
      <c r="C66" s="13">
        <v>26.0</v>
      </c>
      <c r="D66" s="14" t="str">
        <f t="shared" si="4"/>
        <v>QUI.</v>
      </c>
      <c r="E66" s="13">
        <f t="shared" si="2"/>
        <v>8</v>
      </c>
      <c r="F66" s="85"/>
      <c r="G66" s="46">
        <v>718.2</v>
      </c>
      <c r="H66" s="46"/>
      <c r="I66" s="58" t="s">
        <v>17</v>
      </c>
      <c r="J66" s="21" t="s">
        <v>455</v>
      </c>
      <c r="K66" s="21"/>
      <c r="L66" s="21"/>
      <c r="M66" s="21"/>
      <c r="N66" s="21"/>
      <c r="O66" s="39"/>
      <c r="P66" s="39"/>
      <c r="Q66" s="39"/>
    </row>
    <row r="67">
      <c r="A67" s="11" t="s">
        <v>5</v>
      </c>
      <c r="B67" s="44" t="s">
        <v>185</v>
      </c>
      <c r="C67" s="13">
        <v>26.0</v>
      </c>
      <c r="D67" s="14" t="str">
        <f t="shared" si="4"/>
        <v>QUI.</v>
      </c>
      <c r="E67" s="13">
        <f t="shared" si="2"/>
        <v>8</v>
      </c>
      <c r="F67" s="43"/>
      <c r="G67" s="45"/>
      <c r="H67" s="46">
        <v>470.0</v>
      </c>
      <c r="I67" s="58" t="s">
        <v>17</v>
      </c>
      <c r="J67" s="21" t="s">
        <v>181</v>
      </c>
      <c r="K67" s="68"/>
      <c r="L67" s="68"/>
      <c r="M67" s="68"/>
      <c r="N67" s="68"/>
      <c r="O67" s="68"/>
      <c r="P67" s="68"/>
      <c r="Q67" s="68"/>
    </row>
    <row r="68">
      <c r="A68" s="78" t="s">
        <v>5</v>
      </c>
      <c r="B68" s="83" t="s">
        <v>456</v>
      </c>
      <c r="C68" s="80">
        <v>26.0</v>
      </c>
      <c r="D68" s="81" t="str">
        <f t="shared" si="4"/>
        <v>QUI.</v>
      </c>
      <c r="E68" s="207">
        <f t="shared" si="2"/>
        <v>8</v>
      </c>
      <c r="F68" s="35"/>
      <c r="G68" s="70"/>
      <c r="H68" s="36">
        <v>49.7</v>
      </c>
      <c r="I68" s="142" t="s">
        <v>17</v>
      </c>
      <c r="J68" s="79" t="s">
        <v>20</v>
      </c>
      <c r="K68" s="84"/>
      <c r="L68" s="84"/>
      <c r="M68" s="84"/>
      <c r="N68" s="84"/>
      <c r="O68" s="84"/>
      <c r="P68" s="84"/>
      <c r="Q68" s="84"/>
    </row>
    <row r="69">
      <c r="A69" s="11" t="s">
        <v>5</v>
      </c>
      <c r="B69" s="141" t="s">
        <v>457</v>
      </c>
      <c r="C69" s="13">
        <v>27.0</v>
      </c>
      <c r="D69" s="14" t="str">
        <f t="shared" si="4"/>
        <v>SEX.</v>
      </c>
      <c r="E69" s="13">
        <f t="shared" si="2"/>
        <v>8</v>
      </c>
      <c r="F69" s="35"/>
      <c r="G69" s="70"/>
      <c r="H69" s="86">
        <v>300.0</v>
      </c>
      <c r="I69" s="47" t="s">
        <v>17</v>
      </c>
      <c r="J69" s="48" t="s">
        <v>147</v>
      </c>
      <c r="K69" s="28"/>
      <c r="L69" s="28"/>
      <c r="M69" s="28"/>
      <c r="N69" s="28"/>
      <c r="O69" s="28"/>
      <c r="P69" s="28"/>
      <c r="Q69" s="28"/>
    </row>
    <row r="70">
      <c r="A70" s="11" t="s">
        <v>5</v>
      </c>
      <c r="B70" s="179" t="s">
        <v>439</v>
      </c>
      <c r="C70" s="62">
        <v>28.0</v>
      </c>
      <c r="D70" s="25" t="str">
        <f t="shared" si="4"/>
        <v>SÁB.</v>
      </c>
      <c r="E70" s="13">
        <f t="shared" si="2"/>
        <v>8</v>
      </c>
      <c r="F70" s="26"/>
      <c r="G70" s="56"/>
      <c r="H70" s="63">
        <v>225.28</v>
      </c>
      <c r="I70" s="33" t="s">
        <v>17</v>
      </c>
      <c r="J70" s="173" t="s">
        <v>22</v>
      </c>
      <c r="K70" s="56"/>
      <c r="L70" s="56"/>
      <c r="M70" s="56"/>
      <c r="N70" s="56"/>
      <c r="O70" s="56"/>
      <c r="P70" s="56"/>
      <c r="Q70" s="56"/>
    </row>
    <row r="71">
      <c r="A71" s="11" t="s">
        <v>5</v>
      </c>
      <c r="B71" s="79" t="s">
        <v>73</v>
      </c>
      <c r="C71" s="80">
        <v>29.0</v>
      </c>
      <c r="D71" s="81" t="str">
        <f t="shared" si="4"/>
        <v>DOM.</v>
      </c>
      <c r="E71" s="13">
        <f t="shared" si="2"/>
        <v>8</v>
      </c>
      <c r="F71" s="35"/>
      <c r="G71" s="70"/>
      <c r="H71" s="36">
        <v>35.5</v>
      </c>
      <c r="I71" s="152" t="s">
        <v>17</v>
      </c>
      <c r="J71" s="199" t="s">
        <v>20</v>
      </c>
      <c r="K71" s="106"/>
      <c r="L71" s="106"/>
      <c r="M71" s="106"/>
      <c r="N71" s="106"/>
      <c r="O71" s="84"/>
      <c r="P71" s="84"/>
      <c r="Q71" s="84"/>
    </row>
    <row r="72">
      <c r="A72" s="65" t="s">
        <v>5</v>
      </c>
      <c r="B72" s="44" t="s">
        <v>458</v>
      </c>
      <c r="C72" s="13">
        <v>29.0</v>
      </c>
      <c r="D72" s="14" t="str">
        <f t="shared" si="4"/>
        <v>DOM.</v>
      </c>
      <c r="E72" s="13">
        <f t="shared" si="2"/>
        <v>8</v>
      </c>
      <c r="F72" s="14"/>
      <c r="G72" s="43"/>
      <c r="H72" s="46">
        <v>66.35</v>
      </c>
      <c r="I72" s="58" t="s">
        <v>17</v>
      </c>
      <c r="J72" s="42" t="s">
        <v>20</v>
      </c>
      <c r="K72" s="59"/>
      <c r="L72" s="59"/>
      <c r="M72" s="59"/>
      <c r="N72" s="59"/>
      <c r="O72" s="59"/>
      <c r="P72" s="59"/>
      <c r="Q72" s="59"/>
    </row>
    <row r="73">
      <c r="A73" s="58" t="s">
        <v>5</v>
      </c>
      <c r="B73" s="29" t="s">
        <v>305</v>
      </c>
      <c r="C73" s="73">
        <v>30.0</v>
      </c>
      <c r="D73" s="74" t="str">
        <f t="shared" si="4"/>
        <v>SEG.</v>
      </c>
      <c r="E73" s="193">
        <f t="shared" si="2"/>
        <v>8</v>
      </c>
      <c r="F73" s="30"/>
      <c r="G73" s="31"/>
      <c r="H73" s="153">
        <v>100.0</v>
      </c>
      <c r="I73" s="71" t="s">
        <v>17</v>
      </c>
      <c r="J73" s="72" t="s">
        <v>306</v>
      </c>
      <c r="K73" s="31"/>
      <c r="L73" s="31"/>
      <c r="M73" s="31"/>
      <c r="N73" s="31"/>
      <c r="O73" s="31"/>
      <c r="P73" s="31"/>
      <c r="Q73" s="31"/>
    </row>
    <row r="74">
      <c r="A74" s="192" t="s">
        <v>5</v>
      </c>
      <c r="B74" s="40" t="s">
        <v>248</v>
      </c>
      <c r="C74" s="62">
        <v>30.0</v>
      </c>
      <c r="D74" s="25" t="str">
        <f t="shared" si="4"/>
        <v>SEG.</v>
      </c>
      <c r="E74" s="13">
        <f t="shared" si="2"/>
        <v>8</v>
      </c>
      <c r="F74" s="26"/>
      <c r="G74" s="63">
        <v>330.0</v>
      </c>
      <c r="H74" s="101"/>
      <c r="I74" s="60" t="s">
        <v>249</v>
      </c>
      <c r="J74" s="173" t="s">
        <v>250</v>
      </c>
      <c r="K74" s="59"/>
      <c r="L74" s="59"/>
      <c r="M74" s="59"/>
      <c r="N74" s="59"/>
      <c r="O74" s="59"/>
      <c r="P74" s="59"/>
      <c r="Q74" s="59"/>
    </row>
    <row r="75">
      <c r="A75" s="192" t="s">
        <v>5</v>
      </c>
      <c r="B75" s="42" t="s">
        <v>251</v>
      </c>
      <c r="C75" s="66">
        <v>30.0</v>
      </c>
      <c r="D75" s="14" t="str">
        <f t="shared" si="4"/>
        <v>SEG.</v>
      </c>
      <c r="E75" s="13">
        <f t="shared" si="2"/>
        <v>8</v>
      </c>
      <c r="F75" s="43"/>
      <c r="G75" s="46">
        <v>700.0</v>
      </c>
      <c r="H75" s="53"/>
      <c r="I75" s="65" t="s">
        <v>252</v>
      </c>
      <c r="J75" s="42" t="s">
        <v>253</v>
      </c>
      <c r="K75" s="68"/>
      <c r="L75" s="68"/>
      <c r="M75" s="68"/>
      <c r="N75" s="68"/>
      <c r="O75" s="68"/>
      <c r="P75" s="68"/>
      <c r="Q75" s="68"/>
    </row>
    <row r="76">
      <c r="A76" s="192" t="s">
        <v>5</v>
      </c>
      <c r="B76" s="69" t="s">
        <v>376</v>
      </c>
      <c r="C76" s="13">
        <v>31.0</v>
      </c>
      <c r="D76" s="14" t="str">
        <f t="shared" si="4"/>
        <v>TER.</v>
      </c>
      <c r="E76" s="13">
        <f t="shared" si="2"/>
        <v>8</v>
      </c>
      <c r="F76" s="54"/>
      <c r="G76" s="36">
        <v>4169.06</v>
      </c>
      <c r="H76" s="70"/>
      <c r="I76" s="47" t="s">
        <v>261</v>
      </c>
      <c r="J76" s="21" t="s">
        <v>64</v>
      </c>
      <c r="K76" s="70"/>
      <c r="L76" s="70"/>
      <c r="M76" s="70"/>
      <c r="N76" s="70"/>
      <c r="O76" s="70"/>
      <c r="P76" s="70"/>
      <c r="Q76" s="70"/>
    </row>
    <row r="77">
      <c r="A77" s="192" t="s">
        <v>25</v>
      </c>
      <c r="B77" s="61" t="s">
        <v>26</v>
      </c>
      <c r="C77" s="148">
        <v>31.0</v>
      </c>
      <c r="D77" s="25" t="str">
        <f t="shared" si="4"/>
        <v>TER.</v>
      </c>
      <c r="E77" s="13">
        <f t="shared" si="2"/>
        <v>8</v>
      </c>
      <c r="F77" s="26"/>
      <c r="G77" s="56"/>
      <c r="H77" s="36">
        <v>4169.06</v>
      </c>
      <c r="I77" s="64" t="s">
        <v>261</v>
      </c>
      <c r="J77" s="40"/>
      <c r="K77" s="59"/>
      <c r="L77" s="59"/>
      <c r="M77" s="59"/>
      <c r="N77" s="59"/>
      <c r="O77" s="59"/>
      <c r="P77" s="59"/>
      <c r="Q77" s="59"/>
    </row>
    <row r="78">
      <c r="A78" s="192" t="s">
        <v>25</v>
      </c>
      <c r="B78" s="39" t="s">
        <v>27</v>
      </c>
      <c r="C78" s="66">
        <v>31.0</v>
      </c>
      <c r="D78" s="14" t="str">
        <f t="shared" si="4"/>
        <v>TER.</v>
      </c>
      <c r="E78" s="13">
        <f t="shared" si="2"/>
        <v>8</v>
      </c>
      <c r="F78" s="43"/>
      <c r="G78" s="36">
        <v>4169.06</v>
      </c>
      <c r="H78" s="45"/>
      <c r="I78" s="67" t="s">
        <v>17</v>
      </c>
      <c r="J78" s="42"/>
      <c r="K78" s="68"/>
      <c r="L78" s="68"/>
      <c r="M78" s="68"/>
      <c r="N78" s="68"/>
      <c r="O78" s="68"/>
      <c r="P78" s="68"/>
      <c r="Q78" s="68"/>
    </row>
    <row r="79">
      <c r="A79" s="11"/>
      <c r="B79" s="59"/>
      <c r="C79" s="26"/>
      <c r="D79" s="107"/>
      <c r="E79" s="26"/>
      <c r="F79" s="26"/>
      <c r="G79" s="56"/>
      <c r="H79" s="56"/>
      <c r="I79" s="47"/>
      <c r="J79" s="21"/>
      <c r="K79" s="59"/>
      <c r="L79" s="59"/>
      <c r="M79" s="59"/>
      <c r="N79" s="59"/>
      <c r="O79" s="59"/>
      <c r="P79" s="59"/>
      <c r="Q79" s="59"/>
    </row>
    <row r="80">
      <c r="A80" s="11"/>
      <c r="B80" s="68"/>
      <c r="C80" s="43"/>
      <c r="D80" s="108"/>
      <c r="E80" s="43"/>
      <c r="F80" s="43"/>
      <c r="G80" s="45"/>
      <c r="H80" s="45"/>
      <c r="I80" s="47"/>
      <c r="J80" s="21"/>
      <c r="K80" s="68"/>
      <c r="L80" s="68"/>
      <c r="M80" s="68"/>
      <c r="N80" s="68"/>
      <c r="O80" s="68"/>
      <c r="P80" s="68"/>
      <c r="Q80" s="68"/>
    </row>
    <row r="81">
      <c r="A81" s="109"/>
      <c r="B81" s="110"/>
      <c r="C81" s="111"/>
      <c r="D81" s="112"/>
      <c r="E81" s="111"/>
      <c r="F81" s="111"/>
      <c r="G81" s="113"/>
      <c r="H81" s="113"/>
      <c r="I81" s="114"/>
      <c r="J81" s="21"/>
      <c r="K81" s="110"/>
      <c r="L81" s="110"/>
      <c r="M81" s="110"/>
      <c r="N81" s="110"/>
      <c r="O81" s="110"/>
      <c r="P81" s="110"/>
      <c r="Q81" s="110"/>
    </row>
    <row r="82" ht="15.75" customHeight="1">
      <c r="A82" s="115"/>
      <c r="B82" s="116" t="s">
        <v>142</v>
      </c>
      <c r="C82" s="117"/>
      <c r="D82" s="118"/>
      <c r="E82" s="119"/>
      <c r="F82" s="119"/>
      <c r="G82" s="120">
        <f>SUMIF(A3:A81,"PAGO",G3:G81)</f>
        <v>17586.66</v>
      </c>
      <c r="H82" s="120">
        <f>SUMIF(A3:A81,"PAGO",H3:H81)</f>
        <v>10322.94</v>
      </c>
      <c r="I82" s="121"/>
      <c r="J82" s="117"/>
      <c r="K82" s="120">
        <f t="shared" ref="K82:K83" si="5">G82-H82</f>
        <v>7263.72</v>
      </c>
      <c r="L82" s="120"/>
      <c r="M82" s="120"/>
      <c r="N82" s="120"/>
      <c r="O82" s="120"/>
      <c r="P82" s="120"/>
      <c r="Q82" s="120"/>
    </row>
    <row r="83" ht="15.75" customHeight="1">
      <c r="A83" s="115"/>
      <c r="B83" s="122" t="s">
        <v>143</v>
      </c>
      <c r="C83" s="117"/>
      <c r="D83" s="123"/>
      <c r="E83" s="124"/>
      <c r="F83" s="124"/>
      <c r="G83" s="125">
        <f>SUMIF(A3:A81,"PAGO",G3:G81) + SUMIF(A3:A81,"PREVISTO",G3:G81)</f>
        <v>17586.66</v>
      </c>
      <c r="H83" s="125">
        <f>SUMIF(A3:A81,"PAGO",H3:H81) + SUMIF(A3:A81,"PREVISTO",H3:H81)</f>
        <v>10322.94</v>
      </c>
      <c r="I83" s="121"/>
      <c r="J83" s="122" t="s">
        <v>144</v>
      </c>
      <c r="K83" s="125">
        <f t="shared" si="5"/>
        <v>7263.72</v>
      </c>
      <c r="L83" s="125"/>
      <c r="M83" s="125"/>
      <c r="N83" s="125"/>
      <c r="O83" s="125"/>
      <c r="P83" s="125"/>
      <c r="Q83" s="125"/>
    </row>
    <row r="84">
      <c r="A84" s="126"/>
      <c r="B84" s="127"/>
      <c r="C84" s="93"/>
      <c r="D84" s="128"/>
      <c r="E84" s="129"/>
      <c r="F84" s="129"/>
      <c r="G84" s="130"/>
      <c r="H84" s="130"/>
      <c r="I84" s="131"/>
      <c r="J84" s="132" t="s">
        <v>13</v>
      </c>
      <c r="K84" s="133">
        <f t="shared" ref="K84:K91" si="6">(SUMIFS($G$3:$G$81,$I$3:$I$81,J84,$A$3:$A$81,"PAGO") + SUMIFS($G$3:$G$81,$I$3:$I$81,J84,$A$3:$A$81,"CONTAS")) - (SUMIFS($H$3:$H$81,$I$3:$I$81,J84,$A$3:$A$81,"PAGO") + SUMIFS($H$3:$H$81,$I$3:$I$81,J84,$A$3:$A$81,"CONTAS"))</f>
        <v>51.21</v>
      </c>
      <c r="L84" s="133"/>
      <c r="M84" s="133"/>
      <c r="N84" s="133"/>
      <c r="O84" s="133"/>
      <c r="P84" s="133"/>
      <c r="Q84" s="133"/>
    </row>
    <row r="85">
      <c r="A85" s="134"/>
      <c r="B85" s="135"/>
      <c r="C85" s="93"/>
      <c r="D85" s="128"/>
      <c r="E85" s="129"/>
      <c r="F85" s="129"/>
      <c r="G85" s="130"/>
      <c r="H85" s="130"/>
      <c r="I85" s="131"/>
      <c r="J85" s="132" t="s">
        <v>15</v>
      </c>
      <c r="K85" s="133">
        <f t="shared" si="6"/>
        <v>2.85</v>
      </c>
      <c r="L85" s="133"/>
      <c r="M85" s="133"/>
      <c r="N85" s="133"/>
      <c r="O85" s="133"/>
      <c r="P85" s="133"/>
      <c r="Q85" s="133"/>
    </row>
    <row r="86">
      <c r="A86" s="134"/>
      <c r="B86" s="136"/>
      <c r="C86" s="137"/>
      <c r="D86" s="128"/>
      <c r="E86" s="129"/>
      <c r="F86" s="129"/>
      <c r="G86" s="130"/>
      <c r="H86" s="130"/>
      <c r="I86" s="131"/>
      <c r="J86" s="132" t="s">
        <v>16</v>
      </c>
      <c r="K86" s="133">
        <f t="shared" si="6"/>
        <v>0</v>
      </c>
      <c r="L86" s="133"/>
      <c r="M86" s="133"/>
      <c r="N86" s="133"/>
      <c r="O86" s="133"/>
      <c r="P86" s="133"/>
      <c r="Q86" s="133"/>
    </row>
    <row r="87">
      <c r="A87" s="134"/>
      <c r="B87" s="136"/>
      <c r="C87" s="137"/>
      <c r="D87" s="128"/>
      <c r="E87" s="129"/>
      <c r="F87" s="129"/>
      <c r="G87" s="130"/>
      <c r="H87" s="130"/>
      <c r="I87" s="131"/>
      <c r="J87" s="132" t="s">
        <v>17</v>
      </c>
      <c r="K87" s="133">
        <f t="shared" si="6"/>
        <v>6136.61</v>
      </c>
      <c r="L87" s="133"/>
      <c r="M87" s="133"/>
      <c r="N87" s="133"/>
      <c r="O87" s="133"/>
      <c r="P87" s="133"/>
      <c r="Q87" s="133"/>
    </row>
    <row r="88">
      <c r="A88" s="134"/>
      <c r="B88" s="93"/>
      <c r="C88" s="137"/>
      <c r="D88" s="138"/>
      <c r="E88" s="139"/>
      <c r="F88" s="139"/>
      <c r="G88" s="140"/>
      <c r="H88" s="140"/>
      <c r="I88" s="131"/>
      <c r="J88" s="132" t="s">
        <v>18</v>
      </c>
      <c r="K88" s="133">
        <f t="shared" si="6"/>
        <v>9.52</v>
      </c>
      <c r="L88" s="133"/>
      <c r="M88" s="133"/>
      <c r="N88" s="133"/>
      <c r="O88" s="133"/>
      <c r="P88" s="133"/>
      <c r="Q88" s="133"/>
    </row>
    <row r="89">
      <c r="A89" s="134"/>
      <c r="B89" s="137"/>
      <c r="C89" s="93"/>
      <c r="D89" s="138"/>
      <c r="E89" s="139"/>
      <c r="F89" s="139"/>
      <c r="G89" s="140"/>
      <c r="H89" s="140"/>
      <c r="I89" s="131"/>
      <c r="J89" s="183" t="s">
        <v>261</v>
      </c>
      <c r="K89" s="133">
        <f t="shared" si="6"/>
        <v>0</v>
      </c>
      <c r="L89" s="93"/>
      <c r="M89" s="93"/>
      <c r="N89" s="93"/>
      <c r="O89" s="93"/>
      <c r="P89" s="93"/>
      <c r="Q89" s="93"/>
    </row>
    <row r="90">
      <c r="A90" s="134"/>
      <c r="B90" s="137"/>
      <c r="C90" s="93"/>
      <c r="D90" s="138"/>
      <c r="E90" s="139"/>
      <c r="F90" s="139"/>
      <c r="G90" s="140"/>
      <c r="H90" s="140"/>
      <c r="I90" s="131"/>
      <c r="J90" s="182" t="s">
        <v>252</v>
      </c>
      <c r="K90" s="133">
        <f t="shared" si="6"/>
        <v>733.53</v>
      </c>
      <c r="L90" s="93"/>
      <c r="M90" s="93"/>
      <c r="N90" s="93"/>
      <c r="O90" s="93"/>
      <c r="P90" s="93"/>
      <c r="Q90" s="93"/>
    </row>
    <row r="91">
      <c r="A91" s="134"/>
      <c r="B91" s="137"/>
      <c r="C91" s="93"/>
      <c r="D91" s="138"/>
      <c r="E91" s="139"/>
      <c r="F91" s="139"/>
      <c r="G91" s="140"/>
      <c r="H91" s="140"/>
      <c r="I91" s="131"/>
      <c r="J91" s="182" t="s">
        <v>249</v>
      </c>
      <c r="K91" s="133">
        <f t="shared" si="6"/>
        <v>330</v>
      </c>
      <c r="L91" s="93"/>
      <c r="M91" s="93"/>
      <c r="N91" s="93"/>
      <c r="O91" s="93"/>
      <c r="P91" s="93"/>
      <c r="Q91" s="93"/>
    </row>
    <row r="92">
      <c r="A92" s="134"/>
      <c r="B92" s="137"/>
      <c r="C92" s="93"/>
      <c r="D92" s="138"/>
      <c r="E92" s="139"/>
      <c r="F92" s="139"/>
      <c r="G92" s="140"/>
      <c r="H92" s="140"/>
      <c r="I92" s="131"/>
      <c r="J92" s="93"/>
      <c r="K92" s="93"/>
      <c r="L92" s="93"/>
      <c r="M92" s="93"/>
      <c r="N92" s="93"/>
      <c r="O92" s="93"/>
      <c r="P92" s="93"/>
      <c r="Q92" s="93"/>
    </row>
  </sheetData>
  <customSheetViews>
    <customSheetView guid="{55ED7845-B94B-4003-AD57-D4008EE7E009}" filter="1" showAutoFilter="1">
      <autoFilter ref="$A$2:$K$11"/>
    </customSheetView>
    <customSheetView guid="{F6E0E906-D63E-467F-B486-84E6C0126E80}" filter="1" showAutoFilter="1">
      <autoFilter ref="$A$2:$K$3"/>
    </customSheetView>
    <customSheetView guid="{8E320149-1ED8-4245-AE83-2AF08A85D2EE}" filter="1" showAutoFilter="1">
      <autoFilter ref="$A$2:$K$3"/>
    </customSheetView>
    <customSheetView guid="{FF238D65-B29E-47B3-BB76-09A78DB37DDE}" filter="1" showAutoFilter="1">
      <autoFilter ref="$A$2:$K$3"/>
    </customSheetView>
    <customSheetView guid="{5F890A4C-8AFA-4126-80E7-AF0191C5590F}" filter="1" showAutoFilter="1">
      <autoFilter ref="$A$2:$K$3"/>
    </customSheetView>
  </customSheetViews>
  <conditionalFormatting sqref="A3:Q81">
    <cfRule type="expression" dxfId="0" priority="1">
      <formula>ISEVEN(ROW())</formula>
    </cfRule>
  </conditionalFormatting>
  <conditionalFormatting sqref="A3:Q81">
    <cfRule type="expression" dxfId="1" priority="2">
      <formula>ISODD(ROW())</formula>
    </cfRule>
  </conditionalFormatting>
  <dataValidations>
    <dataValidation type="list" allowBlank="1" sqref="A3:A80">
      <formula1>listas!$A$1:$A$17</formula1>
    </dataValidation>
    <dataValidation type="list" allowBlank="1" sqref="I3:I80">
      <formula1>listas!$B$1:$B$21</formula1>
    </dataValidation>
  </dataValidations>
  <drawing r:id="rId2"/>
  <legacyDrawing r:id="rId3"/>
  <tableParts count="2">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9.0</v>
      </c>
      <c r="D3" s="14"/>
      <c r="E3" s="15"/>
      <c r="F3" s="15"/>
      <c r="G3" s="16"/>
      <c r="H3" s="17"/>
      <c r="I3" s="18"/>
      <c r="J3" s="19"/>
      <c r="K3" s="20"/>
      <c r="L3" s="20"/>
      <c r="M3" s="20"/>
      <c r="N3" s="20"/>
      <c r="O3" s="20"/>
      <c r="P3" s="20"/>
      <c r="Q3" s="20"/>
    </row>
    <row r="4">
      <c r="A4" s="11" t="s">
        <v>5</v>
      </c>
      <c r="B4" s="21" t="s">
        <v>145</v>
      </c>
      <c r="C4" s="13">
        <v>1.0</v>
      </c>
      <c r="D4" s="14" t="str">
        <f t="shared" ref="D4:D29" si="1">UPPER(TEXT(WEEKDAY(DATEVALUE(CONCATENATE(C4,"/",$C$3,"/",$A$1))),"DDD"))</f>
        <v>QUA.</v>
      </c>
      <c r="E4" s="13">
        <f t="shared" ref="E4:E16" si="2">$C$3</f>
        <v>9</v>
      </c>
      <c r="F4" s="15"/>
      <c r="G4" s="16">
        <f>agosto!K84</f>
        <v>51.21</v>
      </c>
      <c r="H4" s="17"/>
      <c r="I4" s="18" t="s">
        <v>13</v>
      </c>
      <c r="J4" s="21" t="s">
        <v>14</v>
      </c>
      <c r="K4" s="22"/>
      <c r="L4" s="22"/>
      <c r="M4" s="22"/>
      <c r="N4" s="22"/>
      <c r="O4" s="22"/>
      <c r="P4" s="22"/>
      <c r="Q4" s="22"/>
    </row>
    <row r="5">
      <c r="A5" s="11" t="s">
        <v>5</v>
      </c>
      <c r="B5" s="21" t="s">
        <v>145</v>
      </c>
      <c r="C5" s="13">
        <v>1.0</v>
      </c>
      <c r="D5" s="14" t="str">
        <f t="shared" si="1"/>
        <v>QUA.</v>
      </c>
      <c r="E5" s="13">
        <f t="shared" si="2"/>
        <v>9</v>
      </c>
      <c r="F5" s="15"/>
      <c r="G5" s="16">
        <f>agosto!K85</f>
        <v>2.85</v>
      </c>
      <c r="H5" s="17"/>
      <c r="I5" s="18" t="s">
        <v>15</v>
      </c>
      <c r="J5" s="21" t="s">
        <v>14</v>
      </c>
      <c r="K5" s="22"/>
      <c r="L5" s="22"/>
      <c r="M5" s="22"/>
      <c r="N5" s="22"/>
      <c r="O5" s="22"/>
      <c r="P5" s="22"/>
      <c r="Q5" s="22"/>
    </row>
    <row r="6">
      <c r="A6" s="11" t="s">
        <v>5</v>
      </c>
      <c r="B6" s="21" t="s">
        <v>145</v>
      </c>
      <c r="C6" s="13">
        <v>1.0</v>
      </c>
      <c r="D6" s="14" t="str">
        <f t="shared" si="1"/>
        <v>QUA.</v>
      </c>
      <c r="E6" s="13">
        <f t="shared" si="2"/>
        <v>9</v>
      </c>
      <c r="F6" s="15"/>
      <c r="G6" s="16">
        <f>agosto!K86</f>
        <v>0</v>
      </c>
      <c r="H6" s="17"/>
      <c r="I6" s="18" t="s">
        <v>16</v>
      </c>
      <c r="J6" s="21" t="s">
        <v>14</v>
      </c>
      <c r="K6" s="22"/>
      <c r="L6" s="22"/>
      <c r="M6" s="22"/>
      <c r="N6" s="22"/>
      <c r="O6" s="22"/>
      <c r="P6" s="22"/>
      <c r="Q6" s="22"/>
    </row>
    <row r="7">
      <c r="A7" s="11" t="s">
        <v>5</v>
      </c>
      <c r="B7" s="21" t="s">
        <v>145</v>
      </c>
      <c r="C7" s="13">
        <v>1.0</v>
      </c>
      <c r="D7" s="14" t="str">
        <f t="shared" si="1"/>
        <v>QUA.</v>
      </c>
      <c r="E7" s="13">
        <f t="shared" si="2"/>
        <v>9</v>
      </c>
      <c r="F7" s="15"/>
      <c r="G7" s="16">
        <f>agosto!K87</f>
        <v>6136.61</v>
      </c>
      <c r="H7" s="17"/>
      <c r="I7" s="18" t="s">
        <v>17</v>
      </c>
      <c r="J7" s="21" t="s">
        <v>14</v>
      </c>
      <c r="K7" s="22"/>
      <c r="L7" s="22"/>
      <c r="M7" s="22"/>
      <c r="N7" s="22"/>
      <c r="O7" s="22"/>
      <c r="P7" s="22"/>
      <c r="Q7" s="22"/>
    </row>
    <row r="8">
      <c r="A8" s="11" t="s">
        <v>5</v>
      </c>
      <c r="B8" s="21" t="s">
        <v>145</v>
      </c>
      <c r="C8" s="13">
        <v>1.0</v>
      </c>
      <c r="D8" s="14" t="str">
        <f t="shared" si="1"/>
        <v>QUA.</v>
      </c>
      <c r="E8" s="13">
        <f t="shared" si="2"/>
        <v>9</v>
      </c>
      <c r="F8" s="15"/>
      <c r="G8" s="16">
        <f>agosto!K88</f>
        <v>9.52</v>
      </c>
      <c r="H8" s="17"/>
      <c r="I8" s="18" t="s">
        <v>18</v>
      </c>
      <c r="J8" s="21" t="s">
        <v>14</v>
      </c>
      <c r="K8" s="22"/>
      <c r="L8" s="22"/>
      <c r="M8" s="22"/>
      <c r="N8" s="22"/>
      <c r="O8" s="22"/>
      <c r="P8" s="22"/>
      <c r="Q8" s="22"/>
    </row>
    <row r="9">
      <c r="A9" s="11" t="s">
        <v>5</v>
      </c>
      <c r="B9" s="72" t="s">
        <v>145</v>
      </c>
      <c r="C9" s="193">
        <v>1.0</v>
      </c>
      <c r="D9" s="74" t="str">
        <f t="shared" si="1"/>
        <v>QUA.</v>
      </c>
      <c r="E9" s="13">
        <f t="shared" si="2"/>
        <v>9</v>
      </c>
      <c r="F9" s="30"/>
      <c r="G9" s="16">
        <f>agosto!K89</f>
        <v>0</v>
      </c>
      <c r="H9" s="31"/>
      <c r="I9" s="58" t="s">
        <v>261</v>
      </c>
      <c r="J9" s="72" t="s">
        <v>14</v>
      </c>
      <c r="K9" s="77"/>
      <c r="L9" s="77"/>
      <c r="M9" s="77"/>
      <c r="N9" s="77"/>
      <c r="O9" s="77"/>
      <c r="P9" s="77"/>
      <c r="Q9" s="77"/>
    </row>
    <row r="10">
      <c r="A10" s="11" t="s">
        <v>5</v>
      </c>
      <c r="B10" s="173" t="s">
        <v>145</v>
      </c>
      <c r="C10" s="184">
        <v>1.0</v>
      </c>
      <c r="D10" s="25" t="str">
        <f t="shared" si="1"/>
        <v>QUA.</v>
      </c>
      <c r="E10" s="13">
        <f t="shared" si="2"/>
        <v>9</v>
      </c>
      <c r="F10" s="26"/>
      <c r="G10" s="16">
        <f>agosto!K90</f>
        <v>733.53</v>
      </c>
      <c r="H10" s="56"/>
      <c r="I10" s="33" t="s">
        <v>252</v>
      </c>
      <c r="J10" s="173" t="s">
        <v>14</v>
      </c>
      <c r="K10" s="59"/>
      <c r="L10" s="59"/>
      <c r="M10" s="59"/>
      <c r="N10" s="59"/>
      <c r="O10" s="59"/>
      <c r="P10" s="59"/>
      <c r="Q10" s="59"/>
    </row>
    <row r="11">
      <c r="A11" s="11" t="s">
        <v>5</v>
      </c>
      <c r="B11" s="42" t="s">
        <v>145</v>
      </c>
      <c r="C11" s="144">
        <v>1.0</v>
      </c>
      <c r="D11" s="14" t="str">
        <f t="shared" si="1"/>
        <v>QUA.</v>
      </c>
      <c r="E11" s="13">
        <f t="shared" si="2"/>
        <v>9</v>
      </c>
      <c r="F11" s="43"/>
      <c r="G11" s="16">
        <f>agosto!K91</f>
        <v>330</v>
      </c>
      <c r="H11" s="45"/>
      <c r="I11" s="41" t="s">
        <v>249</v>
      </c>
      <c r="J11" s="42" t="s">
        <v>14</v>
      </c>
      <c r="K11" s="68"/>
      <c r="L11" s="68"/>
      <c r="M11" s="68"/>
      <c r="N11" s="68"/>
      <c r="O11" s="68"/>
      <c r="P11" s="68"/>
      <c r="Q11" s="68"/>
    </row>
    <row r="12">
      <c r="A12" s="192" t="s">
        <v>5</v>
      </c>
      <c r="B12" s="79" t="s">
        <v>117</v>
      </c>
      <c r="C12" s="80">
        <v>1.0</v>
      </c>
      <c r="D12" s="81" t="str">
        <f t="shared" si="1"/>
        <v>QUA.</v>
      </c>
      <c r="E12" s="13">
        <f t="shared" si="2"/>
        <v>9</v>
      </c>
      <c r="F12" s="35"/>
      <c r="G12" s="70"/>
      <c r="H12" s="151">
        <v>20.0</v>
      </c>
      <c r="I12" s="78" t="s">
        <v>17</v>
      </c>
      <c r="J12" s="199" t="s">
        <v>118</v>
      </c>
      <c r="K12" s="84"/>
      <c r="L12" s="84"/>
      <c r="M12" s="84"/>
      <c r="N12" s="84"/>
      <c r="O12" s="84"/>
      <c r="P12" s="84"/>
      <c r="Q12" s="84"/>
    </row>
    <row r="13">
      <c r="A13" s="215" t="s">
        <v>25</v>
      </c>
      <c r="B13" s="198" t="s">
        <v>26</v>
      </c>
      <c r="C13" s="150">
        <v>1.0</v>
      </c>
      <c r="D13" s="81" t="str">
        <f t="shared" si="1"/>
        <v>QUA.</v>
      </c>
      <c r="E13" s="207">
        <f t="shared" si="2"/>
        <v>9</v>
      </c>
      <c r="F13" s="35"/>
      <c r="G13" s="70"/>
      <c r="H13" s="36">
        <v>400.0</v>
      </c>
      <c r="I13" s="82" t="s">
        <v>17</v>
      </c>
      <c r="J13" s="197"/>
      <c r="K13" s="70"/>
      <c r="L13" s="70"/>
      <c r="M13" s="70"/>
      <c r="N13" s="70"/>
      <c r="O13" s="70"/>
      <c r="P13" s="70"/>
      <c r="Q13" s="70"/>
    </row>
    <row r="14">
      <c r="A14" s="192" t="s">
        <v>25</v>
      </c>
      <c r="B14" s="29" t="s">
        <v>27</v>
      </c>
      <c r="C14" s="73">
        <v>1.0</v>
      </c>
      <c r="D14" s="74" t="str">
        <f t="shared" si="1"/>
        <v>QUA.</v>
      </c>
      <c r="E14" s="193">
        <f t="shared" si="2"/>
        <v>9</v>
      </c>
      <c r="F14" s="30"/>
      <c r="G14" s="32">
        <v>400.0</v>
      </c>
      <c r="H14" s="31"/>
      <c r="I14" s="75" t="s">
        <v>13</v>
      </c>
      <c r="J14" s="157"/>
      <c r="K14" s="31"/>
      <c r="L14" s="31"/>
      <c r="M14" s="31"/>
      <c r="N14" s="31"/>
      <c r="O14" s="31"/>
      <c r="P14" s="31"/>
      <c r="Q14" s="31"/>
    </row>
    <row r="15">
      <c r="A15" s="11" t="s">
        <v>5</v>
      </c>
      <c r="B15" s="28" t="s">
        <v>148</v>
      </c>
      <c r="C15" s="13">
        <v>2.0</v>
      </c>
      <c r="D15" s="14" t="str">
        <f t="shared" si="1"/>
        <v>QUI.</v>
      </c>
      <c r="E15" s="13">
        <f t="shared" si="2"/>
        <v>9</v>
      </c>
      <c r="F15" s="35"/>
      <c r="G15" s="70"/>
      <c r="H15" s="86">
        <v>67.05</v>
      </c>
      <c r="I15" s="142" t="s">
        <v>13</v>
      </c>
      <c r="J15" s="21" t="s">
        <v>149</v>
      </c>
      <c r="K15" s="28"/>
      <c r="L15" s="28"/>
      <c r="M15" s="28"/>
      <c r="N15" s="28"/>
      <c r="O15" s="28"/>
      <c r="P15" s="28"/>
      <c r="Q15" s="28"/>
    </row>
    <row r="16">
      <c r="A16" s="11" t="s">
        <v>5</v>
      </c>
      <c r="B16" s="44" t="s">
        <v>459</v>
      </c>
      <c r="C16" s="13">
        <v>2.0</v>
      </c>
      <c r="D16" s="14" t="str">
        <f t="shared" si="1"/>
        <v>QUI.</v>
      </c>
      <c r="E16" s="13">
        <f t="shared" si="2"/>
        <v>9</v>
      </c>
      <c r="F16" s="43"/>
      <c r="G16" s="45"/>
      <c r="H16" s="46">
        <v>6.0</v>
      </c>
      <c r="I16" s="47" t="s">
        <v>17</v>
      </c>
      <c r="J16" s="44" t="s">
        <v>29</v>
      </c>
      <c r="K16" s="39"/>
      <c r="L16" s="39"/>
      <c r="M16" s="39"/>
      <c r="N16" s="39"/>
      <c r="O16" s="39"/>
      <c r="P16" s="39"/>
      <c r="Q16" s="39"/>
    </row>
    <row r="17">
      <c r="A17" s="11" t="s">
        <v>5</v>
      </c>
      <c r="B17" s="76" t="s">
        <v>460</v>
      </c>
      <c r="C17" s="13">
        <v>2.0</v>
      </c>
      <c r="D17" s="14" t="str">
        <f t="shared" si="1"/>
        <v>QUI.</v>
      </c>
      <c r="E17" s="13">
        <v>1.0</v>
      </c>
      <c r="F17" s="15"/>
      <c r="G17" s="16"/>
      <c r="H17" s="86">
        <v>27.12</v>
      </c>
      <c r="I17" s="71" t="s">
        <v>17</v>
      </c>
      <c r="J17" s="21" t="s">
        <v>461</v>
      </c>
      <c r="K17" s="216"/>
      <c r="L17" s="216"/>
      <c r="M17" s="216"/>
      <c r="N17" s="216"/>
      <c r="O17" s="216"/>
      <c r="P17" s="216"/>
      <c r="Q17" s="216"/>
    </row>
    <row r="18">
      <c r="A18" s="11" t="s">
        <v>5</v>
      </c>
      <c r="B18" s="44" t="s">
        <v>462</v>
      </c>
      <c r="C18" s="13">
        <v>2.0</v>
      </c>
      <c r="D18" s="14" t="str">
        <f t="shared" si="1"/>
        <v>QUI.</v>
      </c>
      <c r="E18" s="13">
        <f t="shared" ref="E18:E95" si="3">$C$3</f>
        <v>9</v>
      </c>
      <c r="F18" s="54"/>
      <c r="G18" s="45"/>
      <c r="H18" s="46">
        <v>217.69</v>
      </c>
      <c r="I18" s="71" t="s">
        <v>17</v>
      </c>
      <c r="J18" s="21" t="s">
        <v>31</v>
      </c>
      <c r="K18" s="39"/>
      <c r="L18" s="39"/>
      <c r="M18" s="39"/>
      <c r="N18" s="39"/>
      <c r="O18" s="39"/>
      <c r="P18" s="39"/>
      <c r="Q18" s="39"/>
    </row>
    <row r="19">
      <c r="A19" s="11" t="s">
        <v>5</v>
      </c>
      <c r="B19" s="79" t="s">
        <v>73</v>
      </c>
      <c r="C19" s="80">
        <v>2.0</v>
      </c>
      <c r="D19" s="81" t="str">
        <f t="shared" si="1"/>
        <v>QUI.</v>
      </c>
      <c r="E19" s="13">
        <f t="shared" si="3"/>
        <v>9</v>
      </c>
      <c r="F19" s="35"/>
      <c r="G19" s="70"/>
      <c r="H19" s="36">
        <v>31.9</v>
      </c>
      <c r="I19" s="152" t="s">
        <v>17</v>
      </c>
      <c r="J19" s="199" t="s">
        <v>20</v>
      </c>
      <c r="K19" s="106"/>
      <c r="L19" s="106"/>
      <c r="M19" s="106"/>
      <c r="N19" s="106"/>
      <c r="O19" s="84"/>
      <c r="P19" s="84"/>
      <c r="Q19" s="84"/>
    </row>
    <row r="20">
      <c r="A20" s="11" t="s">
        <v>5</v>
      </c>
      <c r="B20" s="98" t="s">
        <v>372</v>
      </c>
      <c r="C20" s="13">
        <v>3.0</v>
      </c>
      <c r="D20" s="81" t="str">
        <f t="shared" si="1"/>
        <v>SEX.</v>
      </c>
      <c r="E20" s="13">
        <f t="shared" si="3"/>
        <v>9</v>
      </c>
      <c r="F20" s="15"/>
      <c r="G20" s="16"/>
      <c r="H20" s="36">
        <v>70.8</v>
      </c>
      <c r="I20" s="21" t="s">
        <v>252</v>
      </c>
      <c r="J20" s="21" t="s">
        <v>20</v>
      </c>
      <c r="K20" s="216"/>
      <c r="L20" s="216"/>
      <c r="M20" s="216"/>
      <c r="N20" s="216"/>
      <c r="O20" s="216"/>
      <c r="P20" s="216"/>
      <c r="Q20" s="216"/>
    </row>
    <row r="21">
      <c r="A21" s="11" t="s">
        <v>5</v>
      </c>
      <c r="B21" s="76" t="s">
        <v>463</v>
      </c>
      <c r="C21" s="13">
        <v>4.0</v>
      </c>
      <c r="D21" s="81" t="str">
        <f t="shared" si="1"/>
        <v>SÁB.</v>
      </c>
      <c r="E21" s="13">
        <f t="shared" si="3"/>
        <v>9</v>
      </c>
      <c r="F21" s="15"/>
      <c r="G21" s="16"/>
      <c r="H21" s="36">
        <v>1777.0</v>
      </c>
      <c r="I21" s="152" t="s">
        <v>17</v>
      </c>
      <c r="J21" s="21" t="s">
        <v>464</v>
      </c>
      <c r="K21" s="216"/>
      <c r="L21" s="216"/>
      <c r="M21" s="216"/>
      <c r="N21" s="216"/>
      <c r="O21" s="216"/>
      <c r="P21" s="216"/>
      <c r="Q21" s="216"/>
    </row>
    <row r="22">
      <c r="A22" s="11" t="s">
        <v>5</v>
      </c>
      <c r="B22" s="179" t="s">
        <v>21</v>
      </c>
      <c r="C22" s="62">
        <v>4.0</v>
      </c>
      <c r="D22" s="25" t="str">
        <f t="shared" si="1"/>
        <v>SÁB.</v>
      </c>
      <c r="E22" s="13">
        <f t="shared" si="3"/>
        <v>9</v>
      </c>
      <c r="F22" s="26"/>
      <c r="G22" s="56"/>
      <c r="H22" s="63">
        <v>216.67</v>
      </c>
      <c r="I22" s="33" t="s">
        <v>252</v>
      </c>
      <c r="J22" s="173" t="s">
        <v>22</v>
      </c>
      <c r="K22" s="56"/>
      <c r="L22" s="56"/>
      <c r="M22" s="56"/>
      <c r="N22" s="56"/>
      <c r="O22" s="56"/>
      <c r="P22" s="56"/>
      <c r="Q22" s="56"/>
    </row>
    <row r="23">
      <c r="A23" s="192" t="s">
        <v>5</v>
      </c>
      <c r="B23" s="159" t="s">
        <v>465</v>
      </c>
      <c r="C23" s="73">
        <v>5.0</v>
      </c>
      <c r="D23" s="25" t="str">
        <f t="shared" si="1"/>
        <v>DOM.</v>
      </c>
      <c r="E23" s="13">
        <f t="shared" si="3"/>
        <v>9</v>
      </c>
      <c r="F23" s="87">
        <v>44442.0</v>
      </c>
      <c r="G23" s="31"/>
      <c r="H23" s="32">
        <v>400.0</v>
      </c>
      <c r="I23" s="71" t="s">
        <v>17</v>
      </c>
      <c r="J23" s="76" t="s">
        <v>466</v>
      </c>
      <c r="K23" s="31"/>
      <c r="L23" s="31"/>
      <c r="M23" s="31"/>
      <c r="N23" s="31"/>
      <c r="O23" s="31"/>
      <c r="P23" s="31"/>
      <c r="Q23" s="31"/>
    </row>
    <row r="24">
      <c r="A24" s="11" t="s">
        <v>5</v>
      </c>
      <c r="B24" s="83" t="s">
        <v>350</v>
      </c>
      <c r="C24" s="13">
        <v>6.0</v>
      </c>
      <c r="D24" s="14" t="str">
        <f t="shared" si="1"/>
        <v>SEG.</v>
      </c>
      <c r="E24" s="13">
        <f t="shared" si="3"/>
        <v>9</v>
      </c>
      <c r="F24" s="35"/>
      <c r="G24" s="36">
        <v>500.0</v>
      </c>
      <c r="H24" s="70"/>
      <c r="I24" s="78" t="s">
        <v>17</v>
      </c>
      <c r="J24" s="21" t="s">
        <v>390</v>
      </c>
      <c r="K24" s="84"/>
      <c r="L24" s="84"/>
      <c r="M24" s="84"/>
      <c r="N24" s="84"/>
      <c r="O24" s="84"/>
      <c r="P24" s="84"/>
      <c r="Q24" s="84"/>
    </row>
    <row r="25">
      <c r="A25" s="11" t="s">
        <v>5</v>
      </c>
      <c r="B25" s="83" t="s">
        <v>352</v>
      </c>
      <c r="C25" s="13">
        <v>6.0</v>
      </c>
      <c r="D25" s="14" t="str">
        <f t="shared" si="1"/>
        <v>SEG.</v>
      </c>
      <c r="E25" s="13">
        <f t="shared" si="3"/>
        <v>9</v>
      </c>
      <c r="F25" s="35"/>
      <c r="G25" s="36"/>
      <c r="H25" s="36">
        <v>500.0</v>
      </c>
      <c r="I25" s="78" t="s">
        <v>17</v>
      </c>
      <c r="J25" s="21" t="s">
        <v>391</v>
      </c>
      <c r="K25" s="84"/>
      <c r="L25" s="84"/>
      <c r="M25" s="84"/>
      <c r="N25" s="84"/>
      <c r="O25" s="84"/>
      <c r="P25" s="84"/>
      <c r="Q25" s="84"/>
    </row>
    <row r="26">
      <c r="A26" s="11" t="s">
        <v>5</v>
      </c>
      <c r="B26" s="34" t="s">
        <v>467</v>
      </c>
      <c r="C26" s="13">
        <v>6.0</v>
      </c>
      <c r="D26" s="14" t="str">
        <f t="shared" si="1"/>
        <v>SEG.</v>
      </c>
      <c r="E26" s="13">
        <f t="shared" si="3"/>
        <v>9</v>
      </c>
      <c r="F26" s="94"/>
      <c r="G26" s="56"/>
      <c r="H26" s="63">
        <v>100.0</v>
      </c>
      <c r="I26" s="58" t="s">
        <v>17</v>
      </c>
      <c r="J26" s="21" t="s">
        <v>147</v>
      </c>
      <c r="K26" s="61"/>
      <c r="L26" s="61"/>
      <c r="M26" s="61"/>
      <c r="N26" s="61"/>
      <c r="O26" s="61"/>
      <c r="P26" s="61"/>
      <c r="Q26" s="61"/>
    </row>
    <row r="27">
      <c r="A27" s="11" t="s">
        <v>5</v>
      </c>
      <c r="B27" s="99" t="s">
        <v>119</v>
      </c>
      <c r="C27" s="13">
        <v>7.0</v>
      </c>
      <c r="D27" s="14" t="str">
        <f t="shared" si="1"/>
        <v>TER.</v>
      </c>
      <c r="E27" s="13">
        <f t="shared" si="3"/>
        <v>9</v>
      </c>
      <c r="F27" s="35"/>
      <c r="G27" s="36">
        <v>15.01</v>
      </c>
      <c r="H27" s="70"/>
      <c r="I27" s="78" t="s">
        <v>17</v>
      </c>
      <c r="J27" s="21" t="s">
        <v>120</v>
      </c>
      <c r="K27" s="84"/>
      <c r="L27" s="84"/>
      <c r="M27" s="84"/>
      <c r="N27" s="84"/>
      <c r="O27" s="84"/>
      <c r="P27" s="84"/>
      <c r="Q27" s="84"/>
    </row>
    <row r="28">
      <c r="A28" s="11" t="s">
        <v>5</v>
      </c>
      <c r="B28" s="76" t="s">
        <v>468</v>
      </c>
      <c r="C28" s="13">
        <v>7.0</v>
      </c>
      <c r="D28" s="81" t="str">
        <f t="shared" si="1"/>
        <v>TER.</v>
      </c>
      <c r="E28" s="13">
        <f t="shared" si="3"/>
        <v>9</v>
      </c>
      <c r="F28" s="15"/>
      <c r="G28" s="16"/>
      <c r="H28" s="36">
        <v>78.0</v>
      </c>
      <c r="I28" s="47" t="s">
        <v>17</v>
      </c>
      <c r="J28" s="21" t="s">
        <v>20</v>
      </c>
      <c r="K28" s="216"/>
      <c r="L28" s="216"/>
      <c r="M28" s="216"/>
      <c r="N28" s="216"/>
      <c r="O28" s="216"/>
      <c r="P28" s="216"/>
      <c r="Q28" s="216"/>
    </row>
    <row r="29">
      <c r="A29" s="11" t="s">
        <v>5</v>
      </c>
      <c r="B29" s="44" t="s">
        <v>39</v>
      </c>
      <c r="C29" s="13">
        <v>8.0</v>
      </c>
      <c r="D29" s="14" t="str">
        <f t="shared" si="1"/>
        <v>QUA.</v>
      </c>
      <c r="E29" s="13">
        <f t="shared" si="3"/>
        <v>9</v>
      </c>
      <c r="F29" s="87">
        <v>44440.0</v>
      </c>
      <c r="G29" s="45"/>
      <c r="H29" s="53">
        <f>SUM(H30:H39)</f>
        <v>234.45</v>
      </c>
      <c r="I29" s="47" t="s">
        <v>17</v>
      </c>
      <c r="J29" s="21"/>
      <c r="K29" s="39"/>
      <c r="L29" s="39"/>
      <c r="M29" s="39"/>
      <c r="N29" s="39"/>
      <c r="O29" s="39"/>
      <c r="P29" s="39"/>
      <c r="Q29" s="39"/>
    </row>
    <row r="30" outlineLevel="1">
      <c r="A30" s="11" t="s">
        <v>40</v>
      </c>
      <c r="B30" s="44" t="s">
        <v>441</v>
      </c>
      <c r="C30" s="13"/>
      <c r="D30" s="14"/>
      <c r="E30" s="13">
        <f t="shared" si="3"/>
        <v>9</v>
      </c>
      <c r="F30" s="54">
        <v>44408.0</v>
      </c>
      <c r="G30" s="45"/>
      <c r="H30" s="46">
        <v>-43.06</v>
      </c>
      <c r="I30" s="47"/>
      <c r="J30" s="21" t="s">
        <v>393</v>
      </c>
      <c r="K30" s="39"/>
      <c r="L30" s="39"/>
      <c r="M30" s="39"/>
      <c r="N30" s="39"/>
      <c r="O30" s="39"/>
      <c r="P30" s="39"/>
      <c r="Q30" s="39"/>
    </row>
    <row r="31" outlineLevel="1">
      <c r="A31" s="11" t="s">
        <v>40</v>
      </c>
      <c r="B31" s="76" t="s">
        <v>239</v>
      </c>
      <c r="C31" s="155"/>
      <c r="D31" s="156"/>
      <c r="E31" s="13">
        <f t="shared" si="3"/>
        <v>9</v>
      </c>
      <c r="F31" s="54">
        <v>44409.0</v>
      </c>
      <c r="G31" s="31"/>
      <c r="H31" s="32">
        <v>1.0</v>
      </c>
      <c r="I31" s="157"/>
      <c r="J31" s="72"/>
      <c r="K31" s="77"/>
      <c r="L31" s="77"/>
      <c r="M31" s="77"/>
      <c r="N31" s="77"/>
      <c r="O31" s="77"/>
      <c r="P31" s="77"/>
      <c r="Q31" s="77"/>
    </row>
    <row r="32" outlineLevel="1">
      <c r="A32" s="11" t="s">
        <v>40</v>
      </c>
      <c r="B32" s="76" t="s">
        <v>469</v>
      </c>
      <c r="C32" s="155"/>
      <c r="D32" s="156"/>
      <c r="E32" s="13">
        <f t="shared" si="3"/>
        <v>9</v>
      </c>
      <c r="F32" s="54">
        <v>44410.0</v>
      </c>
      <c r="G32" s="31"/>
      <c r="H32" s="32">
        <v>58.94</v>
      </c>
      <c r="I32" s="157"/>
      <c r="J32" s="72" t="s">
        <v>393</v>
      </c>
      <c r="K32" s="77"/>
      <c r="L32" s="77"/>
      <c r="M32" s="77"/>
      <c r="N32" s="77"/>
      <c r="O32" s="77"/>
      <c r="P32" s="77"/>
      <c r="Q32" s="77"/>
    </row>
    <row r="33" outlineLevel="1">
      <c r="A33" s="11" t="s">
        <v>40</v>
      </c>
      <c r="B33" s="44" t="s">
        <v>470</v>
      </c>
      <c r="C33" s="13"/>
      <c r="D33" s="14"/>
      <c r="E33" s="13">
        <f t="shared" si="3"/>
        <v>9</v>
      </c>
      <c r="F33" s="54">
        <v>44411.0</v>
      </c>
      <c r="G33" s="45"/>
      <c r="H33" s="46">
        <v>37.5</v>
      </c>
      <c r="I33" s="47"/>
      <c r="J33" s="21" t="s">
        <v>393</v>
      </c>
      <c r="K33" s="39"/>
      <c r="L33" s="39"/>
      <c r="M33" s="39"/>
      <c r="N33" s="39"/>
      <c r="O33" s="39"/>
      <c r="P33" s="39"/>
      <c r="Q33" s="39"/>
    </row>
    <row r="34" outlineLevel="1">
      <c r="A34" s="11" t="s">
        <v>40</v>
      </c>
      <c r="B34" s="83" t="s">
        <v>471</v>
      </c>
      <c r="C34" s="194"/>
      <c r="D34" s="195"/>
      <c r="E34" s="13">
        <f t="shared" si="3"/>
        <v>9</v>
      </c>
      <c r="F34" s="54">
        <v>44411.0</v>
      </c>
      <c r="G34" s="70"/>
      <c r="H34" s="36">
        <v>44.22</v>
      </c>
      <c r="I34" s="197"/>
      <c r="J34" s="103" t="s">
        <v>157</v>
      </c>
      <c r="K34" s="84"/>
      <c r="L34" s="84"/>
      <c r="M34" s="84"/>
      <c r="N34" s="84"/>
      <c r="O34" s="84"/>
      <c r="P34" s="84"/>
      <c r="Q34" s="84"/>
    </row>
    <row r="35" outlineLevel="1">
      <c r="A35" s="11" t="s">
        <v>40</v>
      </c>
      <c r="B35" s="76" t="s">
        <v>472</v>
      </c>
      <c r="C35" s="155"/>
      <c r="D35" s="156"/>
      <c r="E35" s="13">
        <f t="shared" si="3"/>
        <v>9</v>
      </c>
      <c r="F35" s="54">
        <v>44411.0</v>
      </c>
      <c r="G35" s="31"/>
      <c r="H35" s="32">
        <v>9.84</v>
      </c>
      <c r="I35" s="157"/>
      <c r="J35" s="72" t="s">
        <v>393</v>
      </c>
      <c r="K35" s="77"/>
      <c r="L35" s="77"/>
      <c r="M35" s="77"/>
      <c r="N35" s="77"/>
      <c r="O35" s="77"/>
      <c r="P35" s="77"/>
      <c r="Q35" s="77"/>
    </row>
    <row r="36" outlineLevel="1">
      <c r="A36" s="11" t="s">
        <v>40</v>
      </c>
      <c r="B36" s="76" t="s">
        <v>473</v>
      </c>
      <c r="C36" s="155"/>
      <c r="D36" s="156"/>
      <c r="E36" s="13">
        <f t="shared" si="3"/>
        <v>9</v>
      </c>
      <c r="F36" s="54">
        <v>44421.0</v>
      </c>
      <c r="G36" s="31"/>
      <c r="H36" s="32">
        <v>30.32</v>
      </c>
      <c r="I36" s="157"/>
      <c r="J36" s="72" t="s">
        <v>393</v>
      </c>
      <c r="K36" s="77"/>
      <c r="L36" s="77"/>
      <c r="M36" s="77"/>
      <c r="N36" s="77"/>
      <c r="O36" s="77"/>
      <c r="P36" s="77"/>
      <c r="Q36" s="77"/>
    </row>
    <row r="37" outlineLevel="1">
      <c r="A37" s="11" t="s">
        <v>40</v>
      </c>
      <c r="B37" s="72" t="s">
        <v>441</v>
      </c>
      <c r="C37" s="155"/>
      <c r="D37" s="156"/>
      <c r="E37" s="13">
        <f t="shared" si="3"/>
        <v>9</v>
      </c>
      <c r="F37" s="54">
        <v>44422.0</v>
      </c>
      <c r="G37" s="31"/>
      <c r="H37" s="32">
        <v>14.7</v>
      </c>
      <c r="I37" s="157"/>
      <c r="J37" s="72" t="s">
        <v>393</v>
      </c>
      <c r="K37" s="77"/>
      <c r="L37" s="77"/>
      <c r="M37" s="77"/>
      <c r="N37" s="77"/>
      <c r="O37" s="77"/>
      <c r="P37" s="77"/>
      <c r="Q37" s="77"/>
    </row>
    <row r="38" outlineLevel="1">
      <c r="A38" s="11" t="s">
        <v>40</v>
      </c>
      <c r="B38" s="44" t="s">
        <v>47</v>
      </c>
      <c r="C38" s="13"/>
      <c r="D38" s="14"/>
      <c r="E38" s="13">
        <f t="shared" si="3"/>
        <v>9</v>
      </c>
      <c r="F38" s="54">
        <v>44426.0</v>
      </c>
      <c r="G38" s="45"/>
      <c r="H38" s="46">
        <v>13.7</v>
      </c>
      <c r="I38" s="47"/>
      <c r="J38" s="21" t="s">
        <v>48</v>
      </c>
      <c r="K38" s="39"/>
      <c r="L38" s="39"/>
      <c r="M38" s="39"/>
      <c r="N38" s="39"/>
      <c r="O38" s="39"/>
      <c r="P38" s="39"/>
      <c r="Q38" s="39"/>
    </row>
    <row r="39" outlineLevel="1">
      <c r="A39" s="11" t="s">
        <v>40</v>
      </c>
      <c r="B39" s="76" t="s">
        <v>473</v>
      </c>
      <c r="C39" s="155"/>
      <c r="D39" s="156"/>
      <c r="E39" s="13">
        <f t="shared" si="3"/>
        <v>9</v>
      </c>
      <c r="F39" s="54">
        <v>44434.0</v>
      </c>
      <c r="G39" s="31"/>
      <c r="H39" s="32">
        <v>67.29</v>
      </c>
      <c r="I39" s="157"/>
      <c r="J39" s="72" t="s">
        <v>393</v>
      </c>
      <c r="K39" s="77"/>
      <c r="L39" s="77"/>
      <c r="M39" s="77"/>
      <c r="N39" s="77"/>
      <c r="O39" s="77"/>
      <c r="P39" s="77"/>
      <c r="Q39" s="77"/>
    </row>
    <row r="40">
      <c r="A40" s="11" t="s">
        <v>5</v>
      </c>
      <c r="B40" s="90" t="s">
        <v>59</v>
      </c>
      <c r="C40" s="13">
        <v>8.0</v>
      </c>
      <c r="D40" s="14" t="str">
        <f t="shared" ref="D40:D50" si="4">UPPER(TEXT(WEEKDAY(DATEVALUE(CONCATENATE(C40,"/",$C$3,"/",$A$1))),"DDD"))</f>
        <v>QUA.</v>
      </c>
      <c r="E40" s="13">
        <f t="shared" si="3"/>
        <v>9</v>
      </c>
      <c r="F40" s="87">
        <v>44440.0</v>
      </c>
      <c r="G40" s="56"/>
      <c r="H40" s="88">
        <v>495.76</v>
      </c>
      <c r="I40" s="58" t="s">
        <v>17</v>
      </c>
      <c r="J40" s="21" t="s">
        <v>60</v>
      </c>
      <c r="K40" s="59"/>
      <c r="L40" s="59"/>
      <c r="M40" s="59"/>
      <c r="N40" s="59"/>
      <c r="O40" s="59"/>
      <c r="P40" s="59"/>
      <c r="Q40" s="59"/>
    </row>
    <row r="41">
      <c r="A41" s="11" t="s">
        <v>5</v>
      </c>
      <c r="B41" s="39" t="s">
        <v>61</v>
      </c>
      <c r="C41" s="13">
        <v>8.0</v>
      </c>
      <c r="D41" s="14" t="str">
        <f t="shared" si="4"/>
        <v>QUA.</v>
      </c>
      <c r="E41" s="13">
        <f t="shared" si="3"/>
        <v>9</v>
      </c>
      <c r="F41" s="87">
        <v>44440.0</v>
      </c>
      <c r="G41" s="45"/>
      <c r="H41" s="46">
        <v>107.09</v>
      </c>
      <c r="I41" s="58" t="s">
        <v>17</v>
      </c>
      <c r="J41" s="21" t="s">
        <v>62</v>
      </c>
      <c r="K41" s="39"/>
      <c r="L41" s="39"/>
      <c r="M41" s="39"/>
      <c r="N41" s="39"/>
      <c r="O41" s="39"/>
      <c r="P41" s="39"/>
      <c r="Q41" s="39"/>
    </row>
    <row r="42">
      <c r="A42" s="11" t="s">
        <v>5</v>
      </c>
      <c r="B42" s="44" t="s">
        <v>442</v>
      </c>
      <c r="C42" s="13">
        <v>8.0</v>
      </c>
      <c r="D42" s="14" t="str">
        <f t="shared" si="4"/>
        <v>QUA.</v>
      </c>
      <c r="E42" s="13">
        <f t="shared" si="3"/>
        <v>9</v>
      </c>
      <c r="F42" s="87">
        <v>44440.0</v>
      </c>
      <c r="G42" s="45"/>
      <c r="H42" s="46">
        <v>32.9</v>
      </c>
      <c r="I42" s="58" t="s">
        <v>17</v>
      </c>
      <c r="J42" s="21" t="s">
        <v>443</v>
      </c>
      <c r="K42" s="39"/>
      <c r="L42" s="39"/>
      <c r="M42" s="39"/>
      <c r="N42" s="39"/>
      <c r="O42" s="39"/>
      <c r="P42" s="39"/>
      <c r="Q42" s="39"/>
    </row>
    <row r="43">
      <c r="A43" s="11" t="s">
        <v>5</v>
      </c>
      <c r="B43" s="179" t="s">
        <v>427</v>
      </c>
      <c r="C43" s="62">
        <v>8.0</v>
      </c>
      <c r="D43" s="25" t="str">
        <f t="shared" si="4"/>
        <v>QUA.</v>
      </c>
      <c r="E43" s="13">
        <f t="shared" si="3"/>
        <v>9</v>
      </c>
      <c r="F43" s="26"/>
      <c r="G43" s="56"/>
      <c r="H43" s="63">
        <v>207.62</v>
      </c>
      <c r="I43" s="33" t="s">
        <v>252</v>
      </c>
      <c r="J43" s="173" t="s">
        <v>22</v>
      </c>
      <c r="K43" s="56"/>
      <c r="L43" s="56"/>
      <c r="M43" s="56"/>
      <c r="N43" s="56"/>
      <c r="O43" s="56"/>
      <c r="P43" s="56"/>
      <c r="Q43" s="56"/>
    </row>
    <row r="44">
      <c r="A44" s="215" t="s">
        <v>5</v>
      </c>
      <c r="B44" s="141" t="s">
        <v>236</v>
      </c>
      <c r="C44" s="80">
        <v>8.0</v>
      </c>
      <c r="D44" s="81" t="str">
        <f t="shared" si="4"/>
        <v>QUA.</v>
      </c>
      <c r="E44" s="13">
        <f t="shared" si="3"/>
        <v>9</v>
      </c>
      <c r="F44" s="35"/>
      <c r="G44" s="70"/>
      <c r="H44" s="86">
        <v>48.98</v>
      </c>
      <c r="I44" s="105" t="s">
        <v>17</v>
      </c>
      <c r="J44" s="199" t="s">
        <v>20</v>
      </c>
      <c r="K44" s="70"/>
      <c r="L44" s="70"/>
      <c r="M44" s="70"/>
      <c r="N44" s="70"/>
      <c r="O44" s="70"/>
      <c r="P44" s="70"/>
      <c r="Q44" s="70"/>
    </row>
    <row r="45">
      <c r="A45" s="11" t="s">
        <v>5</v>
      </c>
      <c r="B45" s="34" t="s">
        <v>444</v>
      </c>
      <c r="C45" s="13">
        <v>10.0</v>
      </c>
      <c r="D45" s="14" t="str">
        <f t="shared" si="4"/>
        <v>SEX.</v>
      </c>
      <c r="E45" s="13">
        <f t="shared" si="3"/>
        <v>9</v>
      </c>
      <c r="F45" s="87">
        <v>44440.0</v>
      </c>
      <c r="G45" s="56"/>
      <c r="H45" s="63">
        <v>643.0</v>
      </c>
      <c r="I45" s="58" t="s">
        <v>17</v>
      </c>
      <c r="J45" s="21" t="s">
        <v>67</v>
      </c>
      <c r="K45" s="59"/>
      <c r="L45" s="59"/>
      <c r="M45" s="59"/>
      <c r="N45" s="59"/>
      <c r="O45" s="59"/>
      <c r="P45" s="59"/>
      <c r="Q45" s="59"/>
    </row>
    <row r="46">
      <c r="A46" s="11" t="s">
        <v>5</v>
      </c>
      <c r="B46" s="44" t="s">
        <v>445</v>
      </c>
      <c r="C46" s="13">
        <v>10.0</v>
      </c>
      <c r="D46" s="14" t="str">
        <f t="shared" si="4"/>
        <v>SEX.</v>
      </c>
      <c r="E46" s="13">
        <f t="shared" si="3"/>
        <v>9</v>
      </c>
      <c r="F46" s="87">
        <v>44440.0</v>
      </c>
      <c r="G46" s="45"/>
      <c r="H46" s="46">
        <v>102.0</v>
      </c>
      <c r="I46" s="58" t="s">
        <v>17</v>
      </c>
      <c r="J46" s="21" t="s">
        <v>446</v>
      </c>
      <c r="K46" s="39"/>
      <c r="L46" s="39"/>
      <c r="M46" s="39"/>
      <c r="N46" s="39"/>
      <c r="O46" s="39"/>
      <c r="P46" s="39"/>
      <c r="Q46" s="39"/>
    </row>
    <row r="47">
      <c r="A47" s="11" t="s">
        <v>5</v>
      </c>
      <c r="B47" s="90" t="s">
        <v>474</v>
      </c>
      <c r="C47" s="13">
        <v>10.0</v>
      </c>
      <c r="D47" s="14" t="str">
        <f t="shared" si="4"/>
        <v>SEX.</v>
      </c>
      <c r="E47" s="13">
        <f t="shared" si="3"/>
        <v>9</v>
      </c>
      <c r="F47" s="87"/>
      <c r="G47" s="56"/>
      <c r="H47" s="88">
        <v>170.0</v>
      </c>
      <c r="I47" s="58" t="s">
        <v>13</v>
      </c>
      <c r="J47" s="21" t="s">
        <v>475</v>
      </c>
      <c r="K47" s="59"/>
      <c r="L47" s="59"/>
      <c r="M47" s="59"/>
      <c r="N47" s="59"/>
      <c r="O47" s="59"/>
      <c r="P47" s="59"/>
      <c r="Q47" s="59"/>
    </row>
    <row r="48">
      <c r="A48" s="11" t="s">
        <v>5</v>
      </c>
      <c r="B48" s="76" t="s">
        <v>473</v>
      </c>
      <c r="C48" s="13">
        <v>10.0</v>
      </c>
      <c r="D48" s="14" t="str">
        <f t="shared" si="4"/>
        <v>SEX.</v>
      </c>
      <c r="E48" s="13">
        <f t="shared" si="3"/>
        <v>9</v>
      </c>
      <c r="F48" s="54"/>
      <c r="G48" s="31"/>
      <c r="H48" s="32">
        <v>7.98</v>
      </c>
      <c r="I48" s="58" t="s">
        <v>13</v>
      </c>
      <c r="J48" s="76" t="s">
        <v>476</v>
      </c>
      <c r="K48" s="77"/>
      <c r="L48" s="77"/>
      <c r="M48" s="77"/>
      <c r="N48" s="77"/>
      <c r="O48" s="77"/>
      <c r="P48" s="77"/>
      <c r="Q48" s="77"/>
    </row>
    <row r="49">
      <c r="A49" s="11" t="s">
        <v>5</v>
      </c>
      <c r="B49" s="179" t="s">
        <v>427</v>
      </c>
      <c r="C49" s="62">
        <v>12.0</v>
      </c>
      <c r="D49" s="25" t="str">
        <f t="shared" si="4"/>
        <v>DOM.</v>
      </c>
      <c r="E49" s="13">
        <f t="shared" si="3"/>
        <v>9</v>
      </c>
      <c r="F49" s="26"/>
      <c r="G49" s="56"/>
      <c r="H49" s="63">
        <v>174.12</v>
      </c>
      <c r="I49" s="33" t="s">
        <v>249</v>
      </c>
      <c r="J49" s="173" t="s">
        <v>22</v>
      </c>
      <c r="K49" s="56"/>
      <c r="L49" s="56"/>
      <c r="M49" s="56"/>
      <c r="N49" s="56"/>
      <c r="O49" s="56"/>
      <c r="P49" s="56"/>
      <c r="Q49" s="56"/>
    </row>
    <row r="50">
      <c r="A50" s="11" t="s">
        <v>5</v>
      </c>
      <c r="B50" s="177" t="s">
        <v>84</v>
      </c>
      <c r="C50" s="148">
        <v>12.0</v>
      </c>
      <c r="D50" s="25" t="str">
        <f t="shared" si="4"/>
        <v>DOM.</v>
      </c>
      <c r="E50" s="13">
        <f t="shared" si="3"/>
        <v>9</v>
      </c>
      <c r="F50" s="87">
        <v>44443.0</v>
      </c>
      <c r="G50" s="56"/>
      <c r="H50" s="101">
        <f>SUM(H51:H54)</f>
        <v>375.18</v>
      </c>
      <c r="I50" s="23" t="s">
        <v>17</v>
      </c>
      <c r="J50" s="40"/>
      <c r="K50" s="56"/>
      <c r="L50" s="56"/>
      <c r="M50" s="56"/>
      <c r="N50" s="56"/>
      <c r="O50" s="56"/>
      <c r="P50" s="56"/>
      <c r="Q50" s="56"/>
    </row>
    <row r="51" outlineLevel="1">
      <c r="A51" s="78" t="s">
        <v>40</v>
      </c>
      <c r="B51" s="28" t="s">
        <v>440</v>
      </c>
      <c r="C51" s="194"/>
      <c r="D51" s="195"/>
      <c r="E51" s="13">
        <f t="shared" si="3"/>
        <v>9</v>
      </c>
      <c r="F51" s="211"/>
      <c r="G51" s="70"/>
      <c r="H51" s="27">
        <v>318.52</v>
      </c>
      <c r="I51" s="197"/>
      <c r="J51" s="199" t="s">
        <v>207</v>
      </c>
      <c r="K51" s="70"/>
      <c r="L51" s="70"/>
      <c r="M51" s="70"/>
      <c r="N51" s="70"/>
      <c r="O51" s="70"/>
      <c r="P51" s="70"/>
      <c r="Q51" s="70"/>
    </row>
    <row r="52" outlineLevel="1">
      <c r="A52" s="71" t="s">
        <v>40</v>
      </c>
      <c r="B52" s="72" t="s">
        <v>477</v>
      </c>
      <c r="C52" s="155"/>
      <c r="D52" s="156"/>
      <c r="E52" s="13">
        <f t="shared" si="3"/>
        <v>9</v>
      </c>
      <c r="F52" s="217"/>
      <c r="G52" s="31"/>
      <c r="H52" s="153">
        <v>34.86</v>
      </c>
      <c r="I52" s="157"/>
      <c r="J52" s="72" t="s">
        <v>207</v>
      </c>
      <c r="K52" s="77"/>
      <c r="L52" s="77"/>
      <c r="M52" s="77"/>
      <c r="N52" s="77"/>
      <c r="O52" s="77"/>
      <c r="P52" s="77"/>
      <c r="Q52" s="77"/>
    </row>
    <row r="53" outlineLevel="1">
      <c r="A53" s="102" t="s">
        <v>40</v>
      </c>
      <c r="B53" s="199" t="s">
        <v>478</v>
      </c>
      <c r="C53" s="194"/>
      <c r="D53" s="195"/>
      <c r="E53" s="13">
        <f t="shared" si="3"/>
        <v>9</v>
      </c>
      <c r="F53" s="211"/>
      <c r="G53" s="70"/>
      <c r="H53" s="27">
        <v>11.9</v>
      </c>
      <c r="I53" s="197"/>
      <c r="J53" s="199" t="s">
        <v>224</v>
      </c>
      <c r="K53" s="84"/>
      <c r="L53" s="84"/>
      <c r="M53" s="84"/>
      <c r="N53" s="84"/>
      <c r="O53" s="84"/>
      <c r="P53" s="84"/>
      <c r="Q53" s="84"/>
    </row>
    <row r="54" outlineLevel="1">
      <c r="A54" s="97" t="s">
        <v>40</v>
      </c>
      <c r="B54" s="72" t="s">
        <v>87</v>
      </c>
      <c r="C54" s="155"/>
      <c r="D54" s="156"/>
      <c r="E54" s="13">
        <f t="shared" si="3"/>
        <v>9</v>
      </c>
      <c r="F54" s="217"/>
      <c r="G54" s="31"/>
      <c r="H54" s="153">
        <v>9.9</v>
      </c>
      <c r="I54" s="157"/>
      <c r="J54" s="76" t="s">
        <v>88</v>
      </c>
      <c r="K54" s="77"/>
      <c r="L54" s="77"/>
      <c r="M54" s="77"/>
      <c r="N54" s="77"/>
      <c r="O54" s="77"/>
      <c r="P54" s="77"/>
      <c r="Q54" s="77"/>
    </row>
    <row r="55">
      <c r="A55" s="11" t="s">
        <v>5</v>
      </c>
      <c r="B55" s="179" t="s">
        <v>21</v>
      </c>
      <c r="C55" s="62">
        <v>13.0</v>
      </c>
      <c r="D55" s="25" t="str">
        <f t="shared" ref="D55:D95" si="5">UPPER(TEXT(WEEKDAY(DATEVALUE(CONCATENATE(C55,"/",$C$3,"/",$A$1))),"DDD"))</f>
        <v>SEG.</v>
      </c>
      <c r="E55" s="13">
        <f t="shared" si="3"/>
        <v>9</v>
      </c>
      <c r="F55" s="26"/>
      <c r="G55" s="56"/>
      <c r="H55" s="63">
        <v>51.52</v>
      </c>
      <c r="I55" s="33" t="s">
        <v>249</v>
      </c>
      <c r="J55" s="173" t="s">
        <v>22</v>
      </c>
      <c r="K55" s="56"/>
      <c r="L55" s="56"/>
      <c r="M55" s="56"/>
      <c r="N55" s="56"/>
      <c r="O55" s="56"/>
      <c r="P55" s="56"/>
      <c r="Q55" s="56"/>
    </row>
    <row r="56">
      <c r="A56" s="11" t="s">
        <v>5</v>
      </c>
      <c r="B56" s="29" t="s">
        <v>305</v>
      </c>
      <c r="C56" s="73">
        <v>13.0</v>
      </c>
      <c r="D56" s="74" t="str">
        <f t="shared" si="5"/>
        <v>SEG.</v>
      </c>
      <c r="E56" s="13">
        <f t="shared" si="3"/>
        <v>9</v>
      </c>
      <c r="F56" s="30"/>
      <c r="G56" s="31"/>
      <c r="H56" s="153">
        <v>100.0</v>
      </c>
      <c r="I56" s="58" t="s">
        <v>13</v>
      </c>
      <c r="J56" s="72" t="s">
        <v>306</v>
      </c>
      <c r="K56" s="31"/>
      <c r="L56" s="31"/>
      <c r="M56" s="31"/>
      <c r="N56" s="31"/>
      <c r="O56" s="31"/>
      <c r="P56" s="31"/>
      <c r="Q56" s="31"/>
    </row>
    <row r="57">
      <c r="A57" s="11" t="s">
        <v>5</v>
      </c>
      <c r="B57" s="198" t="s">
        <v>260</v>
      </c>
      <c r="C57" s="80">
        <v>15.0</v>
      </c>
      <c r="D57" s="81" t="str">
        <f t="shared" si="5"/>
        <v>QUA.</v>
      </c>
      <c r="E57" s="13">
        <f t="shared" si="3"/>
        <v>9</v>
      </c>
      <c r="F57" s="87"/>
      <c r="G57" s="36">
        <v>5100.0</v>
      </c>
      <c r="H57" s="70"/>
      <c r="I57" s="78" t="s">
        <v>261</v>
      </c>
      <c r="J57" s="103" t="s">
        <v>64</v>
      </c>
      <c r="K57" s="70"/>
      <c r="L57" s="70"/>
      <c r="M57" s="70"/>
      <c r="N57" s="70"/>
      <c r="O57" s="70"/>
      <c r="P57" s="70"/>
      <c r="Q57" s="70"/>
    </row>
    <row r="58">
      <c r="A58" s="11" t="s">
        <v>25</v>
      </c>
      <c r="B58" s="39" t="s">
        <v>26</v>
      </c>
      <c r="C58" s="66">
        <v>15.0</v>
      </c>
      <c r="D58" s="14" t="str">
        <f t="shared" si="5"/>
        <v>QUA.</v>
      </c>
      <c r="E58" s="13">
        <f t="shared" si="3"/>
        <v>9</v>
      </c>
      <c r="F58" s="87"/>
      <c r="G58" s="45"/>
      <c r="H58" s="46">
        <v>5100.0</v>
      </c>
      <c r="I58" s="67" t="s">
        <v>261</v>
      </c>
      <c r="J58" s="42"/>
      <c r="K58" s="68"/>
      <c r="L58" s="68"/>
      <c r="M58" s="68"/>
      <c r="N58" s="68"/>
      <c r="O58" s="68"/>
      <c r="P58" s="68"/>
      <c r="Q58" s="68"/>
    </row>
    <row r="59">
      <c r="A59" s="11" t="s">
        <v>25</v>
      </c>
      <c r="B59" s="61" t="s">
        <v>27</v>
      </c>
      <c r="C59" s="148">
        <v>15.0</v>
      </c>
      <c r="D59" s="25" t="str">
        <f t="shared" si="5"/>
        <v>QUA.</v>
      </c>
      <c r="E59" s="13">
        <f t="shared" si="3"/>
        <v>9</v>
      </c>
      <c r="F59" s="87"/>
      <c r="G59" s="63">
        <v>5100.0</v>
      </c>
      <c r="H59" s="56"/>
      <c r="I59" s="64" t="s">
        <v>17</v>
      </c>
      <c r="J59" s="40"/>
      <c r="K59" s="59"/>
      <c r="L59" s="59"/>
      <c r="M59" s="59"/>
      <c r="N59" s="59"/>
      <c r="O59" s="59"/>
      <c r="P59" s="59"/>
      <c r="Q59" s="59"/>
    </row>
    <row r="60">
      <c r="A60" s="11" t="s">
        <v>5</v>
      </c>
      <c r="B60" s="39" t="s">
        <v>102</v>
      </c>
      <c r="C60" s="13">
        <v>15.0</v>
      </c>
      <c r="D60" s="14" t="str">
        <f t="shared" si="5"/>
        <v>QUA.</v>
      </c>
      <c r="E60" s="13">
        <f t="shared" si="3"/>
        <v>9</v>
      </c>
      <c r="F60" s="87">
        <v>44440.0</v>
      </c>
      <c r="G60" s="45"/>
      <c r="H60" s="46">
        <v>176.16</v>
      </c>
      <c r="I60" s="58" t="s">
        <v>17</v>
      </c>
      <c r="J60" s="21" t="s">
        <v>75</v>
      </c>
      <c r="K60" s="39"/>
      <c r="L60" s="39"/>
      <c r="M60" s="39"/>
      <c r="N60" s="39"/>
      <c r="O60" s="39"/>
      <c r="P60" s="39"/>
      <c r="Q60" s="39"/>
    </row>
    <row r="61">
      <c r="A61" s="11" t="s">
        <v>5</v>
      </c>
      <c r="B61" s="61" t="s">
        <v>103</v>
      </c>
      <c r="C61" s="13">
        <v>15.0</v>
      </c>
      <c r="D61" s="14" t="str">
        <f t="shared" si="5"/>
        <v>QUA.</v>
      </c>
      <c r="E61" s="13">
        <f t="shared" si="3"/>
        <v>9</v>
      </c>
      <c r="F61" s="87">
        <v>44440.0</v>
      </c>
      <c r="G61" s="56"/>
      <c r="H61" s="63">
        <v>176.16</v>
      </c>
      <c r="I61" s="58" t="s">
        <v>17</v>
      </c>
      <c r="J61" s="21" t="s">
        <v>75</v>
      </c>
      <c r="K61" s="61"/>
      <c r="L61" s="61"/>
      <c r="M61" s="61"/>
      <c r="N61" s="61"/>
      <c r="O61" s="61"/>
      <c r="P61" s="61"/>
      <c r="Q61" s="61"/>
    </row>
    <row r="62">
      <c r="A62" s="11" t="s">
        <v>5</v>
      </c>
      <c r="B62" s="39" t="s">
        <v>104</v>
      </c>
      <c r="C62" s="13">
        <v>15.0</v>
      </c>
      <c r="D62" s="14" t="str">
        <f t="shared" si="5"/>
        <v>QUA.</v>
      </c>
      <c r="E62" s="13">
        <f t="shared" si="3"/>
        <v>9</v>
      </c>
      <c r="F62" s="87">
        <v>44440.0</v>
      </c>
      <c r="G62" s="45"/>
      <c r="H62" s="46">
        <v>222.72</v>
      </c>
      <c r="I62" s="58" t="s">
        <v>17</v>
      </c>
      <c r="J62" s="21" t="s">
        <v>75</v>
      </c>
      <c r="K62" s="39"/>
      <c r="L62" s="39"/>
      <c r="M62" s="39"/>
      <c r="N62" s="39"/>
      <c r="O62" s="39"/>
      <c r="P62" s="39"/>
      <c r="Q62" s="39"/>
    </row>
    <row r="63">
      <c r="A63" s="71" t="s">
        <v>5</v>
      </c>
      <c r="B63" s="72" t="s">
        <v>117</v>
      </c>
      <c r="C63" s="73">
        <v>15.0</v>
      </c>
      <c r="D63" s="74" t="str">
        <f t="shared" si="5"/>
        <v>QUA.</v>
      </c>
      <c r="E63" s="193">
        <f t="shared" si="3"/>
        <v>9</v>
      </c>
      <c r="F63" s="30"/>
      <c r="G63" s="31"/>
      <c r="H63" s="153">
        <v>20.0</v>
      </c>
      <c r="I63" s="71" t="s">
        <v>17</v>
      </c>
      <c r="J63" s="72" t="s">
        <v>118</v>
      </c>
      <c r="K63" s="157"/>
      <c r="L63" s="157"/>
      <c r="M63" s="157"/>
      <c r="N63" s="157"/>
      <c r="O63" s="77"/>
      <c r="P63" s="77"/>
      <c r="Q63" s="77"/>
    </row>
    <row r="64">
      <c r="A64" s="11" t="s">
        <v>5</v>
      </c>
      <c r="B64" s="42" t="s">
        <v>109</v>
      </c>
      <c r="C64" s="13">
        <v>15.0</v>
      </c>
      <c r="D64" s="14" t="str">
        <f t="shared" si="5"/>
        <v>QUA.</v>
      </c>
      <c r="E64" s="13">
        <f t="shared" si="3"/>
        <v>9</v>
      </c>
      <c r="F64" s="14"/>
      <c r="G64" s="53">
        <v>2500.0</v>
      </c>
      <c r="H64" s="53"/>
      <c r="I64" s="58" t="s">
        <v>15</v>
      </c>
      <c r="J64" s="44" t="s">
        <v>411</v>
      </c>
      <c r="K64" s="42"/>
      <c r="L64" s="96"/>
      <c r="M64" s="21"/>
      <c r="N64" s="21"/>
      <c r="O64" s="39"/>
      <c r="P64" s="39"/>
      <c r="Q64" s="39"/>
    </row>
    <row r="65">
      <c r="A65" s="11" t="s">
        <v>25</v>
      </c>
      <c r="B65" s="39" t="s">
        <v>26</v>
      </c>
      <c r="C65" s="66">
        <v>15.0</v>
      </c>
      <c r="D65" s="14" t="str">
        <f t="shared" si="5"/>
        <v>QUA.</v>
      </c>
      <c r="E65" s="13">
        <f t="shared" si="3"/>
        <v>9</v>
      </c>
      <c r="F65" s="43"/>
      <c r="G65" s="45"/>
      <c r="H65" s="53">
        <v>2500.0</v>
      </c>
      <c r="I65" s="149" t="s">
        <v>15</v>
      </c>
      <c r="J65" s="44"/>
      <c r="K65" s="68"/>
      <c r="L65" s="68"/>
      <c r="M65" s="68"/>
      <c r="N65" s="68"/>
      <c r="O65" s="68"/>
      <c r="P65" s="68"/>
      <c r="Q65" s="68"/>
    </row>
    <row r="66">
      <c r="A66" s="11" t="s">
        <v>25</v>
      </c>
      <c r="B66" s="72" t="s">
        <v>27</v>
      </c>
      <c r="C66" s="73">
        <v>15.0</v>
      </c>
      <c r="D66" s="74" t="str">
        <f t="shared" si="5"/>
        <v>QUA.</v>
      </c>
      <c r="E66" s="13">
        <f t="shared" si="3"/>
        <v>9</v>
      </c>
      <c r="F66" s="30"/>
      <c r="G66" s="53">
        <v>2500.0</v>
      </c>
      <c r="H66" s="31"/>
      <c r="I66" s="154" t="s">
        <v>17</v>
      </c>
      <c r="J66" s="76"/>
      <c r="K66" s="77"/>
      <c r="L66" s="77"/>
      <c r="M66" s="77"/>
      <c r="N66" s="77"/>
      <c r="O66" s="77"/>
      <c r="P66" s="77"/>
      <c r="Q66" s="77"/>
    </row>
    <row r="67">
      <c r="A67" s="215" t="s">
        <v>5</v>
      </c>
      <c r="B67" s="69" t="s">
        <v>21</v>
      </c>
      <c r="C67" s="80">
        <v>15.0</v>
      </c>
      <c r="D67" s="81" t="str">
        <f t="shared" si="5"/>
        <v>QUA.</v>
      </c>
      <c r="E67" s="207">
        <f t="shared" si="3"/>
        <v>9</v>
      </c>
      <c r="F67" s="35"/>
      <c r="G67" s="70"/>
      <c r="H67" s="36">
        <v>105.3</v>
      </c>
      <c r="I67" s="142" t="s">
        <v>252</v>
      </c>
      <c r="J67" s="199" t="s">
        <v>22</v>
      </c>
      <c r="K67" s="70"/>
      <c r="L67" s="70"/>
      <c r="M67" s="70"/>
      <c r="N67" s="70"/>
      <c r="O67" s="70"/>
      <c r="P67" s="70"/>
      <c r="Q67" s="70"/>
    </row>
    <row r="68">
      <c r="A68" s="11" t="s">
        <v>5</v>
      </c>
      <c r="B68" s="44" t="s">
        <v>479</v>
      </c>
      <c r="C68" s="13">
        <v>17.0</v>
      </c>
      <c r="D68" s="14" t="str">
        <f t="shared" si="5"/>
        <v>SEX.</v>
      </c>
      <c r="E68" s="13">
        <f t="shared" si="3"/>
        <v>9</v>
      </c>
      <c r="F68" s="26"/>
      <c r="G68" s="56"/>
      <c r="H68" s="63">
        <v>32.0</v>
      </c>
      <c r="I68" s="33" t="s">
        <v>17</v>
      </c>
      <c r="J68" s="44" t="s">
        <v>20</v>
      </c>
      <c r="K68" s="59"/>
      <c r="L68" s="59"/>
      <c r="M68" s="59"/>
      <c r="N68" s="59"/>
      <c r="O68" s="59"/>
      <c r="P68" s="59"/>
      <c r="Q68" s="59"/>
    </row>
    <row r="69">
      <c r="A69" s="11" t="s">
        <v>5</v>
      </c>
      <c r="B69" s="90" t="s">
        <v>91</v>
      </c>
      <c r="C69" s="13">
        <v>18.0</v>
      </c>
      <c r="D69" s="14" t="str">
        <f t="shared" si="5"/>
        <v>SÁB.</v>
      </c>
      <c r="E69" s="13">
        <f t="shared" si="3"/>
        <v>9</v>
      </c>
      <c r="F69" s="26"/>
      <c r="G69" s="56"/>
      <c r="H69" s="88">
        <v>704.86</v>
      </c>
      <c r="I69" s="58" t="s">
        <v>17</v>
      </c>
      <c r="J69" s="21" t="s">
        <v>92</v>
      </c>
      <c r="K69" s="55"/>
      <c r="L69" s="55"/>
      <c r="M69" s="55"/>
      <c r="N69" s="55"/>
      <c r="O69" s="55"/>
      <c r="P69" s="55"/>
      <c r="Q69" s="55"/>
    </row>
    <row r="70">
      <c r="A70" s="11" t="s">
        <v>5</v>
      </c>
      <c r="B70" s="90" t="s">
        <v>480</v>
      </c>
      <c r="C70" s="13">
        <v>18.0</v>
      </c>
      <c r="D70" s="14" t="str">
        <f t="shared" si="5"/>
        <v>SÁB.</v>
      </c>
      <c r="E70" s="13">
        <f t="shared" si="3"/>
        <v>9</v>
      </c>
      <c r="F70" s="26"/>
      <c r="G70" s="56"/>
      <c r="H70" s="88">
        <v>99.59</v>
      </c>
      <c r="I70" s="58" t="s">
        <v>17</v>
      </c>
      <c r="J70" s="21" t="s">
        <v>92</v>
      </c>
      <c r="K70" s="55"/>
      <c r="L70" s="55"/>
      <c r="M70" s="55"/>
      <c r="N70" s="55"/>
      <c r="O70" s="55"/>
      <c r="P70" s="55"/>
      <c r="Q70" s="55"/>
    </row>
    <row r="71">
      <c r="A71" s="11" t="s">
        <v>5</v>
      </c>
      <c r="B71" s="44" t="s">
        <v>481</v>
      </c>
      <c r="C71" s="13">
        <v>18.0</v>
      </c>
      <c r="D71" s="14" t="str">
        <f t="shared" si="5"/>
        <v>SÁB.</v>
      </c>
      <c r="E71" s="13">
        <f t="shared" si="3"/>
        <v>9</v>
      </c>
      <c r="F71" s="54"/>
      <c r="G71" s="56"/>
      <c r="H71" s="46">
        <v>56.0</v>
      </c>
      <c r="I71" s="47" t="s">
        <v>17</v>
      </c>
      <c r="J71" s="21" t="s">
        <v>482</v>
      </c>
      <c r="K71" s="59"/>
      <c r="L71" s="59"/>
      <c r="M71" s="59"/>
      <c r="N71" s="59"/>
      <c r="O71" s="59"/>
      <c r="P71" s="59"/>
      <c r="Q71" s="59"/>
    </row>
    <row r="72">
      <c r="A72" s="11" t="s">
        <v>5</v>
      </c>
      <c r="B72" s="44" t="s">
        <v>483</v>
      </c>
      <c r="C72" s="13">
        <v>18.0</v>
      </c>
      <c r="D72" s="14" t="str">
        <f t="shared" si="5"/>
        <v>SÁB.</v>
      </c>
      <c r="E72" s="13">
        <f t="shared" si="3"/>
        <v>9</v>
      </c>
      <c r="F72" s="54"/>
      <c r="G72" s="56"/>
      <c r="H72" s="46">
        <v>90.0</v>
      </c>
      <c r="I72" s="47" t="s">
        <v>17</v>
      </c>
      <c r="J72" s="21" t="s">
        <v>484</v>
      </c>
      <c r="K72" s="59"/>
      <c r="L72" s="59"/>
      <c r="M72" s="59"/>
      <c r="N72" s="59"/>
      <c r="O72" s="59"/>
      <c r="P72" s="59"/>
      <c r="Q72" s="59"/>
    </row>
    <row r="73">
      <c r="A73" s="11" t="s">
        <v>5</v>
      </c>
      <c r="B73" s="103" t="s">
        <v>334</v>
      </c>
      <c r="C73" s="13">
        <v>19.0</v>
      </c>
      <c r="D73" s="14" t="str">
        <f t="shared" si="5"/>
        <v>DOM.</v>
      </c>
      <c r="E73" s="13">
        <f t="shared" si="3"/>
        <v>9</v>
      </c>
      <c r="F73" s="54"/>
      <c r="G73" s="70"/>
      <c r="H73" s="86">
        <v>26.76</v>
      </c>
      <c r="I73" s="105" t="s">
        <v>17</v>
      </c>
      <c r="J73" s="21" t="s">
        <v>485</v>
      </c>
      <c r="K73" s="84"/>
      <c r="L73" s="84"/>
      <c r="M73" s="84"/>
      <c r="N73" s="84"/>
      <c r="O73" s="84"/>
      <c r="P73" s="84"/>
      <c r="Q73" s="84"/>
    </row>
    <row r="74">
      <c r="A74" s="11" t="s">
        <v>5</v>
      </c>
      <c r="B74" s="103" t="s">
        <v>486</v>
      </c>
      <c r="C74" s="13">
        <v>20.0</v>
      </c>
      <c r="D74" s="14" t="str">
        <f t="shared" si="5"/>
        <v>SEG.</v>
      </c>
      <c r="E74" s="13">
        <f t="shared" si="3"/>
        <v>9</v>
      </c>
      <c r="F74" s="54"/>
      <c r="G74" s="70"/>
      <c r="H74" s="86">
        <v>49.72</v>
      </c>
      <c r="I74" s="105" t="s">
        <v>17</v>
      </c>
      <c r="J74" s="21" t="s">
        <v>485</v>
      </c>
      <c r="K74" s="84"/>
      <c r="L74" s="84"/>
      <c r="M74" s="84"/>
      <c r="N74" s="84"/>
      <c r="O74" s="84"/>
      <c r="P74" s="84"/>
      <c r="Q74" s="84"/>
    </row>
    <row r="75">
      <c r="A75" s="11" t="s">
        <v>5</v>
      </c>
      <c r="B75" s="103" t="s">
        <v>486</v>
      </c>
      <c r="C75" s="13">
        <v>20.0</v>
      </c>
      <c r="D75" s="14" t="str">
        <f t="shared" si="5"/>
        <v>SEG.</v>
      </c>
      <c r="E75" s="13">
        <f t="shared" si="3"/>
        <v>9</v>
      </c>
      <c r="F75" s="54"/>
      <c r="G75" s="70"/>
      <c r="H75" s="86">
        <v>50.0</v>
      </c>
      <c r="I75" s="105" t="s">
        <v>17</v>
      </c>
      <c r="J75" s="21" t="s">
        <v>487</v>
      </c>
      <c r="K75" s="84"/>
      <c r="L75" s="84"/>
      <c r="M75" s="84"/>
      <c r="N75" s="84"/>
      <c r="O75" s="84"/>
      <c r="P75" s="84"/>
      <c r="Q75" s="84"/>
    </row>
    <row r="76">
      <c r="A76" s="11" t="s">
        <v>5</v>
      </c>
      <c r="B76" s="39" t="s">
        <v>125</v>
      </c>
      <c r="C76" s="13">
        <v>20.0</v>
      </c>
      <c r="D76" s="14" t="str">
        <f t="shared" si="5"/>
        <v>SEG.</v>
      </c>
      <c r="E76" s="13">
        <f t="shared" si="3"/>
        <v>9</v>
      </c>
      <c r="F76" s="87">
        <v>44440.0</v>
      </c>
      <c r="G76" s="45"/>
      <c r="H76" s="46">
        <v>373.41</v>
      </c>
      <c r="I76" s="58" t="s">
        <v>17</v>
      </c>
      <c r="J76" s="21" t="s">
        <v>126</v>
      </c>
      <c r="K76" s="39"/>
      <c r="L76" s="39"/>
      <c r="M76" s="39"/>
      <c r="N76" s="39"/>
      <c r="O76" s="39"/>
      <c r="P76" s="39"/>
      <c r="Q76" s="39"/>
    </row>
    <row r="77">
      <c r="A77" s="11" t="s">
        <v>5</v>
      </c>
      <c r="B77" s="179" t="s">
        <v>427</v>
      </c>
      <c r="C77" s="62">
        <v>22.0</v>
      </c>
      <c r="D77" s="25" t="str">
        <f t="shared" si="5"/>
        <v>QUA.</v>
      </c>
      <c r="E77" s="13">
        <f t="shared" si="3"/>
        <v>9</v>
      </c>
      <c r="F77" s="26"/>
      <c r="G77" s="56"/>
      <c r="H77" s="63">
        <v>150.3</v>
      </c>
      <c r="I77" s="33" t="s">
        <v>17</v>
      </c>
      <c r="J77" s="173" t="s">
        <v>22</v>
      </c>
      <c r="K77" s="56"/>
      <c r="L77" s="56"/>
      <c r="M77" s="56"/>
      <c r="N77" s="56"/>
      <c r="O77" s="56"/>
      <c r="P77" s="56"/>
      <c r="Q77" s="56"/>
    </row>
    <row r="78">
      <c r="A78" s="60" t="s">
        <v>25</v>
      </c>
      <c r="B78" s="177" t="s">
        <v>26</v>
      </c>
      <c r="C78" s="148">
        <v>22.0</v>
      </c>
      <c r="D78" s="25" t="str">
        <f t="shared" si="5"/>
        <v>QUA.</v>
      </c>
      <c r="E78" s="184">
        <f t="shared" si="3"/>
        <v>9</v>
      </c>
      <c r="F78" s="26"/>
      <c r="G78" s="56"/>
      <c r="H78" s="63">
        <v>300.0</v>
      </c>
      <c r="I78" s="64" t="s">
        <v>17</v>
      </c>
      <c r="J78" s="218"/>
      <c r="K78" s="56"/>
      <c r="L78" s="56"/>
      <c r="M78" s="56"/>
      <c r="N78" s="56"/>
      <c r="O78" s="56"/>
      <c r="P78" s="56"/>
      <c r="Q78" s="56"/>
    </row>
    <row r="79">
      <c r="A79" s="65" t="s">
        <v>25</v>
      </c>
      <c r="B79" s="185" t="s">
        <v>27</v>
      </c>
      <c r="C79" s="66">
        <v>22.0</v>
      </c>
      <c r="D79" s="14" t="str">
        <f t="shared" si="5"/>
        <v>QUA.</v>
      </c>
      <c r="E79" s="144">
        <f t="shared" si="3"/>
        <v>9</v>
      </c>
      <c r="F79" s="43"/>
      <c r="G79" s="46">
        <v>300.0</v>
      </c>
      <c r="H79" s="45"/>
      <c r="I79" s="67" t="s">
        <v>13</v>
      </c>
      <c r="J79" s="188"/>
      <c r="K79" s="45"/>
      <c r="L79" s="45"/>
      <c r="M79" s="45"/>
      <c r="N79" s="45"/>
      <c r="O79" s="45"/>
      <c r="P79" s="45"/>
      <c r="Q79" s="45"/>
    </row>
    <row r="80">
      <c r="A80" s="71" t="s">
        <v>5</v>
      </c>
      <c r="B80" s="159" t="s">
        <v>488</v>
      </c>
      <c r="C80" s="73">
        <v>22.0</v>
      </c>
      <c r="D80" s="74" t="str">
        <f t="shared" si="5"/>
        <v>QUA.</v>
      </c>
      <c r="E80" s="13">
        <f t="shared" si="3"/>
        <v>9</v>
      </c>
      <c r="F80" s="30"/>
      <c r="G80" s="31"/>
      <c r="H80" s="46">
        <v>2500.0</v>
      </c>
      <c r="I80" s="75" t="s">
        <v>17</v>
      </c>
      <c r="J80" s="34" t="s">
        <v>191</v>
      </c>
      <c r="K80" s="31"/>
      <c r="L80" s="31"/>
      <c r="M80" s="31"/>
      <c r="N80" s="31"/>
      <c r="O80" s="31"/>
      <c r="P80" s="31"/>
      <c r="Q80" s="31"/>
    </row>
    <row r="81">
      <c r="A81" s="11" t="s">
        <v>5</v>
      </c>
      <c r="B81" s="34" t="s">
        <v>373</v>
      </c>
      <c r="C81" s="13">
        <v>23.0</v>
      </c>
      <c r="D81" s="14" t="str">
        <f t="shared" si="5"/>
        <v>QUI.</v>
      </c>
      <c r="E81" s="13">
        <f t="shared" si="3"/>
        <v>9</v>
      </c>
      <c r="F81" s="94"/>
      <c r="G81" s="56"/>
      <c r="H81" s="63">
        <v>0.0</v>
      </c>
      <c r="I81" s="58" t="s">
        <v>17</v>
      </c>
      <c r="J81" s="21" t="s">
        <v>128</v>
      </c>
      <c r="K81" s="61"/>
      <c r="L81" s="61"/>
      <c r="M81" s="61"/>
      <c r="N81" s="61"/>
      <c r="O81" s="61"/>
      <c r="P81" s="61"/>
      <c r="Q81" s="61"/>
    </row>
    <row r="82">
      <c r="A82" s="11" t="s">
        <v>5</v>
      </c>
      <c r="B82" s="39" t="s">
        <v>134</v>
      </c>
      <c r="C82" s="13">
        <v>23.0</v>
      </c>
      <c r="D82" s="14" t="str">
        <f t="shared" si="5"/>
        <v>QUI.</v>
      </c>
      <c r="E82" s="13">
        <f t="shared" si="3"/>
        <v>9</v>
      </c>
      <c r="F82" s="43"/>
      <c r="G82" s="45"/>
      <c r="H82" s="46">
        <v>342.9</v>
      </c>
      <c r="I82" s="60" t="s">
        <v>13</v>
      </c>
      <c r="J82" s="21" t="s">
        <v>135</v>
      </c>
      <c r="K82" s="39"/>
      <c r="L82" s="39"/>
      <c r="M82" s="39"/>
      <c r="N82" s="39"/>
      <c r="O82" s="39"/>
      <c r="P82" s="39"/>
      <c r="Q82" s="39"/>
    </row>
    <row r="83">
      <c r="A83" s="11" t="s">
        <v>5</v>
      </c>
      <c r="B83" s="90" t="s">
        <v>489</v>
      </c>
      <c r="C83" s="13">
        <v>24.0</v>
      </c>
      <c r="D83" s="14" t="str">
        <f t="shared" si="5"/>
        <v>SEX.</v>
      </c>
      <c r="E83" s="13">
        <f t="shared" si="3"/>
        <v>9</v>
      </c>
      <c r="F83" s="87"/>
      <c r="G83" s="56"/>
      <c r="H83" s="88">
        <v>115.0</v>
      </c>
      <c r="I83" s="58" t="s">
        <v>17</v>
      </c>
      <c r="J83" s="21" t="s">
        <v>475</v>
      </c>
      <c r="K83" s="59"/>
      <c r="L83" s="59"/>
      <c r="M83" s="59"/>
      <c r="N83" s="59"/>
      <c r="O83" s="59"/>
      <c r="P83" s="59"/>
      <c r="Q83" s="59"/>
    </row>
    <row r="84">
      <c r="A84" s="11" t="s">
        <v>5</v>
      </c>
      <c r="B84" s="103" t="s">
        <v>490</v>
      </c>
      <c r="C84" s="13">
        <v>24.0</v>
      </c>
      <c r="D84" s="14" t="str">
        <f t="shared" si="5"/>
        <v>SEX.</v>
      </c>
      <c r="E84" s="13">
        <f t="shared" si="3"/>
        <v>9</v>
      </c>
      <c r="F84" s="54"/>
      <c r="G84" s="70"/>
      <c r="H84" s="86">
        <v>10.98</v>
      </c>
      <c r="I84" s="105" t="s">
        <v>17</v>
      </c>
      <c r="J84" s="21" t="s">
        <v>485</v>
      </c>
      <c r="K84" s="84"/>
      <c r="L84" s="84"/>
      <c r="M84" s="84"/>
      <c r="N84" s="84"/>
      <c r="O84" s="84"/>
      <c r="P84" s="84"/>
      <c r="Q84" s="84"/>
    </row>
    <row r="85">
      <c r="A85" s="11" t="s">
        <v>5</v>
      </c>
      <c r="B85" s="103" t="s">
        <v>486</v>
      </c>
      <c r="C85" s="13">
        <v>26.0</v>
      </c>
      <c r="D85" s="14" t="str">
        <f t="shared" si="5"/>
        <v>DOM.</v>
      </c>
      <c r="E85" s="13">
        <f t="shared" si="3"/>
        <v>9</v>
      </c>
      <c r="F85" s="54"/>
      <c r="G85" s="70"/>
      <c r="H85" s="86">
        <v>60.33</v>
      </c>
      <c r="I85" s="105" t="s">
        <v>17</v>
      </c>
      <c r="J85" s="21" t="s">
        <v>229</v>
      </c>
      <c r="K85" s="84"/>
      <c r="L85" s="84"/>
      <c r="M85" s="84"/>
      <c r="N85" s="84"/>
      <c r="O85" s="84"/>
      <c r="P85" s="84"/>
      <c r="Q85" s="84"/>
    </row>
    <row r="86">
      <c r="A86" s="11" t="s">
        <v>5</v>
      </c>
      <c r="B86" s="79" t="s">
        <v>73</v>
      </c>
      <c r="C86" s="80">
        <v>27.0</v>
      </c>
      <c r="D86" s="81" t="str">
        <f t="shared" si="5"/>
        <v>SEG.</v>
      </c>
      <c r="E86" s="13">
        <f t="shared" si="3"/>
        <v>9</v>
      </c>
      <c r="F86" s="35"/>
      <c r="G86" s="70"/>
      <c r="H86" s="36">
        <v>40.0</v>
      </c>
      <c r="I86" s="152" t="s">
        <v>17</v>
      </c>
      <c r="J86" s="199" t="s">
        <v>20</v>
      </c>
      <c r="K86" s="106"/>
      <c r="L86" s="106"/>
      <c r="M86" s="106"/>
      <c r="N86" s="106"/>
      <c r="O86" s="84"/>
      <c r="P86" s="84"/>
      <c r="Q86" s="84"/>
    </row>
    <row r="87">
      <c r="A87" s="11" t="s">
        <v>5</v>
      </c>
      <c r="B87" s="29" t="s">
        <v>305</v>
      </c>
      <c r="C87" s="73">
        <v>27.0</v>
      </c>
      <c r="D87" s="74" t="str">
        <f t="shared" si="5"/>
        <v>SEG.</v>
      </c>
      <c r="E87" s="193">
        <f t="shared" si="3"/>
        <v>9</v>
      </c>
      <c r="F87" s="30"/>
      <c r="G87" s="31"/>
      <c r="H87" s="153">
        <v>100.0</v>
      </c>
      <c r="I87" s="71" t="s">
        <v>17</v>
      </c>
      <c r="J87" s="72" t="s">
        <v>306</v>
      </c>
      <c r="K87" s="31"/>
      <c r="L87" s="31"/>
      <c r="M87" s="31"/>
      <c r="N87" s="31"/>
      <c r="O87" s="31"/>
      <c r="P87" s="31"/>
      <c r="Q87" s="31"/>
    </row>
    <row r="88">
      <c r="A88" s="11" t="s">
        <v>5</v>
      </c>
      <c r="B88" s="179" t="s">
        <v>21</v>
      </c>
      <c r="C88" s="62">
        <v>28.0</v>
      </c>
      <c r="D88" s="25" t="str">
        <f t="shared" si="5"/>
        <v>TER.</v>
      </c>
      <c r="E88" s="13">
        <f t="shared" si="3"/>
        <v>9</v>
      </c>
      <c r="F88" s="26"/>
      <c r="G88" s="56"/>
      <c r="H88" s="63">
        <v>241.62</v>
      </c>
      <c r="I88" s="33" t="s">
        <v>17</v>
      </c>
      <c r="J88" s="173" t="s">
        <v>22</v>
      </c>
      <c r="K88" s="56"/>
      <c r="L88" s="56"/>
      <c r="M88" s="56"/>
      <c r="N88" s="56"/>
      <c r="O88" s="56"/>
      <c r="P88" s="56"/>
      <c r="Q88" s="56"/>
    </row>
    <row r="89">
      <c r="A89" s="102" t="s">
        <v>5</v>
      </c>
      <c r="B89" s="69" t="s">
        <v>491</v>
      </c>
      <c r="C89" s="80">
        <v>29.0</v>
      </c>
      <c r="D89" s="81" t="str">
        <f t="shared" si="5"/>
        <v>QUA.</v>
      </c>
      <c r="E89" s="13">
        <f t="shared" si="3"/>
        <v>9</v>
      </c>
      <c r="F89" s="35"/>
      <c r="G89" s="36">
        <v>500.0</v>
      </c>
      <c r="H89" s="151"/>
      <c r="I89" s="78" t="s">
        <v>17</v>
      </c>
      <c r="J89" s="103" t="s">
        <v>38</v>
      </c>
      <c r="K89" s="70"/>
      <c r="L89" s="70"/>
      <c r="M89" s="70"/>
      <c r="N89" s="70"/>
      <c r="O89" s="70"/>
      <c r="P89" s="70"/>
      <c r="Q89" s="70"/>
    </row>
    <row r="90">
      <c r="A90" s="11" t="s">
        <v>5</v>
      </c>
      <c r="B90" s="34" t="s">
        <v>492</v>
      </c>
      <c r="C90" s="13">
        <v>29.0</v>
      </c>
      <c r="D90" s="74" t="str">
        <f t="shared" si="5"/>
        <v>QUA.</v>
      </c>
      <c r="E90" s="13">
        <f t="shared" si="3"/>
        <v>9</v>
      </c>
      <c r="F90" s="26"/>
      <c r="G90" s="56"/>
      <c r="H90" s="63">
        <v>500.0</v>
      </c>
      <c r="I90" s="47" t="s">
        <v>17</v>
      </c>
      <c r="J90" s="21" t="s">
        <v>273</v>
      </c>
      <c r="K90" s="59"/>
      <c r="L90" s="59"/>
      <c r="M90" s="59"/>
      <c r="N90" s="59"/>
      <c r="O90" s="59"/>
      <c r="P90" s="59"/>
      <c r="Q90" s="59"/>
    </row>
    <row r="91">
      <c r="A91" s="11" t="s">
        <v>5</v>
      </c>
      <c r="B91" s="40" t="s">
        <v>248</v>
      </c>
      <c r="C91" s="62">
        <v>30.0</v>
      </c>
      <c r="D91" s="25" t="str">
        <f t="shared" si="5"/>
        <v>QUI.</v>
      </c>
      <c r="E91" s="13">
        <f t="shared" si="3"/>
        <v>9</v>
      </c>
      <c r="F91" s="26"/>
      <c r="G91" s="63">
        <v>330.0</v>
      </c>
      <c r="H91" s="101"/>
      <c r="I91" s="60" t="s">
        <v>249</v>
      </c>
      <c r="J91" s="90" t="s">
        <v>253</v>
      </c>
      <c r="K91" s="59"/>
      <c r="L91" s="59"/>
      <c r="M91" s="59"/>
      <c r="N91" s="59"/>
      <c r="O91" s="59"/>
      <c r="P91" s="59"/>
      <c r="Q91" s="59"/>
    </row>
    <row r="92">
      <c r="A92" s="11" t="s">
        <v>5</v>
      </c>
      <c r="B92" s="42" t="s">
        <v>251</v>
      </c>
      <c r="C92" s="66">
        <v>30.0</v>
      </c>
      <c r="D92" s="14" t="str">
        <f t="shared" si="5"/>
        <v>QUI.</v>
      </c>
      <c r="E92" s="13">
        <f t="shared" si="3"/>
        <v>9</v>
      </c>
      <c r="F92" s="43"/>
      <c r="G92" s="46">
        <v>700.0</v>
      </c>
      <c r="H92" s="53"/>
      <c r="I92" s="65" t="s">
        <v>252</v>
      </c>
      <c r="J92" s="42" t="s">
        <v>253</v>
      </c>
      <c r="K92" s="68"/>
      <c r="L92" s="68"/>
      <c r="M92" s="68"/>
      <c r="N92" s="68"/>
      <c r="O92" s="68"/>
      <c r="P92" s="68"/>
      <c r="Q92" s="68"/>
    </row>
    <row r="93">
      <c r="A93" s="11" t="s">
        <v>5</v>
      </c>
      <c r="B93" s="69" t="s">
        <v>260</v>
      </c>
      <c r="C93" s="13">
        <v>30.0</v>
      </c>
      <c r="D93" s="14" t="str">
        <f t="shared" si="5"/>
        <v>QUI.</v>
      </c>
      <c r="E93" s="13">
        <f t="shared" si="3"/>
        <v>9</v>
      </c>
      <c r="F93" s="54"/>
      <c r="G93" s="36">
        <v>3429.7</v>
      </c>
      <c r="H93" s="70"/>
      <c r="I93" s="47" t="s">
        <v>261</v>
      </c>
      <c r="J93" s="21" t="s">
        <v>64</v>
      </c>
      <c r="K93" s="70"/>
      <c r="L93" s="70"/>
      <c r="M93" s="70"/>
      <c r="N93" s="70"/>
      <c r="O93" s="70"/>
      <c r="P93" s="70"/>
      <c r="Q93" s="70"/>
    </row>
    <row r="94">
      <c r="A94" s="11" t="s">
        <v>25</v>
      </c>
      <c r="B94" s="61" t="s">
        <v>26</v>
      </c>
      <c r="C94" s="148">
        <v>30.0</v>
      </c>
      <c r="D94" s="25" t="str">
        <f t="shared" si="5"/>
        <v>QUI.</v>
      </c>
      <c r="E94" s="13">
        <f t="shared" si="3"/>
        <v>9</v>
      </c>
      <c r="F94" s="26"/>
      <c r="G94" s="56"/>
      <c r="H94" s="36">
        <v>3429.7</v>
      </c>
      <c r="I94" s="64" t="s">
        <v>261</v>
      </c>
      <c r="J94" s="40"/>
      <c r="K94" s="59"/>
      <c r="L94" s="59"/>
      <c r="M94" s="59"/>
      <c r="N94" s="59"/>
      <c r="O94" s="59"/>
      <c r="P94" s="59"/>
      <c r="Q94" s="59"/>
    </row>
    <row r="95">
      <c r="A95" s="11" t="s">
        <v>25</v>
      </c>
      <c r="B95" s="39" t="s">
        <v>27</v>
      </c>
      <c r="C95" s="66">
        <v>30.0</v>
      </c>
      <c r="D95" s="14" t="str">
        <f t="shared" si="5"/>
        <v>QUI.</v>
      </c>
      <c r="E95" s="13">
        <f t="shared" si="3"/>
        <v>9</v>
      </c>
      <c r="F95" s="43"/>
      <c r="G95" s="36">
        <v>3429.7</v>
      </c>
      <c r="H95" s="45"/>
      <c r="I95" s="67" t="s">
        <v>17</v>
      </c>
      <c r="J95" s="42"/>
      <c r="K95" s="68"/>
      <c r="L95" s="68"/>
      <c r="M95" s="68"/>
      <c r="N95" s="68"/>
      <c r="O95" s="68"/>
      <c r="P95" s="68"/>
      <c r="Q95" s="68"/>
    </row>
    <row r="96">
      <c r="A96" s="11"/>
      <c r="B96" s="59"/>
      <c r="C96" s="26"/>
      <c r="D96" s="107"/>
      <c r="E96" s="26"/>
      <c r="F96" s="26"/>
      <c r="G96" s="56"/>
      <c r="H96" s="56"/>
      <c r="I96" s="47"/>
      <c r="J96" s="21"/>
      <c r="K96" s="59"/>
      <c r="L96" s="59"/>
      <c r="M96" s="59"/>
      <c r="N96" s="59"/>
      <c r="O96" s="59"/>
      <c r="P96" s="59"/>
      <c r="Q96" s="59"/>
    </row>
    <row r="97">
      <c r="A97" s="11"/>
      <c r="B97" s="68"/>
      <c r="C97" s="43"/>
      <c r="D97" s="108"/>
      <c r="E97" s="43"/>
      <c r="F97" s="43"/>
      <c r="G97" s="45"/>
      <c r="H97" s="45"/>
      <c r="I97" s="47"/>
      <c r="J97" s="21"/>
      <c r="K97" s="68"/>
      <c r="L97" s="68"/>
      <c r="M97" s="68"/>
      <c r="N97" s="68"/>
      <c r="O97" s="68"/>
      <c r="P97" s="68"/>
      <c r="Q97" s="68"/>
    </row>
    <row r="98">
      <c r="A98" s="109"/>
      <c r="B98" s="110"/>
      <c r="C98" s="111"/>
      <c r="D98" s="112"/>
      <c r="E98" s="111"/>
      <c r="F98" s="111"/>
      <c r="G98" s="113"/>
      <c r="H98" s="113"/>
      <c r="I98" s="114"/>
      <c r="J98" s="21"/>
      <c r="K98" s="110"/>
      <c r="L98" s="110"/>
      <c r="M98" s="110"/>
      <c r="N98" s="110"/>
      <c r="O98" s="110"/>
      <c r="P98" s="110"/>
      <c r="Q98" s="110"/>
    </row>
    <row r="99" ht="15.75" customHeight="1">
      <c r="A99" s="115"/>
      <c r="B99" s="116" t="s">
        <v>142</v>
      </c>
      <c r="C99" s="117"/>
      <c r="D99" s="118"/>
      <c r="E99" s="119"/>
      <c r="F99" s="119"/>
      <c r="G99" s="120">
        <f>SUMIF(A3:A98,"PAGO",G3:G98)</f>
        <v>20338.43</v>
      </c>
      <c r="H99" s="120">
        <f>SUMIF(A3:A98,"PAGO",H3:H98)</f>
        <v>12506.64</v>
      </c>
      <c r="I99" s="121"/>
      <c r="J99" s="117"/>
      <c r="K99" s="120">
        <f t="shared" ref="K99:K100" si="6">G99-H99</f>
        <v>7831.79</v>
      </c>
      <c r="L99" s="120"/>
      <c r="M99" s="120"/>
      <c r="N99" s="120"/>
      <c r="O99" s="120"/>
      <c r="P99" s="120"/>
      <c r="Q99" s="120"/>
    </row>
    <row r="100" ht="15.75" customHeight="1">
      <c r="A100" s="115"/>
      <c r="B100" s="122" t="s">
        <v>143</v>
      </c>
      <c r="C100" s="117"/>
      <c r="D100" s="123"/>
      <c r="E100" s="124"/>
      <c r="F100" s="124"/>
      <c r="G100" s="125">
        <f>SUMIF(A3:A98,"PAGO",G3:G98) + SUMIF(A3:A98,"PREVISTO",G3:G98)</f>
        <v>20338.43</v>
      </c>
      <c r="H100" s="125">
        <f>SUMIF(A3:A98,"PAGO",H3:H98) + SUMIF(A3:A98,"PREVISTO",H3:H98)</f>
        <v>12506.64</v>
      </c>
      <c r="I100" s="121"/>
      <c r="J100" s="122" t="s">
        <v>144</v>
      </c>
      <c r="K100" s="125">
        <f t="shared" si="6"/>
        <v>7831.79</v>
      </c>
      <c r="L100" s="125"/>
      <c r="M100" s="125"/>
      <c r="N100" s="125"/>
      <c r="O100" s="125"/>
      <c r="P100" s="125"/>
      <c r="Q100" s="125"/>
    </row>
    <row r="101">
      <c r="A101" s="126"/>
      <c r="B101" s="127"/>
      <c r="C101" s="93"/>
      <c r="D101" s="128"/>
      <c r="E101" s="129"/>
      <c r="F101" s="129"/>
      <c r="G101" s="130"/>
      <c r="H101" s="130"/>
      <c r="I101" s="131"/>
      <c r="J101" s="132" t="s">
        <v>13</v>
      </c>
      <c r="K101" s="133">
        <f t="shared" ref="K101:K108" si="7">(SUMIFS($G$3:$G$98,$I$3:$I$98,J101,$A$3:$A$98,"PAGO") + SUMIFS($G$3:$G$98,$I$3:$I$98,J101,$A$3:$A$98,"CONTAS")) - (SUMIFS($H$3:$H$98,$I$3:$I$98,J101,$A$3:$A$98,"PAGO") + SUMIFS($H$3:$H$98,$I$3:$I$98,J101,$A$3:$A$98,"CONTAS"))</f>
        <v>63.28</v>
      </c>
      <c r="L101" s="133"/>
      <c r="M101" s="133"/>
      <c r="N101" s="133"/>
      <c r="O101" s="133"/>
      <c r="P101" s="133"/>
      <c r="Q101" s="133"/>
    </row>
    <row r="102">
      <c r="A102" s="134"/>
      <c r="B102" s="135"/>
      <c r="C102" s="93"/>
      <c r="D102" s="128"/>
      <c r="E102" s="129"/>
      <c r="F102" s="129"/>
      <c r="G102" s="130"/>
      <c r="H102" s="130"/>
      <c r="I102" s="131"/>
      <c r="J102" s="132" t="s">
        <v>15</v>
      </c>
      <c r="K102" s="133">
        <f t="shared" si="7"/>
        <v>2.85</v>
      </c>
      <c r="L102" s="133"/>
      <c r="M102" s="133"/>
      <c r="N102" s="133"/>
      <c r="O102" s="133"/>
      <c r="P102" s="133"/>
      <c r="Q102" s="133"/>
    </row>
    <row r="103">
      <c r="A103" s="134"/>
      <c r="B103" s="136"/>
      <c r="C103" s="137"/>
      <c r="D103" s="128"/>
      <c r="E103" s="129"/>
      <c r="F103" s="129"/>
      <c r="G103" s="130"/>
      <c r="H103" s="130"/>
      <c r="I103" s="131"/>
      <c r="J103" s="132" t="s">
        <v>16</v>
      </c>
      <c r="K103" s="133">
        <f t="shared" si="7"/>
        <v>0</v>
      </c>
      <c r="L103" s="133"/>
      <c r="M103" s="133"/>
      <c r="N103" s="133"/>
      <c r="O103" s="133"/>
      <c r="P103" s="133"/>
      <c r="Q103" s="133"/>
    </row>
    <row r="104">
      <c r="A104" s="134"/>
      <c r="B104" s="136"/>
      <c r="C104" s="137"/>
      <c r="D104" s="128"/>
      <c r="E104" s="129"/>
      <c r="F104" s="129"/>
      <c r="G104" s="130"/>
      <c r="H104" s="130"/>
      <c r="I104" s="131"/>
      <c r="J104" s="132" t="s">
        <v>17</v>
      </c>
      <c r="K104" s="133">
        <f t="shared" si="7"/>
        <v>6488.64</v>
      </c>
      <c r="L104" s="133"/>
      <c r="M104" s="133"/>
      <c r="N104" s="133"/>
      <c r="O104" s="133"/>
      <c r="P104" s="133"/>
      <c r="Q104" s="133"/>
    </row>
    <row r="105">
      <c r="A105" s="134"/>
      <c r="B105" s="93"/>
      <c r="C105" s="137"/>
      <c r="D105" s="138"/>
      <c r="E105" s="139"/>
      <c r="F105" s="139"/>
      <c r="G105" s="140"/>
      <c r="H105" s="140"/>
      <c r="I105" s="131"/>
      <c r="J105" s="132" t="s">
        <v>18</v>
      </c>
      <c r="K105" s="133">
        <f t="shared" si="7"/>
        <v>9.52</v>
      </c>
      <c r="L105" s="133"/>
      <c r="M105" s="133"/>
      <c r="N105" s="133"/>
      <c r="O105" s="133"/>
      <c r="P105" s="133"/>
      <c r="Q105" s="133"/>
    </row>
    <row r="106">
      <c r="A106" s="134"/>
      <c r="B106" s="137"/>
      <c r="C106" s="93"/>
      <c r="D106" s="138"/>
      <c r="E106" s="139"/>
      <c r="F106" s="139"/>
      <c r="G106" s="140"/>
      <c r="H106" s="140"/>
      <c r="I106" s="131"/>
      <c r="J106" s="183" t="s">
        <v>261</v>
      </c>
      <c r="K106" s="133">
        <f t="shared" si="7"/>
        <v>0</v>
      </c>
      <c r="L106" s="93"/>
      <c r="M106" s="93"/>
      <c r="N106" s="93"/>
      <c r="O106" s="93"/>
      <c r="P106" s="93"/>
      <c r="Q106" s="93"/>
    </row>
    <row r="107">
      <c r="A107" s="134"/>
      <c r="B107" s="137"/>
      <c r="C107" s="93"/>
      <c r="D107" s="138"/>
      <c r="E107" s="139"/>
      <c r="F107" s="139"/>
      <c r="G107" s="140"/>
      <c r="H107" s="140"/>
      <c r="I107" s="131"/>
      <c r="J107" s="182" t="s">
        <v>252</v>
      </c>
      <c r="K107" s="133">
        <f t="shared" si="7"/>
        <v>833.14</v>
      </c>
      <c r="L107" s="93"/>
      <c r="M107" s="93"/>
      <c r="N107" s="93"/>
      <c r="O107" s="93"/>
      <c r="P107" s="93"/>
      <c r="Q107" s="93"/>
    </row>
    <row r="108">
      <c r="A108" s="134"/>
      <c r="B108" s="137"/>
      <c r="C108" s="93"/>
      <c r="D108" s="138"/>
      <c r="E108" s="139"/>
      <c r="F108" s="139"/>
      <c r="G108" s="140"/>
      <c r="H108" s="140"/>
      <c r="I108" s="131"/>
      <c r="J108" s="182" t="s">
        <v>249</v>
      </c>
      <c r="K108" s="133">
        <f t="shared" si="7"/>
        <v>434.36</v>
      </c>
      <c r="L108" s="93"/>
      <c r="M108" s="93"/>
      <c r="N108" s="93"/>
      <c r="O108" s="93"/>
      <c r="P108" s="93"/>
      <c r="Q108" s="93"/>
    </row>
    <row r="109">
      <c r="A109" s="134"/>
      <c r="B109" s="137"/>
      <c r="C109" s="93"/>
      <c r="D109" s="138"/>
      <c r="E109" s="139"/>
      <c r="F109" s="139"/>
      <c r="G109" s="140"/>
      <c r="H109" s="140"/>
      <c r="I109" s="131"/>
      <c r="J109" s="219"/>
      <c r="K109" s="93"/>
      <c r="L109" s="93"/>
      <c r="M109" s="93"/>
      <c r="N109" s="93"/>
      <c r="O109" s="93"/>
      <c r="P109" s="93"/>
      <c r="Q109" s="93"/>
    </row>
  </sheetData>
  <customSheetViews>
    <customSheetView guid="{55ED7845-B94B-4003-AD57-D4008EE7E009}" filter="1" showAutoFilter="1">
      <autoFilter ref="$A$2:$K$14"/>
    </customSheetView>
    <customSheetView guid="{FF238D65-B29E-47B3-BB76-09A78DB37DDE}" filter="1" showAutoFilter="1">
      <autoFilter ref="$A$2:$K$3"/>
    </customSheetView>
    <customSheetView guid="{8E320149-1ED8-4245-AE83-2AF08A85D2EE}" filter="1" showAutoFilter="1">
      <autoFilter ref="$A$2:$K$3"/>
    </customSheetView>
    <customSheetView guid="{F6E0E906-D63E-467F-B486-84E6C0126E80}" filter="1" showAutoFilter="1">
      <autoFilter ref="$A$2:$K$3"/>
    </customSheetView>
    <customSheetView guid="{5F890A4C-8AFA-4126-80E7-AF0191C5590F}" filter="1" showAutoFilter="1">
      <autoFilter ref="$A$2:$K$3"/>
    </customSheetView>
  </customSheetViews>
  <conditionalFormatting sqref="A3:Q98">
    <cfRule type="expression" dxfId="0" priority="1">
      <formula>ISEVEN(ROW())</formula>
    </cfRule>
  </conditionalFormatting>
  <conditionalFormatting sqref="A3:Q98">
    <cfRule type="expression" dxfId="1" priority="2">
      <formula>ISODD(ROW())</formula>
    </cfRule>
  </conditionalFormatting>
  <dataValidations>
    <dataValidation type="list" allowBlank="1" sqref="A3:A97">
      <formula1>listas!$A$1:$A$17</formula1>
    </dataValidation>
    <dataValidation type="list" allowBlank="1" sqref="I3:I19 I21:I97">
      <formula1>listas!$B$1:$B$21</formula1>
    </dataValidation>
  </dataValidations>
  <drawing r:id="rId2"/>
  <legacyDrawing r:id="rId3"/>
  <tableParts count="2">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7.25"/>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10.0</v>
      </c>
      <c r="D3" s="14"/>
      <c r="E3" s="15"/>
      <c r="F3" s="15"/>
      <c r="G3" s="16"/>
      <c r="H3" s="17"/>
      <c r="I3" s="18"/>
      <c r="J3" s="19"/>
      <c r="K3" s="20"/>
      <c r="L3" s="20"/>
      <c r="M3" s="20"/>
      <c r="N3" s="20"/>
      <c r="O3" s="20"/>
      <c r="P3" s="20"/>
      <c r="Q3" s="20"/>
    </row>
    <row r="4">
      <c r="A4" s="11" t="s">
        <v>5</v>
      </c>
      <c r="B4" s="21" t="s">
        <v>145</v>
      </c>
      <c r="C4" s="13">
        <v>1.0</v>
      </c>
      <c r="D4" s="14" t="str">
        <f t="shared" ref="D4:D28" si="1">UPPER(TEXT(WEEKDAY(DATEVALUE(CONCATENATE(C4,"/",$C$3,"/",$A$1))),"DDD"))</f>
        <v>SEX.</v>
      </c>
      <c r="E4" s="13">
        <f t="shared" ref="E4:E114" si="2">$C$3</f>
        <v>10</v>
      </c>
      <c r="F4" s="15"/>
      <c r="G4" s="16">
        <f>setembro!K101</f>
        <v>63.28</v>
      </c>
      <c r="H4" s="17"/>
      <c r="I4" s="18" t="s">
        <v>13</v>
      </c>
      <c r="J4" s="21" t="s">
        <v>14</v>
      </c>
      <c r="K4" s="22"/>
      <c r="L4" s="22"/>
      <c r="M4" s="22"/>
      <c r="N4" s="22"/>
      <c r="O4" s="22"/>
      <c r="P4" s="22"/>
      <c r="Q4" s="22"/>
    </row>
    <row r="5">
      <c r="A5" s="11" t="s">
        <v>5</v>
      </c>
      <c r="B5" s="21" t="s">
        <v>145</v>
      </c>
      <c r="C5" s="13">
        <v>1.0</v>
      </c>
      <c r="D5" s="14" t="str">
        <f t="shared" si="1"/>
        <v>SEX.</v>
      </c>
      <c r="E5" s="13">
        <f t="shared" si="2"/>
        <v>10</v>
      </c>
      <c r="F5" s="15"/>
      <c r="G5" s="16">
        <f>setembro!K102</f>
        <v>2.85</v>
      </c>
      <c r="H5" s="17"/>
      <c r="I5" s="18" t="s">
        <v>15</v>
      </c>
      <c r="J5" s="21" t="s">
        <v>14</v>
      </c>
      <c r="K5" s="22"/>
      <c r="L5" s="22"/>
      <c r="M5" s="22"/>
      <c r="N5" s="22"/>
      <c r="O5" s="22"/>
      <c r="P5" s="22"/>
      <c r="Q5" s="22"/>
    </row>
    <row r="6">
      <c r="A6" s="11" t="s">
        <v>5</v>
      </c>
      <c r="B6" s="21" t="s">
        <v>145</v>
      </c>
      <c r="C6" s="13">
        <v>1.0</v>
      </c>
      <c r="D6" s="14" t="str">
        <f t="shared" si="1"/>
        <v>SEX.</v>
      </c>
      <c r="E6" s="13">
        <f t="shared" si="2"/>
        <v>10</v>
      </c>
      <c r="F6" s="15"/>
      <c r="G6" s="16">
        <f>setembro!K103</f>
        <v>0</v>
      </c>
      <c r="H6" s="17"/>
      <c r="I6" s="18" t="s">
        <v>16</v>
      </c>
      <c r="J6" s="21" t="s">
        <v>14</v>
      </c>
      <c r="K6" s="22"/>
      <c r="L6" s="22"/>
      <c r="M6" s="22"/>
      <c r="N6" s="22"/>
      <c r="O6" s="22"/>
      <c r="P6" s="22"/>
      <c r="Q6" s="22"/>
    </row>
    <row r="7">
      <c r="A7" s="11" t="s">
        <v>5</v>
      </c>
      <c r="B7" s="21" t="s">
        <v>145</v>
      </c>
      <c r="C7" s="13">
        <v>1.0</v>
      </c>
      <c r="D7" s="14" t="str">
        <f t="shared" si="1"/>
        <v>SEX.</v>
      </c>
      <c r="E7" s="13">
        <f t="shared" si="2"/>
        <v>10</v>
      </c>
      <c r="F7" s="15"/>
      <c r="G7" s="16">
        <f>setembro!K104</f>
        <v>6488.64</v>
      </c>
      <c r="H7" s="17"/>
      <c r="I7" s="18" t="s">
        <v>17</v>
      </c>
      <c r="J7" s="21" t="s">
        <v>14</v>
      </c>
      <c r="K7" s="22"/>
      <c r="L7" s="22"/>
      <c r="M7" s="22"/>
      <c r="N7" s="22"/>
      <c r="O7" s="22"/>
      <c r="P7" s="22"/>
      <c r="Q7" s="22"/>
    </row>
    <row r="8">
      <c r="A8" s="11" t="s">
        <v>5</v>
      </c>
      <c r="B8" s="21" t="s">
        <v>145</v>
      </c>
      <c r="C8" s="13">
        <v>1.0</v>
      </c>
      <c r="D8" s="14" t="str">
        <f t="shared" si="1"/>
        <v>SEX.</v>
      </c>
      <c r="E8" s="13">
        <f t="shared" si="2"/>
        <v>10</v>
      </c>
      <c r="F8" s="15"/>
      <c r="G8" s="16">
        <f>setembro!K105</f>
        <v>9.52</v>
      </c>
      <c r="H8" s="17"/>
      <c r="I8" s="18" t="s">
        <v>18</v>
      </c>
      <c r="J8" s="21" t="s">
        <v>14</v>
      </c>
      <c r="K8" s="22"/>
      <c r="L8" s="22"/>
      <c r="M8" s="22"/>
      <c r="N8" s="22"/>
      <c r="O8" s="22"/>
      <c r="P8" s="22"/>
      <c r="Q8" s="22"/>
    </row>
    <row r="9">
      <c r="A9" s="11" t="s">
        <v>5</v>
      </c>
      <c r="B9" s="72" t="s">
        <v>145</v>
      </c>
      <c r="C9" s="193">
        <v>1.0</v>
      </c>
      <c r="D9" s="74" t="str">
        <f t="shared" si="1"/>
        <v>SEX.</v>
      </c>
      <c r="E9" s="13">
        <f t="shared" si="2"/>
        <v>10</v>
      </c>
      <c r="F9" s="30"/>
      <c r="G9" s="16">
        <f>setembro!K106</f>
        <v>0</v>
      </c>
      <c r="H9" s="31"/>
      <c r="I9" s="58" t="s">
        <v>261</v>
      </c>
      <c r="J9" s="72" t="s">
        <v>14</v>
      </c>
      <c r="K9" s="77"/>
      <c r="L9" s="77"/>
      <c r="M9" s="77"/>
      <c r="N9" s="77"/>
      <c r="O9" s="77"/>
      <c r="P9" s="77"/>
      <c r="Q9" s="77"/>
    </row>
    <row r="10">
      <c r="A10" s="11" t="s">
        <v>5</v>
      </c>
      <c r="B10" s="173" t="s">
        <v>145</v>
      </c>
      <c r="C10" s="184">
        <v>1.0</v>
      </c>
      <c r="D10" s="25" t="str">
        <f t="shared" si="1"/>
        <v>SEX.</v>
      </c>
      <c r="E10" s="13">
        <f t="shared" si="2"/>
        <v>10</v>
      </c>
      <c r="F10" s="26"/>
      <c r="G10" s="16">
        <f>setembro!K107</f>
        <v>833.14</v>
      </c>
      <c r="H10" s="56"/>
      <c r="I10" s="33" t="s">
        <v>252</v>
      </c>
      <c r="J10" s="173" t="s">
        <v>14</v>
      </c>
      <c r="K10" s="59"/>
      <c r="L10" s="59"/>
      <c r="M10" s="59"/>
      <c r="N10" s="59"/>
      <c r="O10" s="59"/>
      <c r="P10" s="59"/>
      <c r="Q10" s="59"/>
    </row>
    <row r="11">
      <c r="A11" s="11" t="s">
        <v>5</v>
      </c>
      <c r="B11" s="42" t="s">
        <v>145</v>
      </c>
      <c r="C11" s="144">
        <v>1.0</v>
      </c>
      <c r="D11" s="14" t="str">
        <f t="shared" si="1"/>
        <v>SEX.</v>
      </c>
      <c r="E11" s="13">
        <f t="shared" si="2"/>
        <v>10</v>
      </c>
      <c r="F11" s="43"/>
      <c r="G11" s="16">
        <f>setembro!K108</f>
        <v>434.36</v>
      </c>
      <c r="H11" s="45"/>
      <c r="I11" s="41" t="s">
        <v>249</v>
      </c>
      <c r="J11" s="42" t="s">
        <v>14</v>
      </c>
      <c r="K11" s="68"/>
      <c r="L11" s="68"/>
      <c r="M11" s="68"/>
      <c r="N11" s="68"/>
      <c r="O11" s="68"/>
      <c r="P11" s="68"/>
      <c r="Q11" s="68"/>
    </row>
    <row r="12">
      <c r="A12" s="11" t="s">
        <v>5</v>
      </c>
      <c r="B12" s="76" t="s">
        <v>468</v>
      </c>
      <c r="C12" s="13">
        <v>1.0</v>
      </c>
      <c r="D12" s="81" t="str">
        <f t="shared" si="1"/>
        <v>SEX.</v>
      </c>
      <c r="E12" s="13">
        <f t="shared" si="2"/>
        <v>10</v>
      </c>
      <c r="F12" s="15"/>
      <c r="G12" s="16"/>
      <c r="H12" s="36">
        <v>95.5</v>
      </c>
      <c r="I12" s="47" t="s">
        <v>17</v>
      </c>
      <c r="J12" s="21" t="s">
        <v>20</v>
      </c>
      <c r="K12" s="216"/>
      <c r="L12" s="216"/>
      <c r="M12" s="216"/>
      <c r="N12" s="216"/>
      <c r="O12" s="216"/>
      <c r="P12" s="216"/>
      <c r="Q12" s="216"/>
    </row>
    <row r="13">
      <c r="A13" s="192" t="s">
        <v>5</v>
      </c>
      <c r="B13" s="79" t="s">
        <v>117</v>
      </c>
      <c r="C13" s="80">
        <v>2.0</v>
      </c>
      <c r="D13" s="81" t="str">
        <f t="shared" si="1"/>
        <v>SÁB.</v>
      </c>
      <c r="E13" s="13">
        <f t="shared" si="2"/>
        <v>10</v>
      </c>
      <c r="F13" s="35"/>
      <c r="G13" s="70"/>
      <c r="H13" s="151">
        <v>20.0</v>
      </c>
      <c r="I13" s="78" t="s">
        <v>17</v>
      </c>
      <c r="J13" s="199" t="s">
        <v>118</v>
      </c>
      <c r="K13" s="84"/>
      <c r="L13" s="84"/>
      <c r="M13" s="84"/>
      <c r="N13" s="84"/>
      <c r="O13" s="84"/>
      <c r="P13" s="84"/>
      <c r="Q13" s="84"/>
    </row>
    <row r="14">
      <c r="A14" s="11" t="s">
        <v>5</v>
      </c>
      <c r="B14" s="103" t="s">
        <v>493</v>
      </c>
      <c r="C14" s="13">
        <v>2.0</v>
      </c>
      <c r="D14" s="14" t="str">
        <f t="shared" si="1"/>
        <v>SÁB.</v>
      </c>
      <c r="E14" s="13">
        <f t="shared" si="2"/>
        <v>10</v>
      </c>
      <c r="F14" s="54"/>
      <c r="G14" s="70"/>
      <c r="H14" s="86">
        <v>17.37</v>
      </c>
      <c r="I14" s="105" t="s">
        <v>17</v>
      </c>
      <c r="J14" s="21" t="s">
        <v>69</v>
      </c>
      <c r="K14" s="84"/>
      <c r="L14" s="84"/>
      <c r="M14" s="84"/>
      <c r="N14" s="84"/>
      <c r="O14" s="84"/>
      <c r="P14" s="84"/>
      <c r="Q14" s="84"/>
    </row>
    <row r="15">
      <c r="A15" s="11" t="s">
        <v>5</v>
      </c>
      <c r="B15" s="103" t="s">
        <v>494</v>
      </c>
      <c r="C15" s="13">
        <v>2.0</v>
      </c>
      <c r="D15" s="14" t="str">
        <f t="shared" si="1"/>
        <v>SÁB.</v>
      </c>
      <c r="E15" s="13">
        <f t="shared" si="2"/>
        <v>10</v>
      </c>
      <c r="F15" s="54"/>
      <c r="G15" s="70"/>
      <c r="H15" s="86">
        <v>71.8</v>
      </c>
      <c r="I15" s="105" t="s">
        <v>17</v>
      </c>
      <c r="J15" s="21" t="s">
        <v>106</v>
      </c>
      <c r="K15" s="84"/>
      <c r="L15" s="84"/>
      <c r="M15" s="84"/>
      <c r="N15" s="84"/>
      <c r="O15" s="84"/>
      <c r="P15" s="84"/>
      <c r="Q15" s="84"/>
    </row>
    <row r="16">
      <c r="A16" s="11" t="s">
        <v>5</v>
      </c>
      <c r="B16" s="44" t="s">
        <v>284</v>
      </c>
      <c r="C16" s="13">
        <v>3.0</v>
      </c>
      <c r="D16" s="14" t="str">
        <f t="shared" si="1"/>
        <v>DOM.</v>
      </c>
      <c r="E16" s="13">
        <f t="shared" si="2"/>
        <v>10</v>
      </c>
      <c r="F16" s="85"/>
      <c r="G16" s="45"/>
      <c r="H16" s="46">
        <v>61.28</v>
      </c>
      <c r="I16" s="58" t="s">
        <v>249</v>
      </c>
      <c r="J16" s="21" t="s">
        <v>20</v>
      </c>
      <c r="K16" s="21"/>
      <c r="L16" s="21"/>
      <c r="M16" s="21"/>
      <c r="N16" s="21"/>
      <c r="O16" s="39"/>
      <c r="P16" s="39"/>
      <c r="Q16" s="39"/>
    </row>
    <row r="17">
      <c r="A17" s="11" t="s">
        <v>25</v>
      </c>
      <c r="B17" s="198" t="s">
        <v>26</v>
      </c>
      <c r="C17" s="150">
        <v>3.0</v>
      </c>
      <c r="D17" s="81" t="str">
        <f t="shared" si="1"/>
        <v>DOM.</v>
      </c>
      <c r="E17" s="207">
        <f t="shared" si="2"/>
        <v>10</v>
      </c>
      <c r="F17" s="35"/>
      <c r="G17" s="70"/>
      <c r="H17" s="36">
        <v>400.0</v>
      </c>
      <c r="I17" s="82" t="s">
        <v>17</v>
      </c>
      <c r="J17" s="21"/>
      <c r="K17" s="70"/>
      <c r="L17" s="70"/>
      <c r="M17" s="70"/>
      <c r="N17" s="70"/>
      <c r="O17" s="70"/>
      <c r="P17" s="70"/>
      <c r="Q17" s="70"/>
    </row>
    <row r="18">
      <c r="A18" s="11" t="s">
        <v>25</v>
      </c>
      <c r="B18" s="29" t="s">
        <v>27</v>
      </c>
      <c r="C18" s="73">
        <v>3.0</v>
      </c>
      <c r="D18" s="74" t="str">
        <f t="shared" si="1"/>
        <v>DOM.</v>
      </c>
      <c r="E18" s="193">
        <f t="shared" si="2"/>
        <v>10</v>
      </c>
      <c r="F18" s="30"/>
      <c r="G18" s="32">
        <v>400.0</v>
      </c>
      <c r="H18" s="31"/>
      <c r="I18" s="75" t="s">
        <v>13</v>
      </c>
      <c r="J18" s="157"/>
      <c r="K18" s="31"/>
      <c r="L18" s="31"/>
      <c r="M18" s="31"/>
      <c r="N18" s="31"/>
      <c r="O18" s="31"/>
      <c r="P18" s="31"/>
      <c r="Q18" s="31"/>
    </row>
    <row r="19">
      <c r="A19" s="11" t="s">
        <v>5</v>
      </c>
      <c r="B19" s="179" t="s">
        <v>21</v>
      </c>
      <c r="C19" s="62">
        <v>4.0</v>
      </c>
      <c r="D19" s="25" t="str">
        <f t="shared" si="1"/>
        <v>SEG.</v>
      </c>
      <c r="E19" s="13">
        <f t="shared" si="2"/>
        <v>10</v>
      </c>
      <c r="F19" s="26"/>
      <c r="G19" s="56"/>
      <c r="H19" s="63">
        <v>132.63</v>
      </c>
      <c r="I19" s="33" t="s">
        <v>249</v>
      </c>
      <c r="J19" s="173" t="s">
        <v>22</v>
      </c>
      <c r="K19" s="56"/>
      <c r="L19" s="56"/>
      <c r="M19" s="56"/>
      <c r="N19" s="56"/>
      <c r="O19" s="56"/>
      <c r="P19" s="56"/>
      <c r="Q19" s="56"/>
    </row>
    <row r="20">
      <c r="A20" s="11" t="s">
        <v>5</v>
      </c>
      <c r="B20" s="159" t="s">
        <v>465</v>
      </c>
      <c r="C20" s="73">
        <v>5.0</v>
      </c>
      <c r="D20" s="25" t="str">
        <f t="shared" si="1"/>
        <v>TER.</v>
      </c>
      <c r="E20" s="13">
        <f t="shared" si="2"/>
        <v>10</v>
      </c>
      <c r="F20" s="87">
        <v>44473.0</v>
      </c>
      <c r="G20" s="31"/>
      <c r="H20" s="32">
        <v>400.0</v>
      </c>
      <c r="I20" s="71" t="s">
        <v>17</v>
      </c>
      <c r="J20" s="76" t="s">
        <v>466</v>
      </c>
      <c r="K20" s="31"/>
      <c r="L20" s="31"/>
      <c r="M20" s="31"/>
      <c r="N20" s="31"/>
      <c r="O20" s="31"/>
      <c r="P20" s="31"/>
      <c r="Q20" s="31"/>
    </row>
    <row r="21">
      <c r="A21" s="11" t="s">
        <v>5</v>
      </c>
      <c r="B21" s="44" t="s">
        <v>495</v>
      </c>
      <c r="C21" s="13">
        <v>5.0</v>
      </c>
      <c r="D21" s="14" t="str">
        <f t="shared" si="1"/>
        <v>TER.</v>
      </c>
      <c r="E21" s="13">
        <f t="shared" si="2"/>
        <v>10</v>
      </c>
      <c r="F21" s="85"/>
      <c r="G21" s="45"/>
      <c r="H21" s="46">
        <v>8.69</v>
      </c>
      <c r="I21" s="58" t="s">
        <v>17</v>
      </c>
      <c r="J21" s="21" t="s">
        <v>20</v>
      </c>
      <c r="K21" s="21"/>
      <c r="L21" s="21"/>
      <c r="M21" s="21"/>
      <c r="N21" s="21"/>
      <c r="O21" s="39"/>
      <c r="P21" s="39"/>
      <c r="Q21" s="39"/>
    </row>
    <row r="22">
      <c r="A22" s="11" t="s">
        <v>5</v>
      </c>
      <c r="B22" s="83" t="s">
        <v>350</v>
      </c>
      <c r="C22" s="13">
        <v>6.0</v>
      </c>
      <c r="D22" s="14" t="str">
        <f t="shared" si="1"/>
        <v>QUA.</v>
      </c>
      <c r="E22" s="13">
        <f t="shared" si="2"/>
        <v>10</v>
      </c>
      <c r="F22" s="35"/>
      <c r="G22" s="36">
        <v>500.0</v>
      </c>
      <c r="H22" s="70"/>
      <c r="I22" s="78" t="s">
        <v>17</v>
      </c>
      <c r="J22" s="21" t="s">
        <v>390</v>
      </c>
      <c r="K22" s="84"/>
      <c r="L22" s="84"/>
      <c r="M22" s="84"/>
      <c r="N22" s="84"/>
      <c r="O22" s="84"/>
      <c r="P22" s="84"/>
      <c r="Q22" s="84"/>
    </row>
    <row r="23">
      <c r="A23" s="11" t="s">
        <v>5</v>
      </c>
      <c r="B23" s="83" t="s">
        <v>352</v>
      </c>
      <c r="C23" s="13">
        <v>6.0</v>
      </c>
      <c r="D23" s="14" t="str">
        <f t="shared" si="1"/>
        <v>QUA.</v>
      </c>
      <c r="E23" s="13">
        <f t="shared" si="2"/>
        <v>10</v>
      </c>
      <c r="F23" s="35"/>
      <c r="G23" s="36"/>
      <c r="H23" s="36">
        <v>500.0</v>
      </c>
      <c r="I23" s="78" t="s">
        <v>17</v>
      </c>
      <c r="J23" s="21" t="s">
        <v>391</v>
      </c>
      <c r="K23" s="84"/>
      <c r="L23" s="84"/>
      <c r="M23" s="84"/>
      <c r="N23" s="84"/>
      <c r="O23" s="84"/>
      <c r="P23" s="84"/>
      <c r="Q23" s="84"/>
    </row>
    <row r="24">
      <c r="A24" s="11" t="s">
        <v>5</v>
      </c>
      <c r="B24" s="29" t="s">
        <v>305</v>
      </c>
      <c r="C24" s="73">
        <v>6.0</v>
      </c>
      <c r="D24" s="74" t="str">
        <f t="shared" si="1"/>
        <v>QUA.</v>
      </c>
      <c r="E24" s="13">
        <f t="shared" si="2"/>
        <v>10</v>
      </c>
      <c r="F24" s="30"/>
      <c r="G24" s="31"/>
      <c r="H24" s="153">
        <v>100.0</v>
      </c>
      <c r="I24" s="58" t="s">
        <v>17</v>
      </c>
      <c r="J24" s="72" t="s">
        <v>306</v>
      </c>
      <c r="K24" s="31"/>
      <c r="L24" s="31"/>
      <c r="M24" s="31"/>
      <c r="N24" s="31"/>
      <c r="O24" s="31"/>
      <c r="P24" s="31"/>
      <c r="Q24" s="31"/>
    </row>
    <row r="25">
      <c r="A25" s="11" t="s">
        <v>5</v>
      </c>
      <c r="B25" s="99" t="s">
        <v>119</v>
      </c>
      <c r="C25" s="13">
        <v>7.0</v>
      </c>
      <c r="D25" s="14" t="str">
        <f t="shared" si="1"/>
        <v>QUI.</v>
      </c>
      <c r="E25" s="13">
        <f t="shared" si="2"/>
        <v>10</v>
      </c>
      <c r="F25" s="35"/>
      <c r="G25" s="36">
        <v>13.77</v>
      </c>
      <c r="H25" s="70"/>
      <c r="I25" s="78" t="s">
        <v>17</v>
      </c>
      <c r="J25" s="21" t="s">
        <v>120</v>
      </c>
      <c r="K25" s="84"/>
      <c r="L25" s="84"/>
      <c r="M25" s="84"/>
      <c r="N25" s="84"/>
      <c r="O25" s="84"/>
      <c r="P25" s="84"/>
      <c r="Q25" s="84"/>
    </row>
    <row r="26">
      <c r="A26" s="11" t="s">
        <v>5</v>
      </c>
      <c r="B26" s="179" t="s">
        <v>427</v>
      </c>
      <c r="C26" s="62">
        <v>7.0</v>
      </c>
      <c r="D26" s="25" t="str">
        <f t="shared" si="1"/>
        <v>QUI.</v>
      </c>
      <c r="E26" s="13">
        <f t="shared" si="2"/>
        <v>10</v>
      </c>
      <c r="F26" s="26"/>
      <c r="G26" s="56"/>
      <c r="H26" s="63">
        <v>183.53</v>
      </c>
      <c r="I26" s="33" t="s">
        <v>252</v>
      </c>
      <c r="J26" s="173" t="s">
        <v>22</v>
      </c>
      <c r="K26" s="56"/>
      <c r="L26" s="56"/>
      <c r="M26" s="56"/>
      <c r="N26" s="56"/>
      <c r="O26" s="56"/>
      <c r="P26" s="56"/>
      <c r="Q26" s="56"/>
    </row>
    <row r="27">
      <c r="A27" s="11" t="s">
        <v>5</v>
      </c>
      <c r="B27" s="179" t="s">
        <v>21</v>
      </c>
      <c r="C27" s="62">
        <v>7.0</v>
      </c>
      <c r="D27" s="25" t="str">
        <f t="shared" si="1"/>
        <v>QUI.</v>
      </c>
      <c r="E27" s="13">
        <f t="shared" si="2"/>
        <v>10</v>
      </c>
      <c r="F27" s="26"/>
      <c r="G27" s="56"/>
      <c r="H27" s="63">
        <v>43.37</v>
      </c>
      <c r="I27" s="33" t="s">
        <v>252</v>
      </c>
      <c r="J27" s="173" t="s">
        <v>22</v>
      </c>
      <c r="K27" s="56"/>
      <c r="L27" s="56"/>
      <c r="M27" s="56"/>
      <c r="N27" s="56"/>
      <c r="O27" s="56"/>
      <c r="P27" s="56"/>
      <c r="Q27" s="56"/>
    </row>
    <row r="28">
      <c r="A28" s="11" t="s">
        <v>5</v>
      </c>
      <c r="B28" s="44" t="s">
        <v>39</v>
      </c>
      <c r="C28" s="13">
        <v>8.0</v>
      </c>
      <c r="D28" s="14" t="str">
        <f t="shared" si="1"/>
        <v>SEX.</v>
      </c>
      <c r="E28" s="13">
        <f t="shared" si="2"/>
        <v>10</v>
      </c>
      <c r="F28" s="87"/>
      <c r="G28" s="45"/>
      <c r="H28" s="53">
        <f>SUM(H29:H44)</f>
        <v>594.01</v>
      </c>
      <c r="I28" s="47" t="s">
        <v>17</v>
      </c>
      <c r="J28" s="21"/>
      <c r="K28" s="39"/>
      <c r="L28" s="39"/>
      <c r="M28" s="39"/>
      <c r="N28" s="39"/>
      <c r="O28" s="39"/>
      <c r="P28" s="39"/>
      <c r="Q28" s="39"/>
    </row>
    <row r="29" outlineLevel="1">
      <c r="A29" s="11" t="s">
        <v>40</v>
      </c>
      <c r="B29" s="76" t="s">
        <v>469</v>
      </c>
      <c r="C29" s="155"/>
      <c r="D29" s="156"/>
      <c r="E29" s="13">
        <f t="shared" si="2"/>
        <v>10</v>
      </c>
      <c r="F29" s="54">
        <v>44410.0</v>
      </c>
      <c r="G29" s="31"/>
      <c r="H29" s="32">
        <v>58.94</v>
      </c>
      <c r="I29" s="157"/>
      <c r="J29" s="72" t="s">
        <v>393</v>
      </c>
      <c r="K29" s="77"/>
      <c r="L29" s="77"/>
      <c r="M29" s="77"/>
      <c r="N29" s="77"/>
      <c r="O29" s="77"/>
      <c r="P29" s="77"/>
      <c r="Q29" s="77"/>
    </row>
    <row r="30" outlineLevel="1">
      <c r="A30" s="11" t="s">
        <v>40</v>
      </c>
      <c r="B30" s="79" t="s">
        <v>473</v>
      </c>
      <c r="C30" s="194"/>
      <c r="D30" s="195"/>
      <c r="E30" s="207">
        <f t="shared" si="2"/>
        <v>10</v>
      </c>
      <c r="F30" s="54">
        <v>44434.0</v>
      </c>
      <c r="G30" s="70"/>
      <c r="H30" s="36">
        <v>166.42</v>
      </c>
      <c r="I30" s="197"/>
      <c r="J30" s="79" t="s">
        <v>393</v>
      </c>
      <c r="K30" s="84"/>
      <c r="L30" s="84"/>
      <c r="M30" s="84"/>
      <c r="N30" s="84"/>
      <c r="O30" s="84"/>
      <c r="P30" s="84"/>
      <c r="Q30" s="84"/>
    </row>
    <row r="31" outlineLevel="1">
      <c r="A31" s="11" t="s">
        <v>40</v>
      </c>
      <c r="B31" s="83" t="s">
        <v>496</v>
      </c>
      <c r="C31" s="194"/>
      <c r="D31" s="195"/>
      <c r="E31" s="207">
        <f t="shared" si="2"/>
        <v>10</v>
      </c>
      <c r="F31" s="54">
        <v>44438.0</v>
      </c>
      <c r="G31" s="70"/>
      <c r="H31" s="36">
        <v>10.0</v>
      </c>
      <c r="I31" s="197"/>
      <c r="J31" s="79" t="s">
        <v>393</v>
      </c>
      <c r="K31" s="84"/>
      <c r="L31" s="84"/>
      <c r="M31" s="84"/>
      <c r="N31" s="84"/>
      <c r="O31" s="84"/>
      <c r="P31" s="84"/>
      <c r="Q31" s="84"/>
    </row>
    <row r="32" outlineLevel="1">
      <c r="A32" s="11" t="s">
        <v>40</v>
      </c>
      <c r="B32" s="76" t="s">
        <v>239</v>
      </c>
      <c r="C32" s="155"/>
      <c r="D32" s="156"/>
      <c r="E32" s="13">
        <f t="shared" si="2"/>
        <v>10</v>
      </c>
      <c r="F32" s="54">
        <v>44440.0</v>
      </c>
      <c r="G32" s="31"/>
      <c r="H32" s="32">
        <v>1.0</v>
      </c>
      <c r="I32" s="157"/>
      <c r="J32" s="83" t="s">
        <v>243</v>
      </c>
      <c r="K32" s="77"/>
      <c r="L32" s="77"/>
      <c r="M32" s="77"/>
      <c r="N32" s="77"/>
      <c r="O32" s="77"/>
      <c r="P32" s="77"/>
      <c r="Q32" s="77"/>
    </row>
    <row r="33" outlineLevel="1">
      <c r="A33" s="11" t="s">
        <v>40</v>
      </c>
      <c r="B33" s="76" t="s">
        <v>497</v>
      </c>
      <c r="C33" s="155"/>
      <c r="D33" s="156"/>
      <c r="E33" s="13">
        <f t="shared" si="2"/>
        <v>10</v>
      </c>
      <c r="F33" s="54">
        <v>44440.0</v>
      </c>
      <c r="G33" s="31"/>
      <c r="H33" s="32">
        <v>40.0</v>
      </c>
      <c r="I33" s="157"/>
      <c r="J33" s="72" t="s">
        <v>393</v>
      </c>
      <c r="K33" s="77"/>
      <c r="L33" s="77"/>
      <c r="M33" s="77"/>
      <c r="N33" s="77"/>
      <c r="O33" s="77"/>
      <c r="P33" s="77"/>
      <c r="Q33" s="77"/>
    </row>
    <row r="34" outlineLevel="1">
      <c r="A34" s="11" t="s">
        <v>40</v>
      </c>
      <c r="B34" s="79" t="s">
        <v>473</v>
      </c>
      <c r="C34" s="194"/>
      <c r="D34" s="195"/>
      <c r="E34" s="207">
        <f t="shared" si="2"/>
        <v>10</v>
      </c>
      <c r="F34" s="54">
        <v>44441.0</v>
      </c>
      <c r="G34" s="70"/>
      <c r="H34" s="36">
        <v>89.9</v>
      </c>
      <c r="I34" s="197"/>
      <c r="J34" s="79" t="s">
        <v>393</v>
      </c>
      <c r="K34" s="84"/>
      <c r="L34" s="84"/>
      <c r="M34" s="84"/>
      <c r="N34" s="84"/>
      <c r="O34" s="84"/>
      <c r="P34" s="84"/>
      <c r="Q34" s="84"/>
    </row>
    <row r="35" outlineLevel="1">
      <c r="A35" s="11" t="s">
        <v>40</v>
      </c>
      <c r="B35" s="79" t="s">
        <v>473</v>
      </c>
      <c r="C35" s="194"/>
      <c r="D35" s="195"/>
      <c r="E35" s="207">
        <f t="shared" si="2"/>
        <v>10</v>
      </c>
      <c r="F35" s="211">
        <v>44441.0</v>
      </c>
      <c r="G35" s="70"/>
      <c r="H35" s="36">
        <v>32.13</v>
      </c>
      <c r="I35" s="197"/>
      <c r="J35" s="79" t="s">
        <v>393</v>
      </c>
      <c r="K35" s="84"/>
      <c r="L35" s="84"/>
      <c r="M35" s="84"/>
      <c r="N35" s="84"/>
      <c r="O35" s="84"/>
      <c r="P35" s="84"/>
      <c r="Q35" s="84"/>
    </row>
    <row r="36" outlineLevel="1">
      <c r="A36" s="11" t="s">
        <v>40</v>
      </c>
      <c r="B36" s="83" t="s">
        <v>498</v>
      </c>
      <c r="C36" s="194"/>
      <c r="D36" s="195"/>
      <c r="E36" s="207">
        <f t="shared" si="2"/>
        <v>10</v>
      </c>
      <c r="F36" s="196">
        <v>44443.0</v>
      </c>
      <c r="G36" s="70"/>
      <c r="H36" s="36">
        <v>35.0</v>
      </c>
      <c r="I36" s="197"/>
      <c r="J36" s="83" t="s">
        <v>243</v>
      </c>
      <c r="K36" s="84"/>
      <c r="L36" s="84"/>
      <c r="M36" s="84"/>
      <c r="N36" s="84"/>
      <c r="O36" s="84"/>
      <c r="P36" s="84"/>
      <c r="Q36" s="84"/>
    </row>
    <row r="37" outlineLevel="1">
      <c r="A37" s="11" t="s">
        <v>40</v>
      </c>
      <c r="B37" s="76" t="s">
        <v>499</v>
      </c>
      <c r="C37" s="155"/>
      <c r="D37" s="156"/>
      <c r="E37" s="13">
        <f t="shared" si="2"/>
        <v>10</v>
      </c>
      <c r="F37" s="54">
        <v>44444.0</v>
      </c>
      <c r="G37" s="31"/>
      <c r="H37" s="32">
        <v>19.65</v>
      </c>
      <c r="I37" s="157"/>
      <c r="J37" s="72" t="s">
        <v>393</v>
      </c>
      <c r="K37" s="77"/>
      <c r="L37" s="77"/>
      <c r="M37" s="77"/>
      <c r="N37" s="77"/>
      <c r="O37" s="77"/>
      <c r="P37" s="77"/>
      <c r="Q37" s="77"/>
    </row>
    <row r="38" outlineLevel="1">
      <c r="A38" s="11" t="s">
        <v>40</v>
      </c>
      <c r="B38" s="76" t="s">
        <v>473</v>
      </c>
      <c r="C38" s="155"/>
      <c r="D38" s="156"/>
      <c r="E38" s="13">
        <f t="shared" si="2"/>
        <v>10</v>
      </c>
      <c r="F38" s="54">
        <v>44445.0</v>
      </c>
      <c r="G38" s="31"/>
      <c r="H38" s="32">
        <v>99.89</v>
      </c>
      <c r="I38" s="157"/>
      <c r="J38" s="72" t="s">
        <v>393</v>
      </c>
      <c r="K38" s="77"/>
      <c r="L38" s="77"/>
      <c r="M38" s="77"/>
      <c r="N38" s="77"/>
      <c r="O38" s="77"/>
      <c r="P38" s="77"/>
      <c r="Q38" s="77"/>
    </row>
    <row r="39" outlineLevel="1">
      <c r="A39" s="11" t="s">
        <v>40</v>
      </c>
      <c r="B39" s="79" t="s">
        <v>473</v>
      </c>
      <c r="C39" s="194"/>
      <c r="D39" s="195"/>
      <c r="E39" s="207">
        <f t="shared" si="2"/>
        <v>10</v>
      </c>
      <c r="F39" s="196">
        <v>44450.0</v>
      </c>
      <c r="G39" s="70"/>
      <c r="H39" s="36">
        <v>-54.27</v>
      </c>
      <c r="I39" s="197"/>
      <c r="J39" s="79" t="s">
        <v>393</v>
      </c>
      <c r="K39" s="84"/>
      <c r="L39" s="84"/>
      <c r="M39" s="84"/>
      <c r="N39" s="84"/>
      <c r="O39" s="84"/>
      <c r="P39" s="84"/>
      <c r="Q39" s="84"/>
    </row>
    <row r="40" outlineLevel="1">
      <c r="A40" s="11" t="s">
        <v>40</v>
      </c>
      <c r="B40" s="83" t="s">
        <v>500</v>
      </c>
      <c r="C40" s="194"/>
      <c r="D40" s="195"/>
      <c r="E40" s="207">
        <f t="shared" si="2"/>
        <v>10</v>
      </c>
      <c r="F40" s="196">
        <v>44452.0</v>
      </c>
      <c r="G40" s="70"/>
      <c r="H40" s="36">
        <v>59.97</v>
      </c>
      <c r="I40" s="197"/>
      <c r="J40" s="83" t="s">
        <v>243</v>
      </c>
      <c r="K40" s="84"/>
      <c r="L40" s="84"/>
      <c r="M40" s="84"/>
      <c r="N40" s="84"/>
      <c r="O40" s="84"/>
      <c r="P40" s="84"/>
      <c r="Q40" s="84"/>
    </row>
    <row r="41" outlineLevel="1">
      <c r="A41" s="11" t="s">
        <v>40</v>
      </c>
      <c r="B41" s="83" t="s">
        <v>501</v>
      </c>
      <c r="C41" s="194"/>
      <c r="D41" s="195"/>
      <c r="E41" s="207">
        <f t="shared" si="2"/>
        <v>10</v>
      </c>
      <c r="F41" s="196">
        <v>44454.0</v>
      </c>
      <c r="G41" s="70"/>
      <c r="H41" s="36">
        <v>30.5</v>
      </c>
      <c r="I41" s="197"/>
      <c r="J41" s="79" t="s">
        <v>393</v>
      </c>
      <c r="K41" s="84"/>
      <c r="L41" s="84"/>
      <c r="M41" s="84"/>
      <c r="N41" s="84"/>
      <c r="O41" s="84"/>
      <c r="P41" s="84"/>
      <c r="Q41" s="84"/>
    </row>
    <row r="42" outlineLevel="1">
      <c r="A42" s="11" t="s">
        <v>40</v>
      </c>
      <c r="B42" s="79" t="s">
        <v>473</v>
      </c>
      <c r="C42" s="194"/>
      <c r="D42" s="195"/>
      <c r="E42" s="207">
        <f t="shared" si="2"/>
        <v>10</v>
      </c>
      <c r="F42" s="196">
        <v>44455.0</v>
      </c>
      <c r="G42" s="70"/>
      <c r="H42" s="36">
        <v>-20.9</v>
      </c>
      <c r="I42" s="197"/>
      <c r="J42" s="79" t="s">
        <v>393</v>
      </c>
      <c r="K42" s="84"/>
      <c r="L42" s="84"/>
      <c r="M42" s="84"/>
      <c r="N42" s="84"/>
      <c r="O42" s="84"/>
      <c r="P42" s="84"/>
      <c r="Q42" s="84"/>
    </row>
    <row r="43" outlineLevel="1">
      <c r="A43" s="11" t="s">
        <v>40</v>
      </c>
      <c r="B43" s="72" t="s">
        <v>47</v>
      </c>
      <c r="C43" s="155"/>
      <c r="D43" s="156"/>
      <c r="E43" s="193">
        <f t="shared" si="2"/>
        <v>10</v>
      </c>
      <c r="F43" s="54">
        <v>44459.0</v>
      </c>
      <c r="G43" s="31"/>
      <c r="H43" s="32">
        <v>13.7</v>
      </c>
      <c r="I43" s="157"/>
      <c r="J43" s="72" t="s">
        <v>48</v>
      </c>
      <c r="K43" s="77"/>
      <c r="L43" s="77"/>
      <c r="M43" s="77"/>
      <c r="N43" s="77"/>
      <c r="O43" s="77"/>
      <c r="P43" s="77"/>
      <c r="Q43" s="77"/>
    </row>
    <row r="44" outlineLevel="1">
      <c r="A44" s="11" t="s">
        <v>40</v>
      </c>
      <c r="B44" s="72" t="s">
        <v>497</v>
      </c>
      <c r="C44" s="155"/>
      <c r="D44" s="156"/>
      <c r="E44" s="193">
        <f t="shared" si="2"/>
        <v>10</v>
      </c>
      <c r="F44" s="54">
        <v>44461.0</v>
      </c>
      <c r="G44" s="31"/>
      <c r="H44" s="32">
        <v>12.08</v>
      </c>
      <c r="I44" s="157"/>
      <c r="J44" s="72" t="s">
        <v>393</v>
      </c>
      <c r="K44" s="77"/>
      <c r="L44" s="77"/>
      <c r="M44" s="77"/>
      <c r="N44" s="77"/>
      <c r="O44" s="77"/>
      <c r="P44" s="77"/>
      <c r="Q44" s="77"/>
    </row>
    <row r="45">
      <c r="A45" s="11" t="s">
        <v>5</v>
      </c>
      <c r="B45" s="90" t="s">
        <v>59</v>
      </c>
      <c r="C45" s="13">
        <v>8.0</v>
      </c>
      <c r="D45" s="14" t="str">
        <f t="shared" ref="D45:D54" si="3">UPPER(TEXT(WEEKDAY(DATEVALUE(CONCATENATE(C45,"/",$C$3,"/",$A$1))),"DDD"))</f>
        <v>SEX.</v>
      </c>
      <c r="E45" s="13">
        <f t="shared" si="2"/>
        <v>10</v>
      </c>
      <c r="F45" s="87">
        <v>44473.0</v>
      </c>
      <c r="G45" s="56"/>
      <c r="H45" s="88">
        <v>495.76</v>
      </c>
      <c r="I45" s="58" t="s">
        <v>17</v>
      </c>
      <c r="J45" s="21" t="s">
        <v>60</v>
      </c>
      <c r="K45" s="59"/>
      <c r="L45" s="59"/>
      <c r="M45" s="59"/>
      <c r="N45" s="59"/>
      <c r="O45" s="59"/>
      <c r="P45" s="59"/>
      <c r="Q45" s="59"/>
    </row>
    <row r="46">
      <c r="A46" s="11" t="s">
        <v>5</v>
      </c>
      <c r="B46" s="39" t="s">
        <v>61</v>
      </c>
      <c r="C46" s="13">
        <v>8.0</v>
      </c>
      <c r="D46" s="14" t="str">
        <f t="shared" si="3"/>
        <v>SEX.</v>
      </c>
      <c r="E46" s="13">
        <f t="shared" si="2"/>
        <v>10</v>
      </c>
      <c r="F46" s="87"/>
      <c r="G46" s="45"/>
      <c r="H46" s="46">
        <v>106.91</v>
      </c>
      <c r="I46" s="58" t="s">
        <v>17</v>
      </c>
      <c r="J46" s="21" t="s">
        <v>62</v>
      </c>
      <c r="K46" s="39"/>
      <c r="L46" s="39"/>
      <c r="M46" s="39"/>
      <c r="N46" s="39"/>
      <c r="O46" s="39"/>
      <c r="P46" s="39"/>
      <c r="Q46" s="39"/>
    </row>
    <row r="47">
      <c r="A47" s="11" t="s">
        <v>5</v>
      </c>
      <c r="B47" s="44" t="s">
        <v>442</v>
      </c>
      <c r="C47" s="13">
        <v>8.0</v>
      </c>
      <c r="D47" s="14" t="str">
        <f t="shared" si="3"/>
        <v>SEX.</v>
      </c>
      <c r="E47" s="13">
        <f t="shared" si="2"/>
        <v>10</v>
      </c>
      <c r="F47" s="87"/>
      <c r="G47" s="45"/>
      <c r="H47" s="46">
        <v>32.9</v>
      </c>
      <c r="I47" s="58" t="s">
        <v>17</v>
      </c>
      <c r="J47" s="21" t="s">
        <v>443</v>
      </c>
      <c r="K47" s="39"/>
      <c r="L47" s="39"/>
      <c r="M47" s="39"/>
      <c r="N47" s="39"/>
      <c r="O47" s="39"/>
      <c r="P47" s="39"/>
      <c r="Q47" s="39"/>
    </row>
    <row r="48">
      <c r="A48" s="11" t="s">
        <v>5</v>
      </c>
      <c r="B48" s="76" t="s">
        <v>502</v>
      </c>
      <c r="C48" s="13">
        <v>8.0</v>
      </c>
      <c r="D48" s="81" t="str">
        <f t="shared" si="3"/>
        <v>SEX.</v>
      </c>
      <c r="E48" s="13">
        <f t="shared" si="2"/>
        <v>10</v>
      </c>
      <c r="F48" s="15"/>
      <c r="G48" s="16"/>
      <c r="H48" s="36">
        <v>77.8</v>
      </c>
      <c r="I48" s="47" t="s">
        <v>17</v>
      </c>
      <c r="J48" s="21" t="s">
        <v>20</v>
      </c>
      <c r="K48" s="216"/>
      <c r="L48" s="216"/>
      <c r="M48" s="216"/>
      <c r="N48" s="216"/>
      <c r="O48" s="216"/>
      <c r="P48" s="216"/>
      <c r="Q48" s="216"/>
    </row>
    <row r="49">
      <c r="A49" s="11" t="s">
        <v>5</v>
      </c>
      <c r="B49" s="34" t="s">
        <v>444</v>
      </c>
      <c r="C49" s="13">
        <v>10.0</v>
      </c>
      <c r="D49" s="14" t="str">
        <f t="shared" si="3"/>
        <v>DOM.</v>
      </c>
      <c r="E49" s="13">
        <f t="shared" si="2"/>
        <v>10</v>
      </c>
      <c r="F49" s="87">
        <v>44473.0</v>
      </c>
      <c r="G49" s="56"/>
      <c r="H49" s="63">
        <v>643.0</v>
      </c>
      <c r="I49" s="58" t="s">
        <v>17</v>
      </c>
      <c r="J49" s="21" t="s">
        <v>67</v>
      </c>
      <c r="K49" s="59"/>
      <c r="L49" s="59"/>
      <c r="M49" s="59"/>
      <c r="N49" s="59"/>
      <c r="O49" s="59"/>
      <c r="P49" s="59"/>
      <c r="Q49" s="59"/>
    </row>
    <row r="50">
      <c r="A50" s="11" t="s">
        <v>5</v>
      </c>
      <c r="B50" s="44" t="s">
        <v>445</v>
      </c>
      <c r="C50" s="13">
        <v>10.0</v>
      </c>
      <c r="D50" s="14" t="str">
        <f t="shared" si="3"/>
        <v>DOM.</v>
      </c>
      <c r="E50" s="13">
        <f t="shared" si="2"/>
        <v>10</v>
      </c>
      <c r="F50" s="87">
        <v>44473.0</v>
      </c>
      <c r="G50" s="45"/>
      <c r="H50" s="46">
        <v>102.0</v>
      </c>
      <c r="I50" s="58" t="s">
        <v>17</v>
      </c>
      <c r="J50" s="21" t="s">
        <v>446</v>
      </c>
      <c r="K50" s="39"/>
      <c r="L50" s="39"/>
      <c r="M50" s="39"/>
      <c r="N50" s="39"/>
      <c r="O50" s="39"/>
      <c r="P50" s="39"/>
      <c r="Q50" s="39"/>
    </row>
    <row r="51">
      <c r="A51" s="11" t="s">
        <v>5</v>
      </c>
      <c r="B51" s="44" t="s">
        <v>503</v>
      </c>
      <c r="C51" s="62">
        <v>11.0</v>
      </c>
      <c r="D51" s="14" t="str">
        <f t="shared" si="3"/>
        <v>SEG.</v>
      </c>
      <c r="E51" s="13">
        <f t="shared" si="2"/>
        <v>10</v>
      </c>
      <c r="F51" s="26"/>
      <c r="G51" s="56"/>
      <c r="H51" s="63">
        <v>141.95</v>
      </c>
      <c r="I51" s="33" t="s">
        <v>17</v>
      </c>
      <c r="J51" s="220" t="s">
        <v>504</v>
      </c>
      <c r="K51" s="56"/>
      <c r="L51" s="56"/>
      <c r="M51" s="56"/>
      <c r="N51" s="56"/>
      <c r="O51" s="56"/>
      <c r="P51" s="56"/>
      <c r="Q51" s="56"/>
    </row>
    <row r="52">
      <c r="A52" s="11" t="s">
        <v>5</v>
      </c>
      <c r="B52" s="44" t="s">
        <v>505</v>
      </c>
      <c r="C52" s="62">
        <v>11.0</v>
      </c>
      <c r="D52" s="14" t="str">
        <f t="shared" si="3"/>
        <v>SEG.</v>
      </c>
      <c r="E52" s="13">
        <f t="shared" si="2"/>
        <v>10</v>
      </c>
      <c r="F52" s="26"/>
      <c r="G52" s="56"/>
      <c r="H52" s="63">
        <v>352.42</v>
      </c>
      <c r="I52" s="33" t="s">
        <v>17</v>
      </c>
      <c r="J52" s="220" t="s">
        <v>506</v>
      </c>
      <c r="K52" s="56"/>
      <c r="L52" s="56"/>
      <c r="M52" s="56"/>
      <c r="N52" s="56"/>
      <c r="O52" s="56"/>
      <c r="P52" s="56"/>
      <c r="Q52" s="56"/>
    </row>
    <row r="53">
      <c r="A53" s="11" t="s">
        <v>5</v>
      </c>
      <c r="B53" s="44" t="s">
        <v>505</v>
      </c>
      <c r="C53" s="62">
        <v>12.0</v>
      </c>
      <c r="D53" s="14" t="str">
        <f t="shared" si="3"/>
        <v>TER.</v>
      </c>
      <c r="E53" s="13">
        <f t="shared" si="2"/>
        <v>10</v>
      </c>
      <c r="F53" s="26"/>
      <c r="G53" s="56"/>
      <c r="H53" s="63">
        <v>197.73</v>
      </c>
      <c r="I53" s="33" t="s">
        <v>17</v>
      </c>
      <c r="J53" s="220" t="s">
        <v>506</v>
      </c>
      <c r="K53" s="56"/>
      <c r="L53" s="56"/>
      <c r="M53" s="56"/>
      <c r="N53" s="56"/>
      <c r="O53" s="56"/>
      <c r="P53" s="56"/>
      <c r="Q53" s="56"/>
    </row>
    <row r="54">
      <c r="A54" s="11" t="s">
        <v>5</v>
      </c>
      <c r="B54" s="177" t="s">
        <v>84</v>
      </c>
      <c r="C54" s="148">
        <v>12.0</v>
      </c>
      <c r="D54" s="25" t="str">
        <f t="shared" si="3"/>
        <v>TER.</v>
      </c>
      <c r="E54" s="13">
        <f t="shared" si="2"/>
        <v>10</v>
      </c>
      <c r="F54" s="87">
        <v>44473.0</v>
      </c>
      <c r="G54" s="56"/>
      <c r="H54" s="101">
        <f>SUM(H55:H63)</f>
        <v>357.62</v>
      </c>
      <c r="I54" s="23" t="s">
        <v>17</v>
      </c>
      <c r="J54" s="40"/>
      <c r="K54" s="56"/>
      <c r="L54" s="56"/>
      <c r="M54" s="56"/>
      <c r="N54" s="56"/>
      <c r="O54" s="56"/>
      <c r="P54" s="56"/>
      <c r="Q54" s="56"/>
    </row>
    <row r="55" outlineLevel="1">
      <c r="A55" s="11" t="s">
        <v>40</v>
      </c>
      <c r="B55" s="198" t="s">
        <v>507</v>
      </c>
      <c r="C55" s="194"/>
      <c r="D55" s="195"/>
      <c r="E55" s="210">
        <f t="shared" si="2"/>
        <v>10</v>
      </c>
      <c r="F55" s="196">
        <v>44444.0</v>
      </c>
      <c r="G55" s="70"/>
      <c r="H55" s="151">
        <v>107.39</v>
      </c>
      <c r="I55" s="70"/>
      <c r="J55" s="79" t="s">
        <v>508</v>
      </c>
      <c r="K55" s="70"/>
      <c r="L55" s="70"/>
      <c r="M55" s="70"/>
      <c r="N55" s="70"/>
      <c r="O55" s="70"/>
      <c r="P55" s="70"/>
      <c r="Q55" s="70"/>
    </row>
    <row r="56" outlineLevel="1">
      <c r="A56" s="11" t="s">
        <v>40</v>
      </c>
      <c r="B56" s="72" t="s">
        <v>509</v>
      </c>
      <c r="C56" s="155"/>
      <c r="D56" s="156"/>
      <c r="E56" s="193">
        <f t="shared" si="2"/>
        <v>10</v>
      </c>
      <c r="F56" s="54">
        <v>44450.0</v>
      </c>
      <c r="G56" s="31"/>
      <c r="H56" s="153">
        <v>59.99</v>
      </c>
      <c r="I56" s="31"/>
      <c r="J56" s="72" t="s">
        <v>510</v>
      </c>
      <c r="K56" s="77"/>
      <c r="L56" s="77"/>
      <c r="M56" s="77"/>
      <c r="N56" s="77"/>
      <c r="O56" s="77"/>
      <c r="P56" s="77"/>
      <c r="Q56" s="77"/>
    </row>
    <row r="57" outlineLevel="1">
      <c r="A57" s="11" t="s">
        <v>40</v>
      </c>
      <c r="B57" s="79" t="s">
        <v>509</v>
      </c>
      <c r="C57" s="194"/>
      <c r="D57" s="195"/>
      <c r="E57" s="193">
        <f t="shared" si="2"/>
        <v>10</v>
      </c>
      <c r="F57" s="196">
        <v>44452.0</v>
      </c>
      <c r="G57" s="70"/>
      <c r="H57" s="151">
        <v>59.98</v>
      </c>
      <c r="I57" s="70"/>
      <c r="J57" s="79" t="s">
        <v>510</v>
      </c>
      <c r="K57" s="84"/>
      <c r="L57" s="84"/>
      <c r="M57" s="84"/>
      <c r="N57" s="84"/>
      <c r="O57" s="84"/>
      <c r="P57" s="84"/>
      <c r="Q57" s="84"/>
    </row>
    <row r="58" outlineLevel="1">
      <c r="A58" s="11" t="s">
        <v>40</v>
      </c>
      <c r="B58" s="72" t="s">
        <v>133</v>
      </c>
      <c r="C58" s="155"/>
      <c r="D58" s="156"/>
      <c r="E58" s="193">
        <f t="shared" si="2"/>
        <v>10</v>
      </c>
      <c r="F58" s="196">
        <v>44452.0</v>
      </c>
      <c r="G58" s="31"/>
      <c r="H58" s="153">
        <v>31.49</v>
      </c>
      <c r="I58" s="157"/>
      <c r="J58" s="72" t="s">
        <v>511</v>
      </c>
      <c r="K58" s="77"/>
      <c r="L58" s="77"/>
      <c r="M58" s="77"/>
      <c r="N58" s="77"/>
      <c r="O58" s="77"/>
      <c r="P58" s="77"/>
      <c r="Q58" s="77"/>
    </row>
    <row r="59" outlineLevel="1">
      <c r="A59" s="11" t="s">
        <v>40</v>
      </c>
      <c r="B59" s="79" t="s">
        <v>512</v>
      </c>
      <c r="C59" s="194"/>
      <c r="D59" s="195"/>
      <c r="E59" s="193">
        <f t="shared" si="2"/>
        <v>10</v>
      </c>
      <c r="F59" s="196">
        <v>44459.0</v>
      </c>
      <c r="G59" s="70"/>
      <c r="H59" s="151">
        <v>39.99</v>
      </c>
      <c r="I59" s="70"/>
      <c r="J59" s="79" t="s">
        <v>513</v>
      </c>
      <c r="K59" s="84"/>
      <c r="L59" s="84"/>
      <c r="M59" s="84"/>
      <c r="N59" s="84"/>
      <c r="O59" s="84"/>
      <c r="P59" s="84"/>
      <c r="Q59" s="84"/>
    </row>
    <row r="60" outlineLevel="1">
      <c r="A60" s="11" t="s">
        <v>40</v>
      </c>
      <c r="B60" s="72" t="s">
        <v>512</v>
      </c>
      <c r="C60" s="155"/>
      <c r="D60" s="156"/>
      <c r="E60" s="193">
        <f t="shared" si="2"/>
        <v>10</v>
      </c>
      <c r="F60" s="196">
        <v>44459.0</v>
      </c>
      <c r="G60" s="31"/>
      <c r="H60" s="153">
        <v>3.89</v>
      </c>
      <c r="I60" s="31"/>
      <c r="J60" s="72" t="s">
        <v>513</v>
      </c>
      <c r="K60" s="77"/>
      <c r="L60" s="77"/>
      <c r="M60" s="77"/>
      <c r="N60" s="77"/>
      <c r="O60" s="77"/>
      <c r="P60" s="77"/>
      <c r="Q60" s="77"/>
    </row>
    <row r="61" outlineLevel="1">
      <c r="A61" s="11" t="s">
        <v>40</v>
      </c>
      <c r="B61" s="79" t="s">
        <v>87</v>
      </c>
      <c r="C61" s="194"/>
      <c r="D61" s="195"/>
      <c r="E61" s="193">
        <f t="shared" si="2"/>
        <v>10</v>
      </c>
      <c r="F61" s="196">
        <v>44465.0</v>
      </c>
      <c r="G61" s="70"/>
      <c r="H61" s="151">
        <v>9.9</v>
      </c>
      <c r="I61" s="70"/>
      <c r="J61" s="83" t="s">
        <v>88</v>
      </c>
      <c r="K61" s="84"/>
      <c r="L61" s="84"/>
      <c r="M61" s="84"/>
      <c r="N61" s="84"/>
      <c r="O61" s="84"/>
      <c r="P61" s="84"/>
      <c r="Q61" s="84"/>
    </row>
    <row r="62" outlineLevel="1">
      <c r="A62" s="11" t="s">
        <v>40</v>
      </c>
      <c r="B62" s="72" t="s">
        <v>514</v>
      </c>
      <c r="C62" s="155"/>
      <c r="D62" s="156"/>
      <c r="E62" s="193">
        <f t="shared" si="2"/>
        <v>10</v>
      </c>
      <c r="F62" s="54">
        <v>44467.0</v>
      </c>
      <c r="G62" s="31"/>
      <c r="H62" s="153">
        <v>39.99</v>
      </c>
      <c r="I62" s="31"/>
      <c r="J62" s="72" t="s">
        <v>513</v>
      </c>
      <c r="K62" s="77"/>
      <c r="L62" s="77"/>
      <c r="M62" s="77"/>
      <c r="N62" s="77"/>
      <c r="O62" s="77"/>
      <c r="P62" s="77"/>
      <c r="Q62" s="77"/>
    </row>
    <row r="63" outlineLevel="1">
      <c r="A63" s="11" t="s">
        <v>40</v>
      </c>
      <c r="B63" s="76" t="s">
        <v>515</v>
      </c>
      <c r="C63" s="155"/>
      <c r="D63" s="156"/>
      <c r="E63" s="193">
        <f t="shared" si="2"/>
        <v>10</v>
      </c>
      <c r="F63" s="54">
        <v>44470.0</v>
      </c>
      <c r="G63" s="31"/>
      <c r="H63" s="32">
        <v>5.0</v>
      </c>
      <c r="I63" s="31"/>
      <c r="J63" s="76" t="s">
        <v>516</v>
      </c>
      <c r="K63" s="77"/>
      <c r="L63" s="77"/>
      <c r="M63" s="77"/>
      <c r="N63" s="77"/>
      <c r="O63" s="77"/>
      <c r="P63" s="77"/>
      <c r="Q63" s="77"/>
    </row>
    <row r="64">
      <c r="A64" s="215" t="s">
        <v>5</v>
      </c>
      <c r="B64" s="198" t="s">
        <v>73</v>
      </c>
      <c r="C64" s="80">
        <v>14.0</v>
      </c>
      <c r="D64" s="81" t="str">
        <f t="shared" ref="D64:D114" si="4">UPPER(TEXT(WEEKDAY(DATEVALUE(CONCATENATE(C64,"/",$C$3,"/",$A$1))),"DDD"))</f>
        <v>QUI.</v>
      </c>
      <c r="E64" s="207">
        <f t="shared" si="2"/>
        <v>10</v>
      </c>
      <c r="F64" s="35"/>
      <c r="G64" s="70"/>
      <c r="H64" s="36">
        <v>35.0</v>
      </c>
      <c r="I64" s="152" t="s">
        <v>17</v>
      </c>
      <c r="J64" s="199" t="s">
        <v>20</v>
      </c>
      <c r="K64" s="70"/>
      <c r="L64" s="70"/>
      <c r="M64" s="70"/>
      <c r="N64" s="70"/>
      <c r="O64" s="70"/>
      <c r="P64" s="70"/>
      <c r="Q64" s="70"/>
    </row>
    <row r="65">
      <c r="A65" s="11" t="s">
        <v>5</v>
      </c>
      <c r="B65" s="198" t="s">
        <v>260</v>
      </c>
      <c r="C65" s="80">
        <v>15.0</v>
      </c>
      <c r="D65" s="81" t="str">
        <f t="shared" si="4"/>
        <v>SEX.</v>
      </c>
      <c r="E65" s="13">
        <f t="shared" si="2"/>
        <v>10</v>
      </c>
      <c r="F65" s="87"/>
      <c r="G65" s="36">
        <v>5100.0</v>
      </c>
      <c r="H65" s="70"/>
      <c r="I65" s="78" t="s">
        <v>261</v>
      </c>
      <c r="J65" s="103" t="s">
        <v>64</v>
      </c>
      <c r="K65" s="70"/>
      <c r="L65" s="70"/>
      <c r="M65" s="70"/>
      <c r="N65" s="70"/>
      <c r="O65" s="70"/>
      <c r="P65" s="70"/>
      <c r="Q65" s="70"/>
    </row>
    <row r="66">
      <c r="A66" s="11" t="s">
        <v>25</v>
      </c>
      <c r="B66" s="39" t="s">
        <v>26</v>
      </c>
      <c r="C66" s="66">
        <v>15.0</v>
      </c>
      <c r="D66" s="14" t="str">
        <f t="shared" si="4"/>
        <v>SEX.</v>
      </c>
      <c r="E66" s="13">
        <f t="shared" si="2"/>
        <v>10</v>
      </c>
      <c r="F66" s="87"/>
      <c r="G66" s="45"/>
      <c r="H66" s="46">
        <v>5100.0</v>
      </c>
      <c r="I66" s="67" t="s">
        <v>261</v>
      </c>
      <c r="J66" s="42"/>
      <c r="K66" s="68"/>
      <c r="L66" s="68"/>
      <c r="M66" s="68"/>
      <c r="N66" s="68"/>
      <c r="O66" s="68"/>
      <c r="P66" s="68"/>
      <c r="Q66" s="68"/>
    </row>
    <row r="67">
      <c r="A67" s="11" t="s">
        <v>25</v>
      </c>
      <c r="B67" s="61" t="s">
        <v>27</v>
      </c>
      <c r="C67" s="148">
        <v>15.0</v>
      </c>
      <c r="D67" s="25" t="str">
        <f t="shared" si="4"/>
        <v>SEX.</v>
      </c>
      <c r="E67" s="13">
        <f t="shared" si="2"/>
        <v>10</v>
      </c>
      <c r="F67" s="87"/>
      <c r="G67" s="63">
        <v>5100.0</v>
      </c>
      <c r="H67" s="56"/>
      <c r="I67" s="64" t="s">
        <v>17</v>
      </c>
      <c r="J67" s="40"/>
      <c r="K67" s="59"/>
      <c r="L67" s="59"/>
      <c r="M67" s="59"/>
      <c r="N67" s="59"/>
      <c r="O67" s="59"/>
      <c r="P67" s="59"/>
      <c r="Q67" s="59"/>
    </row>
    <row r="68">
      <c r="A68" s="11" t="s">
        <v>5</v>
      </c>
      <c r="B68" s="39" t="s">
        <v>102</v>
      </c>
      <c r="C68" s="13">
        <v>15.0</v>
      </c>
      <c r="D68" s="14" t="str">
        <f t="shared" si="4"/>
        <v>SEX.</v>
      </c>
      <c r="E68" s="13">
        <f t="shared" si="2"/>
        <v>10</v>
      </c>
      <c r="F68" s="87"/>
      <c r="G68" s="45"/>
      <c r="H68" s="46">
        <v>176.16</v>
      </c>
      <c r="I68" s="58" t="s">
        <v>17</v>
      </c>
      <c r="J68" s="21" t="s">
        <v>75</v>
      </c>
      <c r="K68" s="39"/>
      <c r="L68" s="39"/>
      <c r="M68" s="39"/>
      <c r="N68" s="39"/>
      <c r="O68" s="39"/>
      <c r="P68" s="39"/>
      <c r="Q68" s="39"/>
    </row>
    <row r="69">
      <c r="A69" s="11" t="s">
        <v>5</v>
      </c>
      <c r="B69" s="61" t="s">
        <v>103</v>
      </c>
      <c r="C69" s="13">
        <v>15.0</v>
      </c>
      <c r="D69" s="14" t="str">
        <f t="shared" si="4"/>
        <v>SEX.</v>
      </c>
      <c r="E69" s="13">
        <f t="shared" si="2"/>
        <v>10</v>
      </c>
      <c r="F69" s="87"/>
      <c r="G69" s="56"/>
      <c r="H69" s="63">
        <v>176.16</v>
      </c>
      <c r="I69" s="58" t="s">
        <v>17</v>
      </c>
      <c r="J69" s="21" t="s">
        <v>75</v>
      </c>
      <c r="K69" s="61"/>
      <c r="L69" s="61"/>
      <c r="M69" s="61"/>
      <c r="N69" s="61"/>
      <c r="O69" s="61"/>
      <c r="P69" s="61"/>
      <c r="Q69" s="61"/>
    </row>
    <row r="70">
      <c r="A70" s="11" t="s">
        <v>5</v>
      </c>
      <c r="B70" s="39" t="s">
        <v>104</v>
      </c>
      <c r="C70" s="13">
        <v>15.0</v>
      </c>
      <c r="D70" s="14" t="str">
        <f t="shared" si="4"/>
        <v>SEX.</v>
      </c>
      <c r="E70" s="13">
        <f t="shared" si="2"/>
        <v>10</v>
      </c>
      <c r="F70" s="87"/>
      <c r="G70" s="45"/>
      <c r="H70" s="46">
        <v>222.72</v>
      </c>
      <c r="I70" s="58" t="s">
        <v>17</v>
      </c>
      <c r="J70" s="21" t="s">
        <v>75</v>
      </c>
      <c r="K70" s="39"/>
      <c r="L70" s="39"/>
      <c r="M70" s="39"/>
      <c r="N70" s="39"/>
      <c r="O70" s="39"/>
      <c r="P70" s="39"/>
      <c r="Q70" s="39"/>
    </row>
    <row r="71">
      <c r="A71" s="102" t="s">
        <v>5</v>
      </c>
      <c r="B71" s="83" t="s">
        <v>517</v>
      </c>
      <c r="C71" s="80">
        <v>16.0</v>
      </c>
      <c r="D71" s="81" t="str">
        <f t="shared" si="4"/>
        <v>SÁB.</v>
      </c>
      <c r="E71" s="207">
        <f t="shared" si="2"/>
        <v>10</v>
      </c>
      <c r="F71" s="35"/>
      <c r="G71" s="70"/>
      <c r="H71" s="36">
        <v>53.9</v>
      </c>
      <c r="I71" s="78" t="s">
        <v>17</v>
      </c>
      <c r="J71" s="199" t="s">
        <v>20</v>
      </c>
      <c r="K71" s="197"/>
      <c r="L71" s="197"/>
      <c r="M71" s="197"/>
      <c r="N71" s="197"/>
      <c r="O71" s="84"/>
      <c r="P71" s="84"/>
      <c r="Q71" s="84"/>
    </row>
    <row r="72">
      <c r="A72" s="65" t="s">
        <v>5</v>
      </c>
      <c r="B72" s="44" t="s">
        <v>136</v>
      </c>
      <c r="C72" s="13">
        <v>17.0</v>
      </c>
      <c r="D72" s="14" t="str">
        <f t="shared" si="4"/>
        <v>DOM.</v>
      </c>
      <c r="E72" s="13">
        <f t="shared" si="2"/>
        <v>10</v>
      </c>
      <c r="F72" s="14"/>
      <c r="G72" s="43"/>
      <c r="H72" s="46">
        <v>38.0</v>
      </c>
      <c r="I72" s="58" t="s">
        <v>17</v>
      </c>
      <c r="J72" s="42" t="s">
        <v>20</v>
      </c>
      <c r="K72" s="59"/>
      <c r="L72" s="59"/>
      <c r="M72" s="59"/>
      <c r="N72" s="59"/>
      <c r="O72" s="59"/>
      <c r="P72" s="59"/>
      <c r="Q72" s="59"/>
    </row>
    <row r="73">
      <c r="A73" s="11" t="s">
        <v>5</v>
      </c>
      <c r="B73" s="103" t="s">
        <v>490</v>
      </c>
      <c r="C73" s="13">
        <v>17.0</v>
      </c>
      <c r="D73" s="14" t="str">
        <f t="shared" si="4"/>
        <v>DOM.</v>
      </c>
      <c r="E73" s="13">
        <f t="shared" si="2"/>
        <v>10</v>
      </c>
      <c r="F73" s="54"/>
      <c r="G73" s="70"/>
      <c r="H73" s="86">
        <v>11.64</v>
      </c>
      <c r="I73" s="105" t="s">
        <v>17</v>
      </c>
      <c r="J73" s="21" t="s">
        <v>69</v>
      </c>
      <c r="K73" s="84"/>
      <c r="L73" s="84"/>
      <c r="M73" s="84"/>
      <c r="N73" s="84"/>
      <c r="O73" s="84"/>
      <c r="P73" s="84"/>
      <c r="Q73" s="84"/>
    </row>
    <row r="74">
      <c r="A74" s="11" t="s">
        <v>5</v>
      </c>
      <c r="B74" s="179" t="s">
        <v>518</v>
      </c>
      <c r="C74" s="62">
        <v>17.0</v>
      </c>
      <c r="D74" s="25" t="str">
        <f t="shared" si="4"/>
        <v>DOM.</v>
      </c>
      <c r="E74" s="13">
        <f t="shared" si="2"/>
        <v>10</v>
      </c>
      <c r="F74" s="26"/>
      <c r="G74" s="56"/>
      <c r="H74" s="63">
        <v>113.72</v>
      </c>
      <c r="I74" s="33" t="s">
        <v>252</v>
      </c>
      <c r="J74" s="173" t="s">
        <v>22</v>
      </c>
      <c r="K74" s="56"/>
      <c r="L74" s="56"/>
      <c r="M74" s="56"/>
      <c r="N74" s="56"/>
      <c r="O74" s="56"/>
      <c r="P74" s="56"/>
      <c r="Q74" s="56"/>
    </row>
    <row r="75">
      <c r="A75" s="11" t="s">
        <v>5</v>
      </c>
      <c r="B75" s="42" t="s">
        <v>109</v>
      </c>
      <c r="C75" s="13">
        <v>18.0</v>
      </c>
      <c r="D75" s="14" t="str">
        <f t="shared" si="4"/>
        <v>SEG.</v>
      </c>
      <c r="E75" s="13">
        <f t="shared" si="2"/>
        <v>10</v>
      </c>
      <c r="F75" s="14"/>
      <c r="G75" s="53">
        <v>2500.0</v>
      </c>
      <c r="H75" s="53"/>
      <c r="I75" s="58" t="s">
        <v>15</v>
      </c>
      <c r="J75" s="44" t="s">
        <v>411</v>
      </c>
      <c r="K75" s="42"/>
      <c r="L75" s="96"/>
      <c r="M75" s="21"/>
      <c r="N75" s="21"/>
      <c r="O75" s="39"/>
      <c r="P75" s="39"/>
      <c r="Q75" s="39"/>
    </row>
    <row r="76">
      <c r="A76" s="11" t="s">
        <v>5</v>
      </c>
      <c r="B76" s="44" t="s">
        <v>114</v>
      </c>
      <c r="C76" s="13">
        <v>18.0</v>
      </c>
      <c r="D76" s="14" t="str">
        <f t="shared" si="4"/>
        <v>SEG.</v>
      </c>
      <c r="E76" s="13">
        <f t="shared" si="2"/>
        <v>10</v>
      </c>
      <c r="F76" s="94"/>
      <c r="G76" s="45"/>
      <c r="H76" s="53">
        <v>2500.0</v>
      </c>
      <c r="I76" s="58" t="s">
        <v>15</v>
      </c>
      <c r="J76" s="38" t="s">
        <v>115</v>
      </c>
      <c r="K76" s="39"/>
      <c r="L76" s="39"/>
      <c r="M76" s="39"/>
      <c r="N76" s="39"/>
      <c r="O76" s="39"/>
      <c r="P76" s="39"/>
      <c r="Q76" s="39"/>
    </row>
    <row r="77">
      <c r="A77" s="215" t="s">
        <v>5</v>
      </c>
      <c r="B77" s="198" t="s">
        <v>305</v>
      </c>
      <c r="C77" s="150">
        <v>18.0</v>
      </c>
      <c r="D77" s="81" t="str">
        <f t="shared" si="4"/>
        <v>SEG.</v>
      </c>
      <c r="E77" s="210">
        <f t="shared" si="2"/>
        <v>10</v>
      </c>
      <c r="F77" s="35"/>
      <c r="G77" s="70"/>
      <c r="H77" s="151">
        <v>100.0</v>
      </c>
      <c r="I77" s="78" t="s">
        <v>17</v>
      </c>
      <c r="J77" s="79" t="s">
        <v>306</v>
      </c>
      <c r="K77" s="70"/>
      <c r="L77" s="70"/>
      <c r="M77" s="70"/>
      <c r="N77" s="70"/>
      <c r="O77" s="70"/>
      <c r="P77" s="70"/>
      <c r="Q77" s="70"/>
    </row>
    <row r="78">
      <c r="A78" s="11" t="s">
        <v>5</v>
      </c>
      <c r="B78" s="39" t="s">
        <v>125</v>
      </c>
      <c r="C78" s="13">
        <v>20.0</v>
      </c>
      <c r="D78" s="14" t="str">
        <f t="shared" si="4"/>
        <v>QUA.</v>
      </c>
      <c r="E78" s="13">
        <f t="shared" si="2"/>
        <v>10</v>
      </c>
      <c r="F78" s="87"/>
      <c r="G78" s="45"/>
      <c r="H78" s="46">
        <v>373.41</v>
      </c>
      <c r="I78" s="58" t="s">
        <v>17</v>
      </c>
      <c r="J78" s="21" t="s">
        <v>126</v>
      </c>
      <c r="K78" s="39"/>
      <c r="L78" s="39"/>
      <c r="M78" s="39"/>
      <c r="N78" s="39"/>
      <c r="O78" s="39"/>
      <c r="P78" s="39"/>
      <c r="Q78" s="39"/>
    </row>
    <row r="79">
      <c r="A79" s="11" t="s">
        <v>5</v>
      </c>
      <c r="B79" s="90" t="s">
        <v>91</v>
      </c>
      <c r="C79" s="13">
        <v>20.0</v>
      </c>
      <c r="D79" s="14" t="str">
        <f t="shared" si="4"/>
        <v>QUA.</v>
      </c>
      <c r="E79" s="13">
        <f t="shared" si="2"/>
        <v>10</v>
      </c>
      <c r="F79" s="26"/>
      <c r="G79" s="56"/>
      <c r="H79" s="88">
        <v>535.01</v>
      </c>
      <c r="I79" s="58" t="s">
        <v>17</v>
      </c>
      <c r="J79" s="21" t="s">
        <v>92</v>
      </c>
      <c r="K79" s="55"/>
      <c r="L79" s="55"/>
      <c r="M79" s="55"/>
      <c r="N79" s="55"/>
      <c r="O79" s="55"/>
      <c r="P79" s="55"/>
      <c r="Q79" s="55"/>
    </row>
    <row r="80">
      <c r="A80" s="11" t="s">
        <v>5</v>
      </c>
      <c r="B80" s="90" t="s">
        <v>91</v>
      </c>
      <c r="C80" s="13">
        <v>20.0</v>
      </c>
      <c r="D80" s="14" t="str">
        <f t="shared" si="4"/>
        <v>QUA.</v>
      </c>
      <c r="E80" s="13">
        <f t="shared" si="2"/>
        <v>10</v>
      </c>
      <c r="F80" s="26"/>
      <c r="G80" s="56"/>
      <c r="H80" s="88">
        <v>240.0</v>
      </c>
      <c r="I80" s="58" t="s">
        <v>249</v>
      </c>
      <c r="J80" s="21" t="s">
        <v>92</v>
      </c>
      <c r="K80" s="55"/>
      <c r="L80" s="55"/>
      <c r="M80" s="55"/>
      <c r="N80" s="55"/>
      <c r="O80" s="55"/>
      <c r="P80" s="55"/>
      <c r="Q80" s="55"/>
    </row>
    <row r="81">
      <c r="A81" s="11" t="s">
        <v>5</v>
      </c>
      <c r="B81" s="179" t="s">
        <v>21</v>
      </c>
      <c r="C81" s="62">
        <v>21.0</v>
      </c>
      <c r="D81" s="25" t="str">
        <f t="shared" si="4"/>
        <v>QUI.</v>
      </c>
      <c r="E81" s="13">
        <f t="shared" si="2"/>
        <v>10</v>
      </c>
      <c r="F81" s="26"/>
      <c r="G81" s="56"/>
      <c r="H81" s="63">
        <v>279.86</v>
      </c>
      <c r="I81" s="33" t="s">
        <v>252</v>
      </c>
      <c r="J81" s="173" t="s">
        <v>22</v>
      </c>
      <c r="K81" s="56"/>
      <c r="L81" s="56"/>
      <c r="M81" s="56"/>
      <c r="N81" s="56"/>
      <c r="O81" s="56"/>
      <c r="P81" s="56"/>
      <c r="Q81" s="56"/>
    </row>
    <row r="82">
      <c r="A82" s="11" t="s">
        <v>5</v>
      </c>
      <c r="B82" s="44" t="s">
        <v>519</v>
      </c>
      <c r="C82" s="13">
        <v>22.0</v>
      </c>
      <c r="D82" s="14" t="str">
        <f t="shared" si="4"/>
        <v>SEX.</v>
      </c>
      <c r="E82" s="13">
        <f t="shared" si="2"/>
        <v>10</v>
      </c>
      <c r="F82" s="85"/>
      <c r="G82" s="45"/>
      <c r="H82" s="46">
        <v>15.73</v>
      </c>
      <c r="I82" s="58" t="s">
        <v>17</v>
      </c>
      <c r="J82" s="21" t="s">
        <v>20</v>
      </c>
      <c r="K82" s="21"/>
      <c r="L82" s="21"/>
      <c r="M82" s="21"/>
      <c r="N82" s="21"/>
      <c r="O82" s="39"/>
      <c r="P82" s="39"/>
      <c r="Q82" s="39"/>
    </row>
    <row r="83">
      <c r="A83" s="11" t="s">
        <v>5</v>
      </c>
      <c r="B83" s="34" t="s">
        <v>373</v>
      </c>
      <c r="C83" s="13">
        <v>22.0</v>
      </c>
      <c r="D83" s="14" t="str">
        <f t="shared" si="4"/>
        <v>SEX.</v>
      </c>
      <c r="E83" s="13">
        <f t="shared" si="2"/>
        <v>10</v>
      </c>
      <c r="F83" s="94"/>
      <c r="G83" s="56"/>
      <c r="H83" s="63">
        <v>0.0</v>
      </c>
      <c r="I83" s="58" t="s">
        <v>17</v>
      </c>
      <c r="J83" s="21" t="s">
        <v>128</v>
      </c>
      <c r="K83" s="61"/>
      <c r="L83" s="61"/>
      <c r="M83" s="61"/>
      <c r="N83" s="61"/>
      <c r="O83" s="61"/>
      <c r="P83" s="61"/>
      <c r="Q83" s="61"/>
    </row>
    <row r="84">
      <c r="A84" s="11" t="s">
        <v>5</v>
      </c>
      <c r="B84" s="99" t="s">
        <v>119</v>
      </c>
      <c r="C84" s="13">
        <v>22.0</v>
      </c>
      <c r="D84" s="14" t="str">
        <f t="shared" si="4"/>
        <v>SEX.</v>
      </c>
      <c r="E84" s="13">
        <f t="shared" si="2"/>
        <v>10</v>
      </c>
      <c r="F84" s="35"/>
      <c r="G84" s="36">
        <v>0.03</v>
      </c>
      <c r="H84" s="70"/>
      <c r="I84" s="47" t="s">
        <v>13</v>
      </c>
      <c r="J84" s="21" t="s">
        <v>120</v>
      </c>
      <c r="K84" s="84"/>
      <c r="L84" s="84"/>
      <c r="M84" s="84"/>
      <c r="N84" s="84"/>
      <c r="O84" s="84"/>
      <c r="P84" s="84"/>
      <c r="Q84" s="84"/>
    </row>
    <row r="85">
      <c r="A85" s="11" t="s">
        <v>5</v>
      </c>
      <c r="B85" s="39" t="s">
        <v>134</v>
      </c>
      <c r="C85" s="13">
        <v>22.0</v>
      </c>
      <c r="D85" s="14" t="str">
        <f t="shared" si="4"/>
        <v>SEX.</v>
      </c>
      <c r="E85" s="13">
        <f t="shared" si="2"/>
        <v>10</v>
      </c>
      <c r="F85" s="43"/>
      <c r="G85" s="45"/>
      <c r="H85" s="46">
        <v>275.83</v>
      </c>
      <c r="I85" s="60" t="s">
        <v>13</v>
      </c>
      <c r="J85" s="21" t="s">
        <v>135</v>
      </c>
      <c r="K85" s="39"/>
      <c r="L85" s="39"/>
      <c r="M85" s="39"/>
      <c r="N85" s="39"/>
      <c r="O85" s="39"/>
      <c r="P85" s="39"/>
      <c r="Q85" s="39"/>
    </row>
    <row r="86">
      <c r="A86" s="97" t="s">
        <v>5</v>
      </c>
      <c r="B86" s="76" t="s">
        <v>520</v>
      </c>
      <c r="C86" s="73">
        <v>22.0</v>
      </c>
      <c r="D86" s="74" t="str">
        <f t="shared" si="4"/>
        <v>SEX.</v>
      </c>
      <c r="E86" s="193">
        <f t="shared" si="2"/>
        <v>10</v>
      </c>
      <c r="F86" s="30"/>
      <c r="G86" s="31"/>
      <c r="H86" s="32">
        <v>9.78</v>
      </c>
      <c r="I86" s="71" t="s">
        <v>17</v>
      </c>
      <c r="J86" s="72" t="s">
        <v>485</v>
      </c>
      <c r="K86" s="77"/>
      <c r="L86" s="77"/>
      <c r="M86" s="77"/>
      <c r="N86" s="77"/>
      <c r="O86" s="77"/>
      <c r="P86" s="77"/>
      <c r="Q86" s="77"/>
    </row>
    <row r="87">
      <c r="A87" s="78" t="s">
        <v>5</v>
      </c>
      <c r="B87" s="79" t="s">
        <v>117</v>
      </c>
      <c r="C87" s="80">
        <v>23.0</v>
      </c>
      <c r="D87" s="81" t="str">
        <f t="shared" si="4"/>
        <v>SÁB.</v>
      </c>
      <c r="E87" s="207">
        <f t="shared" si="2"/>
        <v>10</v>
      </c>
      <c r="F87" s="35"/>
      <c r="G87" s="70"/>
      <c r="H87" s="151">
        <v>20.0</v>
      </c>
      <c r="I87" s="78" t="s">
        <v>17</v>
      </c>
      <c r="J87" s="199" t="s">
        <v>118</v>
      </c>
      <c r="K87" s="84"/>
      <c r="L87" s="84"/>
      <c r="M87" s="84"/>
      <c r="N87" s="84"/>
      <c r="O87" s="84"/>
      <c r="P87" s="84"/>
      <c r="Q87" s="84"/>
    </row>
    <row r="88">
      <c r="A88" s="11" t="s">
        <v>5</v>
      </c>
      <c r="B88" s="44" t="s">
        <v>521</v>
      </c>
      <c r="C88" s="13">
        <v>23.0</v>
      </c>
      <c r="D88" s="14" t="str">
        <f t="shared" si="4"/>
        <v>SÁB.</v>
      </c>
      <c r="E88" s="13">
        <f t="shared" si="2"/>
        <v>10</v>
      </c>
      <c r="F88" s="85"/>
      <c r="G88" s="45"/>
      <c r="H88" s="46">
        <v>40.0</v>
      </c>
      <c r="I88" s="58" t="s">
        <v>17</v>
      </c>
      <c r="J88" s="21" t="s">
        <v>522</v>
      </c>
      <c r="K88" s="21"/>
      <c r="L88" s="21"/>
      <c r="M88" s="21"/>
      <c r="N88" s="21"/>
      <c r="O88" s="39"/>
      <c r="P88" s="39"/>
      <c r="Q88" s="39"/>
    </row>
    <row r="89">
      <c r="A89" s="11" t="s">
        <v>5</v>
      </c>
      <c r="B89" s="44" t="s">
        <v>523</v>
      </c>
      <c r="C89" s="13">
        <v>23.0</v>
      </c>
      <c r="D89" s="14" t="str">
        <f t="shared" si="4"/>
        <v>SÁB.</v>
      </c>
      <c r="E89" s="13">
        <f t="shared" si="2"/>
        <v>10</v>
      </c>
      <c r="F89" s="85"/>
      <c r="G89" s="45"/>
      <c r="H89" s="46">
        <v>210.0</v>
      </c>
      <c r="I89" s="58" t="s">
        <v>17</v>
      </c>
      <c r="J89" s="21" t="s">
        <v>524</v>
      </c>
      <c r="K89" s="21"/>
      <c r="L89" s="21"/>
      <c r="M89" s="21"/>
      <c r="N89" s="21"/>
      <c r="O89" s="39"/>
      <c r="P89" s="39"/>
      <c r="Q89" s="39"/>
    </row>
    <row r="90">
      <c r="A90" s="11" t="s">
        <v>5</v>
      </c>
      <c r="B90" s="44" t="s">
        <v>525</v>
      </c>
      <c r="C90" s="13">
        <v>23.0</v>
      </c>
      <c r="D90" s="14" t="str">
        <f t="shared" si="4"/>
        <v>SÁB.</v>
      </c>
      <c r="E90" s="13">
        <f t="shared" si="2"/>
        <v>10</v>
      </c>
      <c r="F90" s="85"/>
      <c r="G90" s="45"/>
      <c r="H90" s="46">
        <v>99.99</v>
      </c>
      <c r="I90" s="58" t="s">
        <v>17</v>
      </c>
      <c r="J90" s="21" t="s">
        <v>526</v>
      </c>
      <c r="K90" s="21"/>
      <c r="L90" s="21"/>
      <c r="M90" s="21"/>
      <c r="N90" s="21"/>
      <c r="O90" s="39"/>
      <c r="P90" s="39"/>
      <c r="Q90" s="39"/>
    </row>
    <row r="91">
      <c r="A91" s="11" t="s">
        <v>5</v>
      </c>
      <c r="B91" s="44" t="s">
        <v>527</v>
      </c>
      <c r="C91" s="13">
        <v>23.0</v>
      </c>
      <c r="D91" s="14" t="str">
        <f t="shared" si="4"/>
        <v>SÁB.</v>
      </c>
      <c r="E91" s="13">
        <f t="shared" si="2"/>
        <v>10</v>
      </c>
      <c r="F91" s="85"/>
      <c r="G91" s="45"/>
      <c r="H91" s="46">
        <v>10.0</v>
      </c>
      <c r="I91" s="58" t="s">
        <v>17</v>
      </c>
      <c r="J91" s="21" t="s">
        <v>528</v>
      </c>
      <c r="K91" s="21"/>
      <c r="L91" s="21"/>
      <c r="M91" s="21"/>
      <c r="N91" s="21"/>
      <c r="O91" s="39"/>
      <c r="P91" s="39"/>
      <c r="Q91" s="39"/>
    </row>
    <row r="92">
      <c r="A92" s="11" t="s">
        <v>5</v>
      </c>
      <c r="B92" s="44" t="s">
        <v>529</v>
      </c>
      <c r="C92" s="13">
        <v>23.0</v>
      </c>
      <c r="D92" s="14" t="str">
        <f t="shared" si="4"/>
        <v>SÁB.</v>
      </c>
      <c r="E92" s="13">
        <f t="shared" si="2"/>
        <v>10</v>
      </c>
      <c r="F92" s="85"/>
      <c r="G92" s="45"/>
      <c r="H92" s="46">
        <v>7.0</v>
      </c>
      <c r="I92" s="58" t="s">
        <v>17</v>
      </c>
      <c r="J92" s="21" t="s">
        <v>29</v>
      </c>
      <c r="K92" s="21"/>
      <c r="L92" s="21"/>
      <c r="M92" s="21"/>
      <c r="N92" s="21"/>
      <c r="O92" s="39"/>
      <c r="P92" s="39"/>
      <c r="Q92" s="39"/>
    </row>
    <row r="93">
      <c r="A93" s="11" t="s">
        <v>5</v>
      </c>
      <c r="B93" s="179" t="s">
        <v>530</v>
      </c>
      <c r="C93" s="62">
        <v>24.0</v>
      </c>
      <c r="D93" s="25" t="str">
        <f t="shared" si="4"/>
        <v>DOM.</v>
      </c>
      <c r="E93" s="13">
        <f t="shared" si="2"/>
        <v>10</v>
      </c>
      <c r="F93" s="26"/>
      <c r="G93" s="56"/>
      <c r="H93" s="63">
        <v>76.18</v>
      </c>
      <c r="I93" s="33" t="s">
        <v>17</v>
      </c>
      <c r="J93" s="173" t="s">
        <v>22</v>
      </c>
      <c r="K93" s="56"/>
      <c r="L93" s="56"/>
      <c r="M93" s="56"/>
      <c r="N93" s="56"/>
      <c r="O93" s="56"/>
      <c r="P93" s="56"/>
      <c r="Q93" s="56"/>
    </row>
    <row r="94">
      <c r="A94" s="11" t="s">
        <v>5</v>
      </c>
      <c r="B94" s="103" t="s">
        <v>530</v>
      </c>
      <c r="C94" s="13">
        <v>24.0</v>
      </c>
      <c r="D94" s="14" t="str">
        <f t="shared" si="4"/>
        <v>DOM.</v>
      </c>
      <c r="E94" s="13">
        <f t="shared" si="2"/>
        <v>10</v>
      </c>
      <c r="F94" s="54"/>
      <c r="G94" s="70"/>
      <c r="H94" s="86">
        <v>50.0</v>
      </c>
      <c r="I94" s="105" t="s">
        <v>17</v>
      </c>
      <c r="J94" s="21" t="s">
        <v>487</v>
      </c>
      <c r="K94" s="84"/>
      <c r="L94" s="84"/>
      <c r="M94" s="84"/>
      <c r="N94" s="84"/>
      <c r="O94" s="84"/>
      <c r="P94" s="84"/>
      <c r="Q94" s="84"/>
    </row>
    <row r="95">
      <c r="A95" s="215" t="s">
        <v>5</v>
      </c>
      <c r="B95" s="28" t="s">
        <v>148</v>
      </c>
      <c r="C95" s="80">
        <v>25.0</v>
      </c>
      <c r="D95" s="81" t="str">
        <f t="shared" si="4"/>
        <v>SEG.</v>
      </c>
      <c r="E95" s="207">
        <f t="shared" si="2"/>
        <v>10</v>
      </c>
      <c r="F95" s="35"/>
      <c r="G95" s="70"/>
      <c r="H95" s="27">
        <v>67.05</v>
      </c>
      <c r="I95" s="221" t="s">
        <v>13</v>
      </c>
      <c r="J95" s="199" t="s">
        <v>149</v>
      </c>
      <c r="K95" s="28"/>
      <c r="L95" s="28"/>
      <c r="M95" s="28"/>
      <c r="N95" s="28"/>
      <c r="O95" s="28"/>
      <c r="P95" s="28"/>
      <c r="Q95" s="28"/>
    </row>
    <row r="96">
      <c r="A96" s="11" t="s">
        <v>5</v>
      </c>
      <c r="B96" s="29" t="s">
        <v>305</v>
      </c>
      <c r="C96" s="73">
        <v>25.0</v>
      </c>
      <c r="D96" s="74" t="str">
        <f t="shared" si="4"/>
        <v>SEG.</v>
      </c>
      <c r="E96" s="193">
        <f t="shared" si="2"/>
        <v>10</v>
      </c>
      <c r="F96" s="30"/>
      <c r="G96" s="31"/>
      <c r="H96" s="153">
        <v>100.0</v>
      </c>
      <c r="I96" s="71" t="s">
        <v>17</v>
      </c>
      <c r="J96" s="72" t="s">
        <v>306</v>
      </c>
      <c r="K96" s="31"/>
      <c r="L96" s="31"/>
      <c r="M96" s="31"/>
      <c r="N96" s="31"/>
      <c r="O96" s="31"/>
      <c r="P96" s="31"/>
      <c r="Q96" s="31"/>
    </row>
    <row r="97">
      <c r="A97" s="102" t="s">
        <v>5</v>
      </c>
      <c r="B97" s="83" t="s">
        <v>517</v>
      </c>
      <c r="C97" s="80">
        <v>25.0</v>
      </c>
      <c r="D97" s="81" t="str">
        <f t="shared" si="4"/>
        <v>SEG.</v>
      </c>
      <c r="E97" s="207">
        <f t="shared" si="2"/>
        <v>10</v>
      </c>
      <c r="F97" s="35"/>
      <c r="G97" s="70"/>
      <c r="H97" s="36">
        <v>56.9</v>
      </c>
      <c r="I97" s="78" t="s">
        <v>17</v>
      </c>
      <c r="J97" s="199" t="s">
        <v>20</v>
      </c>
      <c r="K97" s="197"/>
      <c r="L97" s="197"/>
      <c r="M97" s="197"/>
      <c r="N97" s="197"/>
      <c r="O97" s="84"/>
      <c r="P97" s="84"/>
      <c r="Q97" s="84"/>
    </row>
    <row r="98">
      <c r="A98" s="23" t="s">
        <v>5</v>
      </c>
      <c r="B98" s="177" t="s">
        <v>304</v>
      </c>
      <c r="C98" s="148">
        <v>28.0</v>
      </c>
      <c r="D98" s="14" t="str">
        <f t="shared" si="4"/>
        <v>QUI.</v>
      </c>
      <c r="E98" s="13">
        <f t="shared" si="2"/>
        <v>10</v>
      </c>
      <c r="F98" s="26"/>
      <c r="G98" s="56"/>
      <c r="H98" s="63">
        <v>7.0</v>
      </c>
      <c r="I98" s="180" t="s">
        <v>17</v>
      </c>
      <c r="J98" s="40" t="s">
        <v>20</v>
      </c>
      <c r="K98" s="56"/>
      <c r="L98" s="56"/>
      <c r="M98" s="56"/>
      <c r="N98" s="56"/>
      <c r="O98" s="56"/>
      <c r="P98" s="56"/>
      <c r="Q98" s="56"/>
    </row>
    <row r="99">
      <c r="A99" s="11" t="s">
        <v>5</v>
      </c>
      <c r="B99" s="40" t="s">
        <v>248</v>
      </c>
      <c r="C99" s="62">
        <v>29.0</v>
      </c>
      <c r="D99" s="25" t="str">
        <f t="shared" si="4"/>
        <v>SEX.</v>
      </c>
      <c r="E99" s="13">
        <f t="shared" si="2"/>
        <v>10</v>
      </c>
      <c r="F99" s="26"/>
      <c r="G99" s="63">
        <v>330.0</v>
      </c>
      <c r="H99" s="101"/>
      <c r="I99" s="60" t="s">
        <v>249</v>
      </c>
      <c r="J99" s="90" t="s">
        <v>253</v>
      </c>
      <c r="K99" s="59"/>
      <c r="L99" s="59"/>
      <c r="M99" s="59"/>
      <c r="N99" s="59"/>
      <c r="O99" s="59"/>
      <c r="P99" s="59"/>
      <c r="Q99" s="59"/>
    </row>
    <row r="100">
      <c r="A100" s="11" t="s">
        <v>5</v>
      </c>
      <c r="B100" s="42" t="s">
        <v>251</v>
      </c>
      <c r="C100" s="66">
        <v>29.0</v>
      </c>
      <c r="D100" s="14" t="str">
        <f t="shared" si="4"/>
        <v>SEX.</v>
      </c>
      <c r="E100" s="13">
        <f t="shared" si="2"/>
        <v>10</v>
      </c>
      <c r="F100" s="43"/>
      <c r="G100" s="46">
        <v>700.0</v>
      </c>
      <c r="H100" s="53"/>
      <c r="I100" s="65" t="s">
        <v>252</v>
      </c>
      <c r="J100" s="42" t="s">
        <v>253</v>
      </c>
      <c r="K100" s="68"/>
      <c r="L100" s="68"/>
      <c r="M100" s="68"/>
      <c r="N100" s="68"/>
      <c r="O100" s="68"/>
      <c r="P100" s="68"/>
      <c r="Q100" s="68"/>
    </row>
    <row r="101">
      <c r="A101" s="11" t="s">
        <v>5</v>
      </c>
      <c r="B101" s="69" t="s">
        <v>531</v>
      </c>
      <c r="C101" s="13">
        <v>29.0</v>
      </c>
      <c r="D101" s="14" t="str">
        <f t="shared" si="4"/>
        <v>SEX.</v>
      </c>
      <c r="E101" s="13">
        <f t="shared" si="2"/>
        <v>10</v>
      </c>
      <c r="F101" s="54"/>
      <c r="G101" s="36">
        <v>8573.26</v>
      </c>
      <c r="H101" s="70"/>
      <c r="I101" s="47" t="s">
        <v>261</v>
      </c>
      <c r="J101" s="21" t="s">
        <v>532</v>
      </c>
      <c r="K101" s="70"/>
      <c r="L101" s="70"/>
      <c r="M101" s="70"/>
      <c r="N101" s="70"/>
      <c r="O101" s="70"/>
      <c r="P101" s="70"/>
      <c r="Q101" s="70"/>
    </row>
    <row r="102">
      <c r="A102" s="11" t="s">
        <v>25</v>
      </c>
      <c r="B102" s="61" t="s">
        <v>26</v>
      </c>
      <c r="C102" s="148">
        <v>29.0</v>
      </c>
      <c r="D102" s="25" t="str">
        <f t="shared" si="4"/>
        <v>SEX.</v>
      </c>
      <c r="E102" s="13">
        <f t="shared" si="2"/>
        <v>10</v>
      </c>
      <c r="F102" s="26"/>
      <c r="G102" s="56"/>
      <c r="H102" s="36">
        <v>8573.26</v>
      </c>
      <c r="I102" s="64" t="s">
        <v>261</v>
      </c>
      <c r="J102" s="40"/>
      <c r="K102" s="59"/>
      <c r="L102" s="59"/>
      <c r="M102" s="59"/>
      <c r="N102" s="59"/>
      <c r="O102" s="59"/>
      <c r="P102" s="59"/>
      <c r="Q102" s="59"/>
    </row>
    <row r="103">
      <c r="A103" s="11" t="s">
        <v>25</v>
      </c>
      <c r="B103" s="39" t="s">
        <v>27</v>
      </c>
      <c r="C103" s="66">
        <v>29.0</v>
      </c>
      <c r="D103" s="14" t="str">
        <f t="shared" si="4"/>
        <v>SEX.</v>
      </c>
      <c r="E103" s="13">
        <f t="shared" si="2"/>
        <v>10</v>
      </c>
      <c r="F103" s="43"/>
      <c r="G103" s="36">
        <v>8573.26</v>
      </c>
      <c r="H103" s="45"/>
      <c r="I103" s="67" t="s">
        <v>17</v>
      </c>
      <c r="J103" s="42"/>
      <c r="K103" s="68"/>
      <c r="L103" s="68"/>
      <c r="M103" s="68"/>
      <c r="N103" s="68"/>
      <c r="O103" s="68"/>
      <c r="P103" s="68"/>
      <c r="Q103" s="68"/>
    </row>
    <row r="104">
      <c r="A104" s="71" t="s">
        <v>5</v>
      </c>
      <c r="B104" s="159" t="s">
        <v>488</v>
      </c>
      <c r="C104" s="73">
        <v>29.0</v>
      </c>
      <c r="D104" s="74" t="str">
        <f t="shared" si="4"/>
        <v>SEX.</v>
      </c>
      <c r="E104" s="13">
        <f t="shared" si="2"/>
        <v>10</v>
      </c>
      <c r="F104" s="30"/>
      <c r="G104" s="31"/>
      <c r="H104" s="46">
        <v>10000.0</v>
      </c>
      <c r="I104" s="75" t="s">
        <v>17</v>
      </c>
      <c r="J104" s="34" t="s">
        <v>191</v>
      </c>
      <c r="K104" s="31"/>
      <c r="L104" s="31"/>
      <c r="M104" s="31"/>
      <c r="N104" s="31"/>
      <c r="O104" s="31"/>
      <c r="P104" s="31"/>
      <c r="Q104" s="31"/>
    </row>
    <row r="105">
      <c r="A105" s="11" t="s">
        <v>5</v>
      </c>
      <c r="B105" s="103" t="s">
        <v>533</v>
      </c>
      <c r="C105" s="13">
        <v>29.0</v>
      </c>
      <c r="D105" s="14" t="str">
        <f t="shared" si="4"/>
        <v>SEX.</v>
      </c>
      <c r="E105" s="13">
        <f t="shared" si="2"/>
        <v>10</v>
      </c>
      <c r="F105" s="54"/>
      <c r="G105" s="70"/>
      <c r="H105" s="86">
        <v>50.0</v>
      </c>
      <c r="I105" s="105" t="s">
        <v>17</v>
      </c>
      <c r="J105" s="21" t="s">
        <v>534</v>
      </c>
      <c r="K105" s="84"/>
      <c r="L105" s="84"/>
      <c r="M105" s="84"/>
      <c r="N105" s="84"/>
      <c r="O105" s="84"/>
      <c r="P105" s="84"/>
      <c r="Q105" s="84"/>
    </row>
    <row r="106">
      <c r="A106" s="11" t="s">
        <v>5</v>
      </c>
      <c r="B106" s="44" t="s">
        <v>535</v>
      </c>
      <c r="C106" s="13">
        <v>30.0</v>
      </c>
      <c r="D106" s="14" t="str">
        <f t="shared" si="4"/>
        <v>SÁB.</v>
      </c>
      <c r="E106" s="13">
        <f t="shared" si="2"/>
        <v>10</v>
      </c>
      <c r="F106" s="14"/>
      <c r="G106" s="46">
        <v>50.0</v>
      </c>
      <c r="H106" s="53"/>
      <c r="I106" s="58" t="s">
        <v>15</v>
      </c>
      <c r="J106" s="44" t="s">
        <v>536</v>
      </c>
      <c r="K106" s="42"/>
      <c r="L106" s="96"/>
      <c r="M106" s="21"/>
      <c r="N106" s="21"/>
      <c r="O106" s="39"/>
      <c r="P106" s="39"/>
      <c r="Q106" s="39"/>
    </row>
    <row r="107">
      <c r="A107" s="11" t="s">
        <v>5</v>
      </c>
      <c r="B107" s="103" t="s">
        <v>537</v>
      </c>
      <c r="C107" s="13">
        <v>30.0</v>
      </c>
      <c r="D107" s="14" t="str">
        <f t="shared" si="4"/>
        <v>SÁB.</v>
      </c>
      <c r="E107" s="13">
        <f t="shared" si="2"/>
        <v>10</v>
      </c>
      <c r="F107" s="54"/>
      <c r="G107" s="70"/>
      <c r="H107" s="86">
        <v>50.0</v>
      </c>
      <c r="I107" s="105" t="s">
        <v>15</v>
      </c>
      <c r="J107" s="21" t="s">
        <v>487</v>
      </c>
      <c r="K107" s="84"/>
      <c r="L107" s="84"/>
      <c r="M107" s="84"/>
      <c r="N107" s="84"/>
      <c r="O107" s="84"/>
      <c r="P107" s="84"/>
      <c r="Q107" s="84"/>
    </row>
    <row r="108">
      <c r="A108" s="11" t="s">
        <v>5</v>
      </c>
      <c r="B108" s="44" t="s">
        <v>538</v>
      </c>
      <c r="C108" s="13">
        <v>30.0</v>
      </c>
      <c r="D108" s="14" t="str">
        <f t="shared" si="4"/>
        <v>SÁB.</v>
      </c>
      <c r="E108" s="13">
        <f t="shared" si="2"/>
        <v>10</v>
      </c>
      <c r="F108" s="14"/>
      <c r="G108" s="46">
        <v>2.2</v>
      </c>
      <c r="H108" s="53"/>
      <c r="I108" s="58" t="s">
        <v>15</v>
      </c>
      <c r="J108" s="44" t="s">
        <v>539</v>
      </c>
      <c r="K108" s="42"/>
      <c r="L108" s="96"/>
      <c r="M108" s="21"/>
      <c r="N108" s="21"/>
      <c r="O108" s="39"/>
      <c r="P108" s="39"/>
      <c r="Q108" s="39"/>
    </row>
    <row r="109">
      <c r="A109" s="11" t="s">
        <v>5</v>
      </c>
      <c r="B109" s="179" t="s">
        <v>21</v>
      </c>
      <c r="C109" s="62">
        <v>30.0</v>
      </c>
      <c r="D109" s="25" t="str">
        <f t="shared" si="4"/>
        <v>SÁB.</v>
      </c>
      <c r="E109" s="13">
        <f t="shared" si="2"/>
        <v>10</v>
      </c>
      <c r="F109" s="26"/>
      <c r="G109" s="56"/>
      <c r="H109" s="63">
        <v>260.35</v>
      </c>
      <c r="I109" s="33" t="s">
        <v>252</v>
      </c>
      <c r="J109" s="173" t="s">
        <v>22</v>
      </c>
      <c r="K109" s="56"/>
      <c r="L109" s="56"/>
      <c r="M109" s="56"/>
      <c r="N109" s="56"/>
      <c r="O109" s="56"/>
      <c r="P109" s="56"/>
      <c r="Q109" s="56"/>
    </row>
    <row r="110">
      <c r="A110" s="78" t="s">
        <v>5</v>
      </c>
      <c r="B110" s="69" t="s">
        <v>540</v>
      </c>
      <c r="C110" s="150">
        <v>30.0</v>
      </c>
      <c r="D110" s="81" t="str">
        <f t="shared" si="4"/>
        <v>SÁB.</v>
      </c>
      <c r="E110" s="207">
        <f t="shared" si="2"/>
        <v>10</v>
      </c>
      <c r="F110" s="35"/>
      <c r="G110" s="70"/>
      <c r="H110" s="36">
        <v>59.9</v>
      </c>
      <c r="I110" s="78" t="s">
        <v>17</v>
      </c>
      <c r="J110" s="79" t="s">
        <v>20</v>
      </c>
      <c r="K110" s="70"/>
      <c r="L110" s="70"/>
      <c r="M110" s="70"/>
      <c r="N110" s="70"/>
      <c r="O110" s="70"/>
      <c r="P110" s="70"/>
      <c r="Q110" s="70"/>
    </row>
    <row r="111">
      <c r="A111" s="78" t="s">
        <v>5</v>
      </c>
      <c r="B111" s="69" t="s">
        <v>541</v>
      </c>
      <c r="C111" s="150">
        <v>31.0</v>
      </c>
      <c r="D111" s="81" t="str">
        <f t="shared" si="4"/>
        <v>DOM.</v>
      </c>
      <c r="E111" s="207">
        <f t="shared" si="2"/>
        <v>10</v>
      </c>
      <c r="F111" s="35"/>
      <c r="G111" s="70"/>
      <c r="H111" s="36">
        <v>60.0</v>
      </c>
      <c r="I111" s="78" t="s">
        <v>17</v>
      </c>
      <c r="J111" s="83" t="s">
        <v>415</v>
      </c>
      <c r="K111" s="70"/>
      <c r="L111" s="70"/>
      <c r="M111" s="70"/>
      <c r="N111" s="70"/>
      <c r="O111" s="70"/>
      <c r="P111" s="70"/>
      <c r="Q111" s="70"/>
    </row>
    <row r="112">
      <c r="A112" s="78" t="s">
        <v>5</v>
      </c>
      <c r="B112" s="69" t="s">
        <v>541</v>
      </c>
      <c r="C112" s="150">
        <v>31.0</v>
      </c>
      <c r="D112" s="81" t="str">
        <f t="shared" si="4"/>
        <v>DOM.</v>
      </c>
      <c r="E112" s="207">
        <f t="shared" si="2"/>
        <v>10</v>
      </c>
      <c r="F112" s="35"/>
      <c r="G112" s="70"/>
      <c r="H112" s="36">
        <v>20.0</v>
      </c>
      <c r="I112" s="78" t="s">
        <v>17</v>
      </c>
      <c r="J112" s="83" t="s">
        <v>415</v>
      </c>
      <c r="K112" s="70"/>
      <c r="L112" s="70"/>
      <c r="M112" s="70"/>
      <c r="N112" s="70"/>
      <c r="O112" s="70"/>
      <c r="P112" s="70"/>
      <c r="Q112" s="70"/>
    </row>
    <row r="113">
      <c r="A113" s="102" t="s">
        <v>5</v>
      </c>
      <c r="B113" s="83" t="s">
        <v>542</v>
      </c>
      <c r="C113" s="13">
        <v>22.0</v>
      </c>
      <c r="D113" s="81" t="str">
        <f t="shared" si="4"/>
        <v>SEX.</v>
      </c>
      <c r="E113" s="13">
        <f t="shared" si="2"/>
        <v>10</v>
      </c>
      <c r="F113" s="35"/>
      <c r="G113" s="70"/>
      <c r="H113" s="63">
        <v>7.0</v>
      </c>
      <c r="I113" s="47" t="s">
        <v>17</v>
      </c>
      <c r="J113" s="79" t="s">
        <v>29</v>
      </c>
      <c r="K113" s="84"/>
      <c r="L113" s="84"/>
      <c r="M113" s="84"/>
      <c r="N113" s="84"/>
      <c r="O113" s="84"/>
      <c r="P113" s="84"/>
      <c r="Q113" s="84"/>
    </row>
    <row r="114">
      <c r="A114" s="11" t="s">
        <v>5</v>
      </c>
      <c r="B114" s="103" t="s">
        <v>543</v>
      </c>
      <c r="C114" s="13">
        <v>2.0</v>
      </c>
      <c r="D114" s="14" t="str">
        <f t="shared" si="4"/>
        <v>SÁB.</v>
      </c>
      <c r="E114" s="13">
        <f t="shared" si="2"/>
        <v>10</v>
      </c>
      <c r="F114" s="54"/>
      <c r="G114" s="70"/>
      <c r="H114" s="86">
        <v>349.06</v>
      </c>
      <c r="I114" s="105" t="s">
        <v>17</v>
      </c>
      <c r="J114" s="21" t="s">
        <v>544</v>
      </c>
      <c r="K114" s="84"/>
      <c r="L114" s="84"/>
      <c r="M114" s="84"/>
      <c r="N114" s="84"/>
      <c r="O114" s="84"/>
      <c r="P114" s="84"/>
      <c r="Q114" s="84"/>
    </row>
    <row r="115">
      <c r="A115" s="11"/>
      <c r="B115" s="59"/>
      <c r="C115" s="26"/>
      <c r="D115" s="107"/>
      <c r="E115" s="26"/>
      <c r="F115" s="26"/>
      <c r="G115" s="56"/>
      <c r="H115" s="56"/>
      <c r="I115" s="47"/>
      <c r="J115" s="21"/>
      <c r="K115" s="59"/>
      <c r="L115" s="59"/>
      <c r="M115" s="59"/>
      <c r="N115" s="59"/>
      <c r="O115" s="59"/>
      <c r="P115" s="59"/>
      <c r="Q115" s="59"/>
    </row>
    <row r="116">
      <c r="A116" s="11"/>
      <c r="B116" s="68"/>
      <c r="C116" s="43"/>
      <c r="D116" s="108"/>
      <c r="E116" s="43"/>
      <c r="F116" s="43"/>
      <c r="G116" s="45"/>
      <c r="H116" s="45"/>
      <c r="I116" s="47"/>
      <c r="J116" s="21"/>
      <c r="K116" s="68"/>
      <c r="L116" s="68"/>
      <c r="M116" s="68"/>
      <c r="N116" s="68"/>
      <c r="O116" s="68"/>
      <c r="P116" s="68"/>
      <c r="Q116" s="68"/>
    </row>
    <row r="117">
      <c r="A117" s="109"/>
      <c r="B117" s="110"/>
      <c r="C117" s="111"/>
      <c r="D117" s="112"/>
      <c r="E117" s="111"/>
      <c r="F117" s="111"/>
      <c r="G117" s="113"/>
      <c r="H117" s="113"/>
      <c r="I117" s="114"/>
      <c r="J117" s="21"/>
      <c r="K117" s="110"/>
      <c r="L117" s="110"/>
      <c r="M117" s="110"/>
      <c r="N117" s="110"/>
      <c r="O117" s="110"/>
      <c r="P117" s="110"/>
      <c r="Q117" s="110"/>
    </row>
    <row r="118" ht="15.75" customHeight="1">
      <c r="A118" s="115"/>
      <c r="B118" s="116" t="s">
        <v>142</v>
      </c>
      <c r="C118" s="117"/>
      <c r="D118" s="118"/>
      <c r="E118" s="119"/>
      <c r="F118" s="119"/>
      <c r="G118" s="120">
        <f>SUMIF(A3:A117,"PAGO",G3:G117)</f>
        <v>25601.05</v>
      </c>
      <c r="H118" s="120">
        <f>SUMIF(A3:A117,"PAGO",H3:H117)</f>
        <v>21493.62</v>
      </c>
      <c r="I118" s="121"/>
      <c r="J118" s="117"/>
      <c r="K118" s="120">
        <f t="shared" ref="K118:K119" si="5">G118-H118</f>
        <v>4107.43</v>
      </c>
      <c r="L118" s="120"/>
      <c r="M118" s="120"/>
      <c r="N118" s="120"/>
      <c r="O118" s="120"/>
      <c r="P118" s="120"/>
      <c r="Q118" s="120"/>
    </row>
    <row r="119" ht="15.75" customHeight="1">
      <c r="A119" s="115"/>
      <c r="B119" s="122" t="s">
        <v>143</v>
      </c>
      <c r="C119" s="117"/>
      <c r="D119" s="123"/>
      <c r="E119" s="124"/>
      <c r="F119" s="124"/>
      <c r="G119" s="125">
        <f>SUMIF(A3:A117,"PAGO",G3:G117) + SUMIF(A3:A117,"PREVISTO",G3:G117)</f>
        <v>25601.05</v>
      </c>
      <c r="H119" s="125">
        <f>SUMIF(A3:A117,"PAGO",H3:H117) + SUMIF(A3:A117,"PREVISTO",H3:H117)</f>
        <v>21493.62</v>
      </c>
      <c r="I119" s="121"/>
      <c r="J119" s="122" t="s">
        <v>144</v>
      </c>
      <c r="K119" s="125">
        <f t="shared" si="5"/>
        <v>4107.43</v>
      </c>
      <c r="L119" s="125"/>
      <c r="M119" s="125"/>
      <c r="N119" s="125"/>
      <c r="O119" s="125"/>
      <c r="P119" s="125"/>
      <c r="Q119" s="125"/>
    </row>
    <row r="120">
      <c r="A120" s="126"/>
      <c r="B120" s="127"/>
      <c r="C120" s="93"/>
      <c r="D120" s="128"/>
      <c r="E120" s="129"/>
      <c r="F120" s="129"/>
      <c r="G120" s="130"/>
      <c r="H120" s="130"/>
      <c r="I120" s="131"/>
      <c r="J120" s="132" t="s">
        <v>13</v>
      </c>
      <c r="K120" s="133">
        <f t="shared" ref="K120:K127" si="6">(SUMIFS($G$3:$G$117,$I$3:$I$117,J120,$A$3:$A$117,"PAGO") + SUMIFS($G$3:$G$117,$I$3:$I$117,J120,$A$3:$A$117,"CONTAS")) - (SUMIFS($H$3:$H$117,$I$3:$I$117,J120,$A$3:$A$117,"PAGO") + SUMIFS($H$3:$H$117,$I$3:$I$117,J120,$A$3:$A$117,"CONTAS"))</f>
        <v>120.43</v>
      </c>
      <c r="L120" s="133"/>
      <c r="M120" s="133"/>
      <c r="N120" s="133"/>
      <c r="O120" s="133"/>
      <c r="P120" s="133"/>
      <c r="Q120" s="133"/>
    </row>
    <row r="121">
      <c r="A121" s="134"/>
      <c r="B121" s="135"/>
      <c r="C121" s="93"/>
      <c r="D121" s="128"/>
      <c r="E121" s="129"/>
      <c r="F121" s="129"/>
      <c r="G121" s="130"/>
      <c r="H121" s="130"/>
      <c r="I121" s="131"/>
      <c r="J121" s="132" t="s">
        <v>15</v>
      </c>
      <c r="K121" s="133">
        <f t="shared" si="6"/>
        <v>5.05</v>
      </c>
      <c r="L121" s="133"/>
      <c r="M121" s="133"/>
      <c r="N121" s="133"/>
      <c r="O121" s="133"/>
      <c r="P121" s="133"/>
      <c r="Q121" s="133"/>
    </row>
    <row r="122">
      <c r="A122" s="134"/>
      <c r="B122" s="136"/>
      <c r="C122" s="137"/>
      <c r="D122" s="128"/>
      <c r="E122" s="129"/>
      <c r="F122" s="129"/>
      <c r="G122" s="130"/>
      <c r="H122" s="130"/>
      <c r="I122" s="131"/>
      <c r="J122" s="132" t="s">
        <v>16</v>
      </c>
      <c r="K122" s="133">
        <f t="shared" si="6"/>
        <v>0</v>
      </c>
      <c r="L122" s="133"/>
      <c r="M122" s="133"/>
      <c r="N122" s="133"/>
      <c r="O122" s="133"/>
      <c r="P122" s="133"/>
      <c r="Q122" s="133"/>
    </row>
    <row r="123">
      <c r="A123" s="134"/>
      <c r="B123" s="136"/>
      <c r="C123" s="137"/>
      <c r="D123" s="128"/>
      <c r="E123" s="129"/>
      <c r="F123" s="129"/>
      <c r="G123" s="130"/>
      <c r="H123" s="130"/>
      <c r="I123" s="131"/>
      <c r="J123" s="132" t="s">
        <v>17</v>
      </c>
      <c r="K123" s="133">
        <f t="shared" si="6"/>
        <v>2989.67</v>
      </c>
      <c r="L123" s="133"/>
      <c r="M123" s="133"/>
      <c r="N123" s="133"/>
      <c r="O123" s="133"/>
      <c r="P123" s="133"/>
      <c r="Q123" s="133"/>
    </row>
    <row r="124">
      <c r="A124" s="134"/>
      <c r="B124" s="93"/>
      <c r="C124" s="137"/>
      <c r="D124" s="138"/>
      <c r="E124" s="139"/>
      <c r="F124" s="139"/>
      <c r="G124" s="140"/>
      <c r="H124" s="140"/>
      <c r="I124" s="131"/>
      <c r="J124" s="132" t="s">
        <v>18</v>
      </c>
      <c r="K124" s="133">
        <f t="shared" si="6"/>
        <v>9.52</v>
      </c>
      <c r="L124" s="133"/>
      <c r="M124" s="133"/>
      <c r="N124" s="133"/>
      <c r="O124" s="133"/>
      <c r="P124" s="133"/>
      <c r="Q124" s="133"/>
    </row>
    <row r="125">
      <c r="A125" s="134"/>
      <c r="B125" s="137"/>
      <c r="C125" s="93"/>
      <c r="D125" s="138"/>
      <c r="E125" s="139"/>
      <c r="F125" s="139"/>
      <c r="G125" s="140"/>
      <c r="H125" s="140"/>
      <c r="I125" s="131"/>
      <c r="J125" s="183" t="s">
        <v>261</v>
      </c>
      <c r="K125" s="133">
        <f t="shared" si="6"/>
        <v>0</v>
      </c>
      <c r="L125" s="93"/>
      <c r="M125" s="93"/>
      <c r="N125" s="93"/>
      <c r="O125" s="93"/>
      <c r="P125" s="93"/>
      <c r="Q125" s="93"/>
    </row>
    <row r="126">
      <c r="A126" s="134"/>
      <c r="B126" s="137"/>
      <c r="C126" s="93"/>
      <c r="D126" s="138"/>
      <c r="E126" s="139"/>
      <c r="F126" s="139"/>
      <c r="G126" s="140"/>
      <c r="H126" s="140"/>
      <c r="I126" s="131"/>
      <c r="J126" s="182" t="s">
        <v>252</v>
      </c>
      <c r="K126" s="133">
        <f t="shared" si="6"/>
        <v>652.31</v>
      </c>
      <c r="L126" s="93"/>
      <c r="M126" s="93"/>
      <c r="N126" s="93"/>
      <c r="O126" s="93"/>
      <c r="P126" s="93"/>
      <c r="Q126" s="93"/>
    </row>
    <row r="127">
      <c r="A127" s="134"/>
      <c r="B127" s="137"/>
      <c r="C127" s="93"/>
      <c r="D127" s="138"/>
      <c r="E127" s="139"/>
      <c r="F127" s="139"/>
      <c r="G127" s="140"/>
      <c r="H127" s="140"/>
      <c r="I127" s="131"/>
      <c r="J127" s="182" t="s">
        <v>249</v>
      </c>
      <c r="K127" s="133">
        <f t="shared" si="6"/>
        <v>330.45</v>
      </c>
      <c r="L127" s="93"/>
      <c r="M127" s="93"/>
      <c r="N127" s="93"/>
      <c r="O127" s="93"/>
      <c r="P127" s="93"/>
      <c r="Q127" s="93"/>
    </row>
    <row r="128">
      <c r="A128" s="134"/>
      <c r="B128" s="137"/>
      <c r="C128" s="93"/>
      <c r="D128" s="138"/>
      <c r="E128" s="139"/>
      <c r="F128" s="139"/>
      <c r="G128" s="140"/>
      <c r="H128" s="140"/>
      <c r="I128" s="131"/>
      <c r="J128" s="219"/>
      <c r="K128" s="93"/>
      <c r="L128" s="93"/>
      <c r="M128" s="93"/>
      <c r="N128" s="93"/>
      <c r="O128" s="93"/>
      <c r="P128" s="93"/>
      <c r="Q128" s="93"/>
    </row>
  </sheetData>
  <customSheetViews>
    <customSheetView guid="{55ED7845-B94B-4003-AD57-D4008EE7E009}" filter="1" showAutoFilter="1">
      <autoFilter ref="$A$2:$K$16"/>
    </customSheetView>
    <customSheetView guid="{F6E0E906-D63E-467F-B486-84E6C0126E80}" filter="1" showAutoFilter="1">
      <autoFilter ref="$A$2:$K$3"/>
    </customSheetView>
    <customSheetView guid="{FF238D65-B29E-47B3-BB76-09A78DB37DDE}" filter="1" showAutoFilter="1">
      <autoFilter ref="$A$2:$K$3"/>
    </customSheetView>
    <customSheetView guid="{5F890A4C-8AFA-4126-80E7-AF0191C5590F}" filter="1" showAutoFilter="1">
      <autoFilter ref="$A$2:$K$3"/>
    </customSheetView>
    <customSheetView guid="{8E320149-1ED8-4245-AE83-2AF08A85D2EE}" filter="1" showAutoFilter="1">
      <autoFilter ref="$A$2:$K$3"/>
    </customSheetView>
  </customSheetViews>
  <conditionalFormatting sqref="A3:Q117">
    <cfRule type="expression" dxfId="0" priority="1">
      <formula>ISEVEN(ROW())</formula>
    </cfRule>
  </conditionalFormatting>
  <conditionalFormatting sqref="A3:Q117">
    <cfRule type="expression" dxfId="1" priority="2">
      <formula>ISODD(ROW())</formula>
    </cfRule>
  </conditionalFormatting>
  <dataValidations>
    <dataValidation type="list" allowBlank="1" sqref="A3:A116">
      <formula1>listas!$A$1:$A$17</formula1>
    </dataValidation>
    <dataValidation type="list" allowBlank="1" sqref="I3:I116">
      <formula1>listas!$B$1:$B$21</formula1>
    </dataValidation>
  </dataValidations>
  <drawing r:id="rId2"/>
  <legacyDrawing r:id="rId3"/>
  <tableParts count="2">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11.0</v>
      </c>
      <c r="D3" s="14"/>
      <c r="E3" s="15"/>
      <c r="F3" s="15"/>
      <c r="G3" s="16"/>
      <c r="H3" s="17"/>
      <c r="I3" s="18"/>
      <c r="J3" s="19"/>
      <c r="K3" s="20"/>
      <c r="L3" s="20"/>
      <c r="M3" s="20"/>
      <c r="N3" s="20"/>
      <c r="O3" s="20"/>
      <c r="P3" s="20"/>
      <c r="Q3" s="20"/>
    </row>
    <row r="4">
      <c r="A4" s="11" t="s">
        <v>5</v>
      </c>
      <c r="B4" s="21" t="s">
        <v>145</v>
      </c>
      <c r="C4" s="13">
        <v>1.0</v>
      </c>
      <c r="D4" s="14" t="str">
        <f t="shared" ref="D4:D29" si="1">UPPER(TEXT(WEEKDAY(DATEVALUE(CONCATENATE(C4,"/",$C$3,"/",$A$1))),"DDD"))</f>
        <v>SEG.</v>
      </c>
      <c r="E4" s="13">
        <f t="shared" ref="E4:E106" si="2">$C$3</f>
        <v>11</v>
      </c>
      <c r="F4" s="15"/>
      <c r="G4" s="16">
        <f>outubro!K120</f>
        <v>120.43</v>
      </c>
      <c r="H4" s="17"/>
      <c r="I4" s="18" t="s">
        <v>13</v>
      </c>
      <c r="J4" s="21" t="s">
        <v>14</v>
      </c>
      <c r="K4" s="22"/>
      <c r="L4" s="22"/>
      <c r="M4" s="22"/>
      <c r="N4" s="22"/>
      <c r="O4" s="22"/>
      <c r="P4" s="22"/>
      <c r="Q4" s="22"/>
    </row>
    <row r="5">
      <c r="A5" s="11" t="s">
        <v>5</v>
      </c>
      <c r="B5" s="21" t="s">
        <v>145</v>
      </c>
      <c r="C5" s="13">
        <v>1.0</v>
      </c>
      <c r="D5" s="14" t="str">
        <f t="shared" si="1"/>
        <v>SEG.</v>
      </c>
      <c r="E5" s="13">
        <f t="shared" si="2"/>
        <v>11</v>
      </c>
      <c r="F5" s="15"/>
      <c r="G5" s="16">
        <f>outubro!K121</f>
        <v>5.05</v>
      </c>
      <c r="H5" s="17"/>
      <c r="I5" s="18" t="s">
        <v>15</v>
      </c>
      <c r="J5" s="21" t="s">
        <v>14</v>
      </c>
      <c r="K5" s="22"/>
      <c r="L5" s="22"/>
      <c r="M5" s="22"/>
      <c r="N5" s="22"/>
      <c r="O5" s="22"/>
      <c r="P5" s="22"/>
      <c r="Q5" s="22"/>
    </row>
    <row r="6">
      <c r="A6" s="11" t="s">
        <v>5</v>
      </c>
      <c r="B6" s="21" t="s">
        <v>145</v>
      </c>
      <c r="C6" s="13">
        <v>1.0</v>
      </c>
      <c r="D6" s="14" t="str">
        <f t="shared" si="1"/>
        <v>SEG.</v>
      </c>
      <c r="E6" s="13">
        <f t="shared" si="2"/>
        <v>11</v>
      </c>
      <c r="F6" s="15"/>
      <c r="G6" s="16">
        <f>outubro!K122</f>
        <v>0</v>
      </c>
      <c r="H6" s="17"/>
      <c r="I6" s="18" t="s">
        <v>16</v>
      </c>
      <c r="J6" s="21" t="s">
        <v>14</v>
      </c>
      <c r="K6" s="22"/>
      <c r="L6" s="22"/>
      <c r="M6" s="22"/>
      <c r="N6" s="22"/>
      <c r="O6" s="22"/>
      <c r="P6" s="22"/>
      <c r="Q6" s="22"/>
    </row>
    <row r="7">
      <c r="A7" s="11" t="s">
        <v>5</v>
      </c>
      <c r="B7" s="21" t="s">
        <v>145</v>
      </c>
      <c r="C7" s="13">
        <v>1.0</v>
      </c>
      <c r="D7" s="14" t="str">
        <f t="shared" si="1"/>
        <v>SEG.</v>
      </c>
      <c r="E7" s="13">
        <f t="shared" si="2"/>
        <v>11</v>
      </c>
      <c r="F7" s="15"/>
      <c r="G7" s="16">
        <f>outubro!K123</f>
        <v>2989.67</v>
      </c>
      <c r="H7" s="17"/>
      <c r="I7" s="18" t="s">
        <v>17</v>
      </c>
      <c r="J7" s="21" t="s">
        <v>14</v>
      </c>
      <c r="K7" s="22"/>
      <c r="L7" s="22"/>
      <c r="M7" s="22"/>
      <c r="N7" s="22"/>
      <c r="O7" s="22"/>
      <c r="P7" s="22"/>
      <c r="Q7" s="22"/>
    </row>
    <row r="8">
      <c r="A8" s="11" t="s">
        <v>5</v>
      </c>
      <c r="B8" s="21" t="s">
        <v>145</v>
      </c>
      <c r="C8" s="13">
        <v>1.0</v>
      </c>
      <c r="D8" s="14" t="str">
        <f t="shared" si="1"/>
        <v>SEG.</v>
      </c>
      <c r="E8" s="13">
        <f t="shared" si="2"/>
        <v>11</v>
      </c>
      <c r="F8" s="15"/>
      <c r="G8" s="16">
        <f>outubro!K124</f>
        <v>9.52</v>
      </c>
      <c r="H8" s="17"/>
      <c r="I8" s="18" t="s">
        <v>18</v>
      </c>
      <c r="J8" s="21" t="s">
        <v>14</v>
      </c>
      <c r="K8" s="22"/>
      <c r="L8" s="22"/>
      <c r="M8" s="22"/>
      <c r="N8" s="22"/>
      <c r="O8" s="22"/>
      <c r="P8" s="22"/>
      <c r="Q8" s="22"/>
    </row>
    <row r="9">
      <c r="A9" s="11" t="s">
        <v>5</v>
      </c>
      <c r="B9" s="72" t="s">
        <v>145</v>
      </c>
      <c r="C9" s="193">
        <v>1.0</v>
      </c>
      <c r="D9" s="74" t="str">
        <f t="shared" si="1"/>
        <v>SEG.</v>
      </c>
      <c r="E9" s="13">
        <f t="shared" si="2"/>
        <v>11</v>
      </c>
      <c r="F9" s="30"/>
      <c r="G9" s="16">
        <f>outubro!K125</f>
        <v>0</v>
      </c>
      <c r="H9" s="31"/>
      <c r="I9" s="58" t="s">
        <v>261</v>
      </c>
      <c r="J9" s="72" t="s">
        <v>14</v>
      </c>
      <c r="K9" s="77"/>
      <c r="L9" s="77"/>
      <c r="M9" s="77"/>
      <c r="N9" s="77"/>
      <c r="O9" s="77"/>
      <c r="P9" s="77"/>
      <c r="Q9" s="77"/>
    </row>
    <row r="10">
      <c r="A10" s="11" t="s">
        <v>5</v>
      </c>
      <c r="B10" s="173" t="s">
        <v>145</v>
      </c>
      <c r="C10" s="184">
        <v>1.0</v>
      </c>
      <c r="D10" s="25" t="str">
        <f t="shared" si="1"/>
        <v>SEG.</v>
      </c>
      <c r="E10" s="13">
        <f t="shared" si="2"/>
        <v>11</v>
      </c>
      <c r="F10" s="26"/>
      <c r="G10" s="16">
        <f>outubro!K126</f>
        <v>652.31</v>
      </c>
      <c r="H10" s="56"/>
      <c r="I10" s="33" t="s">
        <v>252</v>
      </c>
      <c r="J10" s="173" t="s">
        <v>14</v>
      </c>
      <c r="K10" s="59"/>
      <c r="L10" s="59"/>
      <c r="M10" s="59"/>
      <c r="N10" s="59"/>
      <c r="O10" s="59"/>
      <c r="P10" s="59"/>
      <c r="Q10" s="59"/>
    </row>
    <row r="11">
      <c r="A11" s="11" t="s">
        <v>5</v>
      </c>
      <c r="B11" s="42" t="s">
        <v>145</v>
      </c>
      <c r="C11" s="144">
        <v>1.0</v>
      </c>
      <c r="D11" s="14" t="str">
        <f t="shared" si="1"/>
        <v>SEG.</v>
      </c>
      <c r="E11" s="13">
        <f t="shared" si="2"/>
        <v>11</v>
      </c>
      <c r="F11" s="43"/>
      <c r="G11" s="16">
        <f>outubro!K127</f>
        <v>330.45</v>
      </c>
      <c r="H11" s="45"/>
      <c r="I11" s="41" t="s">
        <v>249</v>
      </c>
      <c r="J11" s="42" t="s">
        <v>14</v>
      </c>
      <c r="K11" s="68"/>
      <c r="L11" s="68"/>
      <c r="M11" s="68"/>
      <c r="N11" s="68"/>
      <c r="O11" s="68"/>
      <c r="P11" s="68"/>
      <c r="Q11" s="68"/>
    </row>
    <row r="12">
      <c r="A12" s="11" t="s">
        <v>5</v>
      </c>
      <c r="B12" s="44" t="s">
        <v>545</v>
      </c>
      <c r="C12" s="62">
        <v>2.0</v>
      </c>
      <c r="D12" s="14" t="str">
        <f t="shared" si="1"/>
        <v>TER.</v>
      </c>
      <c r="E12" s="13">
        <f t="shared" si="2"/>
        <v>11</v>
      </c>
      <c r="F12" s="26"/>
      <c r="G12" s="56"/>
      <c r="H12" s="63">
        <v>116.0</v>
      </c>
      <c r="I12" s="33" t="s">
        <v>17</v>
      </c>
      <c r="J12" s="220" t="s">
        <v>546</v>
      </c>
      <c r="K12" s="56"/>
      <c r="L12" s="56"/>
      <c r="M12" s="56"/>
      <c r="N12" s="56"/>
      <c r="O12" s="56"/>
      <c r="P12" s="56"/>
      <c r="Q12" s="56"/>
    </row>
    <row r="13">
      <c r="A13" s="11" t="s">
        <v>5</v>
      </c>
      <c r="B13" s="179" t="s">
        <v>21</v>
      </c>
      <c r="C13" s="62">
        <v>2.0</v>
      </c>
      <c r="D13" s="25" t="str">
        <f t="shared" si="1"/>
        <v>TER.</v>
      </c>
      <c r="E13" s="13">
        <f t="shared" si="2"/>
        <v>11</v>
      </c>
      <c r="F13" s="26"/>
      <c r="G13" s="56"/>
      <c r="H13" s="63">
        <v>58.76</v>
      </c>
      <c r="I13" s="33" t="s">
        <v>252</v>
      </c>
      <c r="J13" s="173" t="s">
        <v>22</v>
      </c>
      <c r="K13" s="56"/>
      <c r="L13" s="56"/>
      <c r="M13" s="56"/>
      <c r="N13" s="56"/>
      <c r="O13" s="56"/>
      <c r="P13" s="56"/>
      <c r="Q13" s="56"/>
    </row>
    <row r="14">
      <c r="A14" s="11" t="s">
        <v>5</v>
      </c>
      <c r="B14" s="90" t="s">
        <v>547</v>
      </c>
      <c r="C14" s="13">
        <v>2.0</v>
      </c>
      <c r="D14" s="14" t="str">
        <f t="shared" si="1"/>
        <v>TER.</v>
      </c>
      <c r="E14" s="13">
        <f t="shared" si="2"/>
        <v>11</v>
      </c>
      <c r="F14" s="87"/>
      <c r="G14" s="56"/>
      <c r="H14" s="88">
        <v>154.0</v>
      </c>
      <c r="I14" s="58" t="s">
        <v>17</v>
      </c>
      <c r="J14" s="21" t="s">
        <v>475</v>
      </c>
      <c r="K14" s="59"/>
      <c r="L14" s="59"/>
      <c r="M14" s="59"/>
      <c r="N14" s="59"/>
      <c r="O14" s="59"/>
      <c r="P14" s="59"/>
      <c r="Q14" s="59"/>
    </row>
    <row r="15">
      <c r="A15" s="11" t="s">
        <v>5</v>
      </c>
      <c r="B15" s="103" t="s">
        <v>533</v>
      </c>
      <c r="C15" s="13">
        <v>2.0</v>
      </c>
      <c r="D15" s="14" t="str">
        <f t="shared" si="1"/>
        <v>TER.</v>
      </c>
      <c r="E15" s="13">
        <f t="shared" si="2"/>
        <v>11</v>
      </c>
      <c r="F15" s="54"/>
      <c r="G15" s="70"/>
      <c r="H15" s="86">
        <v>50.0</v>
      </c>
      <c r="I15" s="105" t="s">
        <v>17</v>
      </c>
      <c r="J15" s="21" t="s">
        <v>534</v>
      </c>
      <c r="K15" s="84"/>
      <c r="L15" s="84"/>
      <c r="M15" s="84"/>
      <c r="N15" s="84"/>
      <c r="O15" s="84"/>
      <c r="P15" s="84"/>
      <c r="Q15" s="84"/>
    </row>
    <row r="16">
      <c r="A16" s="215" t="s">
        <v>5</v>
      </c>
      <c r="B16" s="28" t="s">
        <v>148</v>
      </c>
      <c r="C16" s="80">
        <v>2.0</v>
      </c>
      <c r="D16" s="81" t="str">
        <f t="shared" si="1"/>
        <v>TER.</v>
      </c>
      <c r="E16" s="207">
        <f t="shared" si="2"/>
        <v>11</v>
      </c>
      <c r="F16" s="35"/>
      <c r="G16" s="70"/>
      <c r="H16" s="86">
        <v>61.14</v>
      </c>
      <c r="I16" s="221" t="s">
        <v>13</v>
      </c>
      <c r="J16" s="199" t="s">
        <v>149</v>
      </c>
      <c r="K16" s="28"/>
      <c r="L16" s="28"/>
      <c r="M16" s="28"/>
      <c r="N16" s="28"/>
      <c r="O16" s="28"/>
      <c r="P16" s="28"/>
      <c r="Q16" s="28"/>
    </row>
    <row r="17">
      <c r="A17" s="11" t="s">
        <v>5</v>
      </c>
      <c r="B17" s="99" t="s">
        <v>119</v>
      </c>
      <c r="C17" s="13">
        <v>2.0</v>
      </c>
      <c r="D17" s="14" t="str">
        <f t="shared" si="1"/>
        <v>TER.</v>
      </c>
      <c r="E17" s="13">
        <f t="shared" si="2"/>
        <v>11</v>
      </c>
      <c r="F17" s="35"/>
      <c r="G17" s="36">
        <v>4.98</v>
      </c>
      <c r="H17" s="70"/>
      <c r="I17" s="78" t="s">
        <v>17</v>
      </c>
      <c r="J17" s="21" t="s">
        <v>120</v>
      </c>
      <c r="K17" s="84"/>
      <c r="L17" s="84"/>
      <c r="M17" s="84"/>
      <c r="N17" s="84"/>
      <c r="O17" s="84"/>
      <c r="P17" s="84"/>
      <c r="Q17" s="84"/>
    </row>
    <row r="18">
      <c r="A18" s="11" t="s">
        <v>25</v>
      </c>
      <c r="B18" s="198" t="s">
        <v>26</v>
      </c>
      <c r="C18" s="150">
        <v>3.0</v>
      </c>
      <c r="D18" s="81" t="str">
        <f t="shared" si="1"/>
        <v>QUA.</v>
      </c>
      <c r="E18" s="207">
        <f t="shared" si="2"/>
        <v>11</v>
      </c>
      <c r="F18" s="35"/>
      <c r="G18" s="70"/>
      <c r="H18" s="36">
        <v>300.0</v>
      </c>
      <c r="I18" s="82" t="s">
        <v>17</v>
      </c>
      <c r="J18" s="21"/>
      <c r="K18" s="70"/>
      <c r="L18" s="70"/>
      <c r="M18" s="70"/>
      <c r="N18" s="70"/>
      <c r="O18" s="70"/>
      <c r="P18" s="70"/>
      <c r="Q18" s="70"/>
    </row>
    <row r="19">
      <c r="A19" s="11" t="s">
        <v>25</v>
      </c>
      <c r="B19" s="29" t="s">
        <v>27</v>
      </c>
      <c r="C19" s="73">
        <v>3.0</v>
      </c>
      <c r="D19" s="74" t="str">
        <f t="shared" si="1"/>
        <v>QUA.</v>
      </c>
      <c r="E19" s="193">
        <f t="shared" si="2"/>
        <v>11</v>
      </c>
      <c r="F19" s="30"/>
      <c r="G19" s="32">
        <v>300.0</v>
      </c>
      <c r="H19" s="31"/>
      <c r="I19" s="75" t="s">
        <v>13</v>
      </c>
      <c r="J19" s="157"/>
      <c r="K19" s="31"/>
      <c r="L19" s="31"/>
      <c r="M19" s="31"/>
      <c r="N19" s="31"/>
      <c r="O19" s="31"/>
      <c r="P19" s="31"/>
      <c r="Q19" s="31"/>
    </row>
    <row r="20">
      <c r="A20" s="11" t="s">
        <v>5</v>
      </c>
      <c r="B20" s="159" t="s">
        <v>465</v>
      </c>
      <c r="C20" s="73">
        <v>5.0</v>
      </c>
      <c r="D20" s="25" t="str">
        <f t="shared" si="1"/>
        <v>SEX.</v>
      </c>
      <c r="E20" s="13">
        <f t="shared" si="2"/>
        <v>11</v>
      </c>
      <c r="F20" s="87">
        <v>44503.0</v>
      </c>
      <c r="G20" s="31"/>
      <c r="H20" s="32">
        <v>400.0</v>
      </c>
      <c r="I20" s="71" t="s">
        <v>17</v>
      </c>
      <c r="J20" s="76" t="s">
        <v>466</v>
      </c>
      <c r="K20" s="31"/>
      <c r="L20" s="31"/>
      <c r="M20" s="31"/>
      <c r="N20" s="31"/>
      <c r="O20" s="31"/>
      <c r="P20" s="31"/>
      <c r="Q20" s="31"/>
    </row>
    <row r="21">
      <c r="A21" s="192" t="s">
        <v>5</v>
      </c>
      <c r="B21" s="44" t="s">
        <v>548</v>
      </c>
      <c r="C21" s="66">
        <v>5.0</v>
      </c>
      <c r="D21" s="14" t="str">
        <f t="shared" si="1"/>
        <v>SEX.</v>
      </c>
      <c r="E21" s="13">
        <f t="shared" si="2"/>
        <v>11</v>
      </c>
      <c r="F21" s="43"/>
      <c r="G21" s="45"/>
      <c r="H21" s="46">
        <v>6.0</v>
      </c>
      <c r="I21" s="149" t="s">
        <v>17</v>
      </c>
      <c r="J21" s="44" t="s">
        <v>549</v>
      </c>
      <c r="K21" s="68"/>
      <c r="L21" s="68"/>
      <c r="M21" s="68"/>
      <c r="N21" s="68"/>
      <c r="O21" s="68"/>
      <c r="P21" s="68"/>
      <c r="Q21" s="68"/>
    </row>
    <row r="22">
      <c r="A22" s="11" t="s">
        <v>5</v>
      </c>
      <c r="B22" s="83" t="s">
        <v>550</v>
      </c>
      <c r="C22" s="13">
        <v>5.0</v>
      </c>
      <c r="D22" s="14" t="str">
        <f t="shared" si="1"/>
        <v>SEX.</v>
      </c>
      <c r="E22" s="13">
        <f t="shared" si="2"/>
        <v>11</v>
      </c>
      <c r="F22" s="35"/>
      <c r="G22" s="36">
        <v>97.41</v>
      </c>
      <c r="H22" s="70"/>
      <c r="I22" s="47" t="s">
        <v>13</v>
      </c>
      <c r="J22" s="21" t="s">
        <v>551</v>
      </c>
      <c r="K22" s="84"/>
      <c r="L22" s="84"/>
      <c r="M22" s="84"/>
      <c r="N22" s="84"/>
      <c r="O22" s="84"/>
      <c r="P22" s="84"/>
      <c r="Q22" s="84"/>
    </row>
    <row r="23">
      <c r="A23" s="11" t="s">
        <v>5</v>
      </c>
      <c r="B23" s="79" t="s">
        <v>73</v>
      </c>
      <c r="C23" s="80">
        <v>5.0</v>
      </c>
      <c r="D23" s="81" t="str">
        <f t="shared" si="1"/>
        <v>SEX.</v>
      </c>
      <c r="E23" s="13">
        <f t="shared" si="2"/>
        <v>11</v>
      </c>
      <c r="F23" s="35"/>
      <c r="G23" s="70"/>
      <c r="H23" s="36">
        <v>49.3</v>
      </c>
      <c r="I23" s="82" t="s">
        <v>13</v>
      </c>
      <c r="J23" s="199" t="s">
        <v>20</v>
      </c>
      <c r="K23" s="106"/>
      <c r="L23" s="106"/>
      <c r="M23" s="106"/>
      <c r="N23" s="106"/>
      <c r="O23" s="84"/>
      <c r="P23" s="84"/>
      <c r="Q23" s="84"/>
    </row>
    <row r="24">
      <c r="A24" s="11" t="s">
        <v>5</v>
      </c>
      <c r="B24" s="83" t="s">
        <v>350</v>
      </c>
      <c r="C24" s="13">
        <v>5.0</v>
      </c>
      <c r="D24" s="14" t="str">
        <f t="shared" si="1"/>
        <v>SEX.</v>
      </c>
      <c r="E24" s="13">
        <f t="shared" si="2"/>
        <v>11</v>
      </c>
      <c r="F24" s="35"/>
      <c r="G24" s="36">
        <v>500.0</v>
      </c>
      <c r="H24" s="70"/>
      <c r="I24" s="78" t="s">
        <v>17</v>
      </c>
      <c r="J24" s="21" t="s">
        <v>390</v>
      </c>
      <c r="K24" s="84"/>
      <c r="L24" s="84"/>
      <c r="M24" s="84"/>
      <c r="N24" s="84"/>
      <c r="O24" s="84"/>
      <c r="P24" s="84"/>
      <c r="Q24" s="84"/>
    </row>
    <row r="25">
      <c r="A25" s="11" t="s">
        <v>5</v>
      </c>
      <c r="B25" s="83" t="s">
        <v>352</v>
      </c>
      <c r="C25" s="13">
        <v>5.0</v>
      </c>
      <c r="D25" s="14" t="str">
        <f t="shared" si="1"/>
        <v>SEX.</v>
      </c>
      <c r="E25" s="13">
        <f t="shared" si="2"/>
        <v>11</v>
      </c>
      <c r="F25" s="35"/>
      <c r="G25" s="36"/>
      <c r="H25" s="36">
        <v>500.0</v>
      </c>
      <c r="I25" s="78" t="s">
        <v>17</v>
      </c>
      <c r="J25" s="21" t="s">
        <v>391</v>
      </c>
      <c r="K25" s="84"/>
      <c r="L25" s="84"/>
      <c r="M25" s="84"/>
      <c r="N25" s="84"/>
      <c r="O25" s="84"/>
      <c r="P25" s="84"/>
      <c r="Q25" s="84"/>
    </row>
    <row r="26">
      <c r="A26" s="192" t="s">
        <v>5</v>
      </c>
      <c r="B26" s="29" t="s">
        <v>21</v>
      </c>
      <c r="C26" s="73">
        <v>6.0</v>
      </c>
      <c r="D26" s="74" t="str">
        <f t="shared" si="1"/>
        <v>SÁB.</v>
      </c>
      <c r="E26" s="193">
        <f t="shared" si="2"/>
        <v>11</v>
      </c>
      <c r="F26" s="30"/>
      <c r="G26" s="31"/>
      <c r="H26" s="32">
        <v>250.53</v>
      </c>
      <c r="I26" s="71" t="s">
        <v>252</v>
      </c>
      <c r="J26" s="72" t="s">
        <v>22</v>
      </c>
      <c r="K26" s="31"/>
      <c r="L26" s="31"/>
      <c r="M26" s="31"/>
      <c r="N26" s="31"/>
      <c r="O26" s="31"/>
      <c r="P26" s="31"/>
      <c r="Q26" s="31"/>
    </row>
    <row r="27">
      <c r="A27" s="215" t="s">
        <v>5</v>
      </c>
      <c r="B27" s="198" t="s">
        <v>117</v>
      </c>
      <c r="C27" s="150">
        <v>7.0</v>
      </c>
      <c r="D27" s="81" t="str">
        <f t="shared" si="1"/>
        <v>DOM.</v>
      </c>
      <c r="E27" s="210">
        <f t="shared" si="2"/>
        <v>11</v>
      </c>
      <c r="F27" s="35"/>
      <c r="G27" s="70"/>
      <c r="H27" s="151">
        <v>20.0</v>
      </c>
      <c r="I27" s="78" t="s">
        <v>17</v>
      </c>
      <c r="J27" s="79" t="s">
        <v>118</v>
      </c>
      <c r="K27" s="70"/>
      <c r="L27" s="70"/>
      <c r="M27" s="70"/>
      <c r="N27" s="70"/>
      <c r="O27" s="70"/>
      <c r="P27" s="70"/>
      <c r="Q27" s="70"/>
    </row>
    <row r="28">
      <c r="A28" s="11" t="s">
        <v>5</v>
      </c>
      <c r="B28" s="29" t="s">
        <v>305</v>
      </c>
      <c r="C28" s="73">
        <v>8.0</v>
      </c>
      <c r="D28" s="74" t="str">
        <f t="shared" si="1"/>
        <v>SEG.</v>
      </c>
      <c r="E28" s="13">
        <f t="shared" si="2"/>
        <v>11</v>
      </c>
      <c r="F28" s="30"/>
      <c r="G28" s="31"/>
      <c r="H28" s="153">
        <v>100.0</v>
      </c>
      <c r="I28" s="58" t="s">
        <v>13</v>
      </c>
      <c r="J28" s="72" t="s">
        <v>306</v>
      </c>
      <c r="K28" s="31"/>
      <c r="L28" s="31"/>
      <c r="M28" s="31"/>
      <c r="N28" s="31"/>
      <c r="O28" s="31"/>
      <c r="P28" s="31"/>
      <c r="Q28" s="31"/>
    </row>
    <row r="29">
      <c r="A29" s="11" t="s">
        <v>5</v>
      </c>
      <c r="B29" s="44" t="s">
        <v>39</v>
      </c>
      <c r="C29" s="13">
        <v>8.0</v>
      </c>
      <c r="D29" s="14" t="str">
        <f t="shared" si="1"/>
        <v>SEG.</v>
      </c>
      <c r="E29" s="13">
        <f t="shared" si="2"/>
        <v>11</v>
      </c>
      <c r="F29" s="87">
        <v>44503.0</v>
      </c>
      <c r="G29" s="45"/>
      <c r="H29" s="53">
        <f>SUM(H30:H37)</f>
        <v>440.68</v>
      </c>
      <c r="I29" s="47" t="s">
        <v>17</v>
      </c>
      <c r="J29" s="21"/>
      <c r="K29" s="39"/>
      <c r="L29" s="39"/>
      <c r="M29" s="39"/>
      <c r="N29" s="39"/>
      <c r="O29" s="39"/>
      <c r="P29" s="39"/>
      <c r="Q29" s="39"/>
    </row>
    <row r="30" outlineLevel="1">
      <c r="A30" s="215" t="s">
        <v>40</v>
      </c>
      <c r="B30" s="79" t="s">
        <v>552</v>
      </c>
      <c r="C30" s="194"/>
      <c r="D30" s="195"/>
      <c r="E30" s="207">
        <f t="shared" si="2"/>
        <v>11</v>
      </c>
      <c r="F30" s="211">
        <v>44443.0</v>
      </c>
      <c r="G30" s="70"/>
      <c r="H30" s="151">
        <v>35.0</v>
      </c>
      <c r="I30" s="197"/>
      <c r="J30" s="79" t="s">
        <v>243</v>
      </c>
      <c r="K30" s="84"/>
      <c r="L30" s="84"/>
      <c r="M30" s="84"/>
      <c r="N30" s="84"/>
      <c r="O30" s="84"/>
      <c r="P30" s="84"/>
      <c r="Q30" s="84"/>
    </row>
    <row r="31" outlineLevel="1">
      <c r="A31" s="215" t="s">
        <v>40</v>
      </c>
      <c r="B31" s="79" t="s">
        <v>552</v>
      </c>
      <c r="C31" s="194"/>
      <c r="D31" s="195"/>
      <c r="E31" s="207">
        <f t="shared" si="2"/>
        <v>11</v>
      </c>
      <c r="F31" s="211">
        <v>44443.0</v>
      </c>
      <c r="G31" s="70"/>
      <c r="H31" s="36">
        <v>-0.01</v>
      </c>
      <c r="I31" s="197"/>
      <c r="J31" s="79" t="s">
        <v>243</v>
      </c>
      <c r="K31" s="84"/>
      <c r="L31" s="84"/>
      <c r="M31" s="84"/>
      <c r="N31" s="84"/>
      <c r="O31" s="84"/>
      <c r="P31" s="84"/>
      <c r="Q31" s="84"/>
    </row>
    <row r="32" outlineLevel="1">
      <c r="A32" s="11" t="s">
        <v>40</v>
      </c>
      <c r="B32" s="76" t="s">
        <v>239</v>
      </c>
      <c r="C32" s="155"/>
      <c r="D32" s="156"/>
      <c r="E32" s="13">
        <f t="shared" si="2"/>
        <v>11</v>
      </c>
      <c r="F32" s="54">
        <v>44470.0</v>
      </c>
      <c r="G32" s="31"/>
      <c r="H32" s="32">
        <v>1.0</v>
      </c>
      <c r="I32" s="157"/>
      <c r="J32" s="83" t="s">
        <v>243</v>
      </c>
      <c r="K32" s="77"/>
      <c r="L32" s="77"/>
      <c r="M32" s="77"/>
      <c r="N32" s="77"/>
      <c r="O32" s="77"/>
      <c r="P32" s="77"/>
      <c r="Q32" s="77"/>
    </row>
    <row r="33" outlineLevel="1">
      <c r="A33" s="11" t="s">
        <v>40</v>
      </c>
      <c r="B33" s="44" t="s">
        <v>553</v>
      </c>
      <c r="C33" s="13"/>
      <c r="D33" s="14"/>
      <c r="E33" s="13">
        <f t="shared" si="2"/>
        <v>11</v>
      </c>
      <c r="F33" s="54">
        <v>44477.0</v>
      </c>
      <c r="G33" s="45"/>
      <c r="H33" s="46">
        <v>233.95</v>
      </c>
      <c r="I33" s="47"/>
      <c r="J33" s="21" t="s">
        <v>277</v>
      </c>
      <c r="K33" s="39"/>
      <c r="L33" s="39"/>
      <c r="M33" s="39"/>
      <c r="N33" s="39"/>
      <c r="O33" s="39"/>
      <c r="P33" s="39"/>
      <c r="Q33" s="39"/>
    </row>
    <row r="34" outlineLevel="1">
      <c r="A34" s="11" t="s">
        <v>40</v>
      </c>
      <c r="B34" s="72" t="s">
        <v>47</v>
      </c>
      <c r="C34" s="155"/>
      <c r="D34" s="156"/>
      <c r="E34" s="193">
        <f t="shared" si="2"/>
        <v>11</v>
      </c>
      <c r="F34" s="54">
        <v>44487.0</v>
      </c>
      <c r="G34" s="31"/>
      <c r="H34" s="32">
        <v>15.02</v>
      </c>
      <c r="I34" s="157"/>
      <c r="J34" s="72" t="s">
        <v>48</v>
      </c>
      <c r="K34" s="77"/>
      <c r="L34" s="77"/>
      <c r="M34" s="77"/>
      <c r="N34" s="77"/>
      <c r="O34" s="77"/>
      <c r="P34" s="77"/>
      <c r="Q34" s="77"/>
    </row>
    <row r="35" outlineLevel="1">
      <c r="A35" s="11" t="s">
        <v>40</v>
      </c>
      <c r="B35" s="72" t="s">
        <v>497</v>
      </c>
      <c r="C35" s="155"/>
      <c r="D35" s="156"/>
      <c r="E35" s="193">
        <f t="shared" si="2"/>
        <v>11</v>
      </c>
      <c r="F35" s="54">
        <v>44496.0</v>
      </c>
      <c r="G35" s="31"/>
      <c r="H35" s="32">
        <v>39.95</v>
      </c>
      <c r="I35" s="157"/>
      <c r="J35" s="72" t="s">
        <v>393</v>
      </c>
      <c r="K35" s="77"/>
      <c r="L35" s="77"/>
      <c r="M35" s="77"/>
      <c r="N35" s="77"/>
      <c r="O35" s="77"/>
      <c r="P35" s="77"/>
      <c r="Q35" s="77"/>
    </row>
    <row r="36" outlineLevel="1">
      <c r="A36" s="97" t="s">
        <v>40</v>
      </c>
      <c r="B36" s="72" t="s">
        <v>497</v>
      </c>
      <c r="C36" s="155"/>
      <c r="D36" s="156"/>
      <c r="E36" s="193">
        <f t="shared" si="2"/>
        <v>11</v>
      </c>
      <c r="F36" s="217">
        <v>44496.0</v>
      </c>
      <c r="G36" s="31"/>
      <c r="H36" s="32">
        <v>45.0</v>
      </c>
      <c r="I36" s="157"/>
      <c r="J36" s="72" t="s">
        <v>393</v>
      </c>
      <c r="K36" s="77"/>
      <c r="L36" s="77"/>
      <c r="M36" s="77"/>
      <c r="N36" s="77"/>
      <c r="O36" s="77"/>
      <c r="P36" s="77"/>
      <c r="Q36" s="77"/>
    </row>
    <row r="37" outlineLevel="1">
      <c r="A37" s="97" t="s">
        <v>40</v>
      </c>
      <c r="B37" s="76" t="s">
        <v>554</v>
      </c>
      <c r="C37" s="155"/>
      <c r="D37" s="156"/>
      <c r="E37" s="193">
        <f t="shared" si="2"/>
        <v>11</v>
      </c>
      <c r="F37" s="217">
        <v>44496.0</v>
      </c>
      <c r="G37" s="31"/>
      <c r="H37" s="32">
        <v>70.77</v>
      </c>
      <c r="I37" s="157"/>
      <c r="J37" s="76" t="s">
        <v>555</v>
      </c>
      <c r="K37" s="77"/>
      <c r="L37" s="77"/>
      <c r="M37" s="77"/>
      <c r="N37" s="77"/>
      <c r="O37" s="77"/>
      <c r="P37" s="77"/>
      <c r="Q37" s="77"/>
    </row>
    <row r="38">
      <c r="A38" s="11" t="s">
        <v>5</v>
      </c>
      <c r="B38" s="90" t="s">
        <v>59</v>
      </c>
      <c r="C38" s="13">
        <v>8.0</v>
      </c>
      <c r="D38" s="14" t="str">
        <f t="shared" ref="D38:D46" si="3">UPPER(TEXT(WEEKDAY(DATEVALUE(CONCATENATE(C38,"/",$C$3,"/",$A$1))),"DDD"))</f>
        <v>SEG.</v>
      </c>
      <c r="E38" s="13">
        <f t="shared" si="2"/>
        <v>11</v>
      </c>
      <c r="F38" s="87">
        <v>44503.0</v>
      </c>
      <c r="G38" s="56"/>
      <c r="H38" s="88">
        <v>495.76</v>
      </c>
      <c r="I38" s="58" t="s">
        <v>17</v>
      </c>
      <c r="J38" s="21" t="s">
        <v>60</v>
      </c>
      <c r="K38" s="59"/>
      <c r="L38" s="59"/>
      <c r="M38" s="59"/>
      <c r="N38" s="59"/>
      <c r="O38" s="59"/>
      <c r="P38" s="59"/>
      <c r="Q38" s="59"/>
    </row>
    <row r="39">
      <c r="A39" s="11" t="s">
        <v>5</v>
      </c>
      <c r="B39" s="39" t="s">
        <v>61</v>
      </c>
      <c r="C39" s="13">
        <v>8.0</v>
      </c>
      <c r="D39" s="14" t="str">
        <f t="shared" si="3"/>
        <v>SEG.</v>
      </c>
      <c r="E39" s="13">
        <f t="shared" si="2"/>
        <v>11</v>
      </c>
      <c r="F39" s="87">
        <v>44503.0</v>
      </c>
      <c r="G39" s="45"/>
      <c r="H39" s="46">
        <v>107.09</v>
      </c>
      <c r="I39" s="58" t="s">
        <v>17</v>
      </c>
      <c r="J39" s="21" t="s">
        <v>62</v>
      </c>
      <c r="K39" s="39"/>
      <c r="L39" s="39"/>
      <c r="M39" s="39"/>
      <c r="N39" s="39"/>
      <c r="O39" s="39"/>
      <c r="P39" s="39"/>
      <c r="Q39" s="39"/>
    </row>
    <row r="40">
      <c r="A40" s="102" t="s">
        <v>5</v>
      </c>
      <c r="B40" s="83" t="s">
        <v>442</v>
      </c>
      <c r="C40" s="207">
        <v>8.0</v>
      </c>
      <c r="D40" s="81" t="str">
        <f t="shared" si="3"/>
        <v>SEG.</v>
      </c>
      <c r="E40" s="207">
        <f t="shared" si="2"/>
        <v>11</v>
      </c>
      <c r="F40" s="196">
        <v>44503.0</v>
      </c>
      <c r="G40" s="70"/>
      <c r="H40" s="36">
        <v>32.9</v>
      </c>
      <c r="I40" s="78" t="s">
        <v>17</v>
      </c>
      <c r="J40" s="103" t="s">
        <v>443</v>
      </c>
      <c r="K40" s="99"/>
      <c r="L40" s="99"/>
      <c r="M40" s="99"/>
      <c r="N40" s="99"/>
      <c r="O40" s="99"/>
      <c r="P40" s="99"/>
      <c r="Q40" s="99"/>
    </row>
    <row r="41">
      <c r="A41" s="11" t="s">
        <v>5</v>
      </c>
      <c r="B41" s="179" t="s">
        <v>518</v>
      </c>
      <c r="C41" s="62">
        <v>9.0</v>
      </c>
      <c r="D41" s="25" t="str">
        <f t="shared" si="3"/>
        <v>TER.</v>
      </c>
      <c r="E41" s="13">
        <f t="shared" si="2"/>
        <v>11</v>
      </c>
      <c r="F41" s="26"/>
      <c r="G41" s="56"/>
      <c r="H41" s="63">
        <v>12.68</v>
      </c>
      <c r="I41" s="33" t="s">
        <v>249</v>
      </c>
      <c r="J41" s="173" t="s">
        <v>22</v>
      </c>
      <c r="K41" s="56"/>
      <c r="L41" s="56"/>
      <c r="M41" s="56"/>
      <c r="N41" s="56"/>
      <c r="O41" s="56"/>
      <c r="P41" s="56"/>
      <c r="Q41" s="56"/>
    </row>
    <row r="42">
      <c r="A42" s="11" t="s">
        <v>5</v>
      </c>
      <c r="B42" s="44" t="s">
        <v>556</v>
      </c>
      <c r="C42" s="13">
        <v>9.0</v>
      </c>
      <c r="D42" s="14" t="str">
        <f t="shared" si="3"/>
        <v>TER.</v>
      </c>
      <c r="E42" s="13">
        <f t="shared" si="2"/>
        <v>11</v>
      </c>
      <c r="F42" s="87"/>
      <c r="G42" s="45"/>
      <c r="H42" s="46">
        <v>140.0</v>
      </c>
      <c r="I42" s="58" t="s">
        <v>13</v>
      </c>
      <c r="J42" s="21" t="s">
        <v>557</v>
      </c>
      <c r="K42" s="39"/>
      <c r="L42" s="39"/>
      <c r="M42" s="39"/>
      <c r="N42" s="39"/>
      <c r="O42" s="39"/>
      <c r="P42" s="39"/>
      <c r="Q42" s="39"/>
    </row>
    <row r="43">
      <c r="A43" s="192" t="s">
        <v>5</v>
      </c>
      <c r="B43" s="185" t="s">
        <v>138</v>
      </c>
      <c r="C43" s="66">
        <v>9.0</v>
      </c>
      <c r="D43" s="14" t="str">
        <f t="shared" si="3"/>
        <v>TER.</v>
      </c>
      <c r="E43" s="13">
        <f t="shared" si="2"/>
        <v>11</v>
      </c>
      <c r="F43" s="43"/>
      <c r="G43" s="45"/>
      <c r="H43" s="46">
        <v>29.9</v>
      </c>
      <c r="I43" s="41" t="s">
        <v>252</v>
      </c>
      <c r="J43" s="42" t="s">
        <v>20</v>
      </c>
      <c r="K43" s="45"/>
      <c r="L43" s="45"/>
      <c r="M43" s="45"/>
      <c r="N43" s="45"/>
      <c r="O43" s="45"/>
      <c r="P43" s="45"/>
      <c r="Q43" s="45"/>
    </row>
    <row r="44">
      <c r="A44" s="192" t="s">
        <v>5</v>
      </c>
      <c r="B44" s="177" t="s">
        <v>21</v>
      </c>
      <c r="C44" s="62">
        <v>9.0</v>
      </c>
      <c r="D44" s="25" t="str">
        <f t="shared" si="3"/>
        <v>TER.</v>
      </c>
      <c r="E44" s="13">
        <f t="shared" si="2"/>
        <v>11</v>
      </c>
      <c r="F44" s="26"/>
      <c r="G44" s="56"/>
      <c r="H44" s="63">
        <v>92.0</v>
      </c>
      <c r="I44" s="33" t="s">
        <v>252</v>
      </c>
      <c r="J44" s="173" t="s">
        <v>22</v>
      </c>
      <c r="K44" s="56"/>
      <c r="L44" s="56"/>
      <c r="M44" s="56"/>
      <c r="N44" s="56"/>
      <c r="O44" s="56"/>
      <c r="P44" s="56"/>
      <c r="Q44" s="56"/>
    </row>
    <row r="45">
      <c r="A45" s="11" t="s">
        <v>5</v>
      </c>
      <c r="B45" s="34" t="s">
        <v>444</v>
      </c>
      <c r="C45" s="13">
        <v>10.0</v>
      </c>
      <c r="D45" s="14" t="str">
        <f t="shared" si="3"/>
        <v>QUA.</v>
      </c>
      <c r="E45" s="13">
        <f t="shared" si="2"/>
        <v>11</v>
      </c>
      <c r="F45" s="87">
        <v>44503.0</v>
      </c>
      <c r="G45" s="56"/>
      <c r="H45" s="63">
        <v>643.0</v>
      </c>
      <c r="I45" s="58" t="s">
        <v>17</v>
      </c>
      <c r="J45" s="21" t="s">
        <v>67</v>
      </c>
      <c r="K45" s="59"/>
      <c r="L45" s="59"/>
      <c r="M45" s="59"/>
      <c r="N45" s="59"/>
      <c r="O45" s="59"/>
      <c r="P45" s="59"/>
      <c r="Q45" s="59"/>
    </row>
    <row r="46">
      <c r="A46" s="11" t="s">
        <v>5</v>
      </c>
      <c r="B46" s="177" t="s">
        <v>84</v>
      </c>
      <c r="C46" s="148">
        <v>12.0</v>
      </c>
      <c r="D46" s="25" t="str">
        <f t="shared" si="3"/>
        <v>SEX.</v>
      </c>
      <c r="E46" s="13">
        <f t="shared" si="2"/>
        <v>11</v>
      </c>
      <c r="F46" s="87">
        <v>44504.0</v>
      </c>
      <c r="G46" s="56"/>
      <c r="H46" s="101">
        <f>SUM(H47:H54)</f>
        <v>221.85</v>
      </c>
      <c r="I46" s="23" t="s">
        <v>17</v>
      </c>
      <c r="J46" s="40"/>
      <c r="K46" s="56"/>
      <c r="L46" s="56"/>
      <c r="M46" s="56"/>
      <c r="N46" s="56"/>
      <c r="O46" s="56"/>
      <c r="P46" s="56"/>
      <c r="Q46" s="56"/>
    </row>
    <row r="47" outlineLevel="1">
      <c r="A47" s="11" t="s">
        <v>40</v>
      </c>
      <c r="B47" s="83" t="s">
        <v>558</v>
      </c>
      <c r="C47" s="194"/>
      <c r="D47" s="195"/>
      <c r="E47" s="193">
        <f t="shared" si="2"/>
        <v>11</v>
      </c>
      <c r="F47" s="196">
        <v>44480.0</v>
      </c>
      <c r="G47" s="70"/>
      <c r="H47" s="36">
        <v>100.0</v>
      </c>
      <c r="I47" s="70"/>
      <c r="J47" s="79" t="s">
        <v>513</v>
      </c>
      <c r="K47" s="84"/>
      <c r="L47" s="84"/>
      <c r="M47" s="84"/>
      <c r="N47" s="84"/>
      <c r="O47" s="84"/>
      <c r="P47" s="84"/>
      <c r="Q47" s="84"/>
    </row>
    <row r="48" outlineLevel="1">
      <c r="A48" s="192" t="s">
        <v>40</v>
      </c>
      <c r="B48" s="76" t="s">
        <v>559</v>
      </c>
      <c r="C48" s="155"/>
      <c r="D48" s="156"/>
      <c r="E48" s="193">
        <f t="shared" si="2"/>
        <v>11</v>
      </c>
      <c r="F48" s="217">
        <v>44480.0</v>
      </c>
      <c r="G48" s="31"/>
      <c r="H48" s="32">
        <v>98.99</v>
      </c>
      <c r="I48" s="31"/>
      <c r="J48" s="72" t="s">
        <v>513</v>
      </c>
      <c r="K48" s="77"/>
      <c r="L48" s="77"/>
      <c r="M48" s="77"/>
      <c r="N48" s="77"/>
      <c r="O48" s="77"/>
      <c r="P48" s="77"/>
      <c r="Q48" s="77"/>
    </row>
    <row r="49" outlineLevel="1">
      <c r="A49" s="192" t="s">
        <v>40</v>
      </c>
      <c r="B49" s="76" t="s">
        <v>559</v>
      </c>
      <c r="C49" s="155"/>
      <c r="D49" s="156"/>
      <c r="E49" s="193">
        <f t="shared" si="2"/>
        <v>11</v>
      </c>
      <c r="F49" s="217">
        <v>44480.0</v>
      </c>
      <c r="G49" s="31"/>
      <c r="H49" s="32">
        <v>19.99</v>
      </c>
      <c r="I49" s="31"/>
      <c r="J49" s="72" t="s">
        <v>513</v>
      </c>
      <c r="K49" s="77"/>
      <c r="L49" s="77"/>
      <c r="M49" s="77"/>
      <c r="N49" s="77"/>
      <c r="O49" s="77"/>
      <c r="P49" s="77"/>
      <c r="Q49" s="77"/>
    </row>
    <row r="50" outlineLevel="1">
      <c r="A50" s="11" t="s">
        <v>40</v>
      </c>
      <c r="B50" s="83" t="s">
        <v>560</v>
      </c>
      <c r="C50" s="194"/>
      <c r="D50" s="195"/>
      <c r="E50" s="193">
        <f t="shared" si="2"/>
        <v>11</v>
      </c>
      <c r="F50" s="196">
        <v>44484.0</v>
      </c>
      <c r="G50" s="70"/>
      <c r="H50" s="36">
        <v>-100.0</v>
      </c>
      <c r="I50" s="70"/>
      <c r="J50" s="79" t="s">
        <v>513</v>
      </c>
      <c r="K50" s="84"/>
      <c r="L50" s="84"/>
      <c r="M50" s="84"/>
      <c r="N50" s="84"/>
      <c r="O50" s="84"/>
      <c r="P50" s="84"/>
      <c r="Q50" s="84"/>
    </row>
    <row r="51" outlineLevel="1">
      <c r="A51" s="11" t="s">
        <v>40</v>
      </c>
      <c r="B51" s="83" t="s">
        <v>561</v>
      </c>
      <c r="C51" s="194"/>
      <c r="D51" s="195"/>
      <c r="E51" s="193">
        <f t="shared" si="2"/>
        <v>11</v>
      </c>
      <c r="F51" s="196">
        <v>44493.0</v>
      </c>
      <c r="G51" s="70"/>
      <c r="H51" s="36">
        <v>16.08</v>
      </c>
      <c r="I51" s="70"/>
      <c r="J51" s="83" t="s">
        <v>562</v>
      </c>
      <c r="K51" s="84"/>
      <c r="L51" s="84"/>
      <c r="M51" s="84"/>
      <c r="N51" s="84"/>
      <c r="O51" s="84"/>
      <c r="P51" s="84"/>
      <c r="Q51" s="84"/>
    </row>
    <row r="52" outlineLevel="1">
      <c r="A52" s="192" t="s">
        <v>40</v>
      </c>
      <c r="B52" s="76" t="s">
        <v>563</v>
      </c>
      <c r="C52" s="155"/>
      <c r="D52" s="156"/>
      <c r="E52" s="193">
        <f t="shared" si="2"/>
        <v>11</v>
      </c>
      <c r="F52" s="54">
        <v>44494.0</v>
      </c>
      <c r="G52" s="31"/>
      <c r="H52" s="32">
        <v>31.9</v>
      </c>
      <c r="I52" s="31"/>
      <c r="J52" s="83" t="s">
        <v>88</v>
      </c>
      <c r="K52" s="77"/>
      <c r="L52" s="77"/>
      <c r="M52" s="77"/>
      <c r="N52" s="77"/>
      <c r="O52" s="77"/>
      <c r="P52" s="77"/>
      <c r="Q52" s="77"/>
    </row>
    <row r="53" outlineLevel="1">
      <c r="A53" s="11" t="s">
        <v>40</v>
      </c>
      <c r="B53" s="79" t="s">
        <v>87</v>
      </c>
      <c r="C53" s="194"/>
      <c r="D53" s="195"/>
      <c r="E53" s="193">
        <f t="shared" si="2"/>
        <v>11</v>
      </c>
      <c r="F53" s="196">
        <v>44495.0</v>
      </c>
      <c r="G53" s="70"/>
      <c r="H53" s="151">
        <v>9.9</v>
      </c>
      <c r="I53" s="70"/>
      <c r="J53" s="83" t="s">
        <v>88</v>
      </c>
      <c r="K53" s="84"/>
      <c r="L53" s="84"/>
      <c r="M53" s="84"/>
      <c r="N53" s="84"/>
      <c r="O53" s="84"/>
      <c r="P53" s="84"/>
      <c r="Q53" s="84"/>
    </row>
    <row r="54" outlineLevel="1">
      <c r="A54" s="11" t="s">
        <v>40</v>
      </c>
      <c r="B54" s="76" t="s">
        <v>515</v>
      </c>
      <c r="C54" s="155"/>
      <c r="D54" s="156"/>
      <c r="E54" s="193">
        <f t="shared" si="2"/>
        <v>11</v>
      </c>
      <c r="F54" s="54">
        <v>44501.0</v>
      </c>
      <c r="G54" s="31"/>
      <c r="H54" s="32">
        <v>44.99</v>
      </c>
      <c r="I54" s="31"/>
      <c r="J54" s="76" t="s">
        <v>516</v>
      </c>
      <c r="K54" s="77"/>
      <c r="L54" s="77"/>
      <c r="M54" s="77"/>
      <c r="N54" s="77"/>
      <c r="O54" s="77"/>
      <c r="P54" s="77"/>
      <c r="Q54" s="77"/>
    </row>
    <row r="55">
      <c r="A55" s="11" t="s">
        <v>5</v>
      </c>
      <c r="B55" s="198" t="s">
        <v>260</v>
      </c>
      <c r="C55" s="80">
        <v>12.0</v>
      </c>
      <c r="D55" s="81" t="str">
        <f t="shared" ref="D55:D106" si="4">UPPER(TEXT(WEEKDAY(DATEVALUE(CONCATENATE(C55,"/",$C$3,"/",$A$1))),"DDD"))</f>
        <v>SEX.</v>
      </c>
      <c r="E55" s="13">
        <f t="shared" si="2"/>
        <v>11</v>
      </c>
      <c r="F55" s="87"/>
      <c r="G55" s="36">
        <v>5100.0</v>
      </c>
      <c r="H55" s="70"/>
      <c r="I55" s="78" t="s">
        <v>261</v>
      </c>
      <c r="J55" s="103" t="s">
        <v>64</v>
      </c>
      <c r="K55" s="70"/>
      <c r="L55" s="70"/>
      <c r="M55" s="70"/>
      <c r="N55" s="70"/>
      <c r="O55" s="70"/>
      <c r="P55" s="70"/>
      <c r="Q55" s="70"/>
    </row>
    <row r="56">
      <c r="A56" s="11" t="s">
        <v>25</v>
      </c>
      <c r="B56" s="39" t="s">
        <v>26</v>
      </c>
      <c r="C56" s="66">
        <v>12.0</v>
      </c>
      <c r="D56" s="14" t="str">
        <f t="shared" si="4"/>
        <v>SEX.</v>
      </c>
      <c r="E56" s="13">
        <f t="shared" si="2"/>
        <v>11</v>
      </c>
      <c r="F56" s="87"/>
      <c r="G56" s="45"/>
      <c r="H56" s="46">
        <v>5100.0</v>
      </c>
      <c r="I56" s="67" t="s">
        <v>261</v>
      </c>
      <c r="J56" s="42"/>
      <c r="K56" s="68"/>
      <c r="L56" s="68"/>
      <c r="M56" s="68"/>
      <c r="N56" s="68"/>
      <c r="O56" s="68"/>
      <c r="P56" s="68"/>
      <c r="Q56" s="68"/>
    </row>
    <row r="57">
      <c r="A57" s="11" t="s">
        <v>25</v>
      </c>
      <c r="B57" s="61" t="s">
        <v>27</v>
      </c>
      <c r="C57" s="148">
        <v>12.0</v>
      </c>
      <c r="D57" s="25" t="str">
        <f t="shared" si="4"/>
        <v>SEX.</v>
      </c>
      <c r="E57" s="13">
        <f t="shared" si="2"/>
        <v>11</v>
      </c>
      <c r="F57" s="87"/>
      <c r="G57" s="63">
        <v>5100.0</v>
      </c>
      <c r="H57" s="56"/>
      <c r="I57" s="64" t="s">
        <v>17</v>
      </c>
      <c r="J57" s="40"/>
      <c r="K57" s="59"/>
      <c r="L57" s="59"/>
      <c r="M57" s="59"/>
      <c r="N57" s="59"/>
      <c r="O57" s="59"/>
      <c r="P57" s="59"/>
      <c r="Q57" s="59"/>
    </row>
    <row r="58">
      <c r="A58" s="11" t="s">
        <v>25</v>
      </c>
      <c r="B58" s="39" t="s">
        <v>26</v>
      </c>
      <c r="C58" s="66">
        <v>12.0</v>
      </c>
      <c r="D58" s="14" t="str">
        <f t="shared" si="4"/>
        <v>SEX.</v>
      </c>
      <c r="E58" s="13">
        <f t="shared" si="2"/>
        <v>11</v>
      </c>
      <c r="F58" s="87"/>
      <c r="G58" s="45"/>
      <c r="H58" s="46">
        <v>1300.0</v>
      </c>
      <c r="I58" s="149" t="s">
        <v>17</v>
      </c>
      <c r="J58" s="42"/>
      <c r="K58" s="68"/>
      <c r="L58" s="68"/>
      <c r="M58" s="68"/>
      <c r="N58" s="68"/>
      <c r="O58" s="68"/>
      <c r="P58" s="68"/>
      <c r="Q58" s="68"/>
    </row>
    <row r="59">
      <c r="A59" s="11" t="s">
        <v>25</v>
      </c>
      <c r="B59" s="61" t="s">
        <v>27</v>
      </c>
      <c r="C59" s="148">
        <v>12.0</v>
      </c>
      <c r="D59" s="25" t="str">
        <f t="shared" si="4"/>
        <v>SEX.</v>
      </c>
      <c r="E59" s="13">
        <f t="shared" si="2"/>
        <v>11</v>
      </c>
      <c r="F59" s="87"/>
      <c r="G59" s="63">
        <v>1300.0</v>
      </c>
      <c r="H59" s="56"/>
      <c r="I59" s="37" t="s">
        <v>13</v>
      </c>
      <c r="J59" s="40"/>
      <c r="K59" s="59"/>
      <c r="L59" s="59"/>
      <c r="M59" s="59"/>
      <c r="N59" s="59"/>
      <c r="O59" s="59"/>
      <c r="P59" s="59"/>
      <c r="Q59" s="59"/>
    </row>
    <row r="60">
      <c r="A60" s="102" t="s">
        <v>5</v>
      </c>
      <c r="B60" s="83" t="s">
        <v>564</v>
      </c>
      <c r="C60" s="80">
        <v>12.0</v>
      </c>
      <c r="D60" s="81" t="str">
        <f t="shared" si="4"/>
        <v>SEX.</v>
      </c>
      <c r="E60" s="207">
        <f t="shared" si="2"/>
        <v>11</v>
      </c>
      <c r="F60" s="35"/>
      <c r="G60" s="70"/>
      <c r="H60" s="36">
        <v>32.0</v>
      </c>
      <c r="I60" s="78" t="s">
        <v>17</v>
      </c>
      <c r="J60" s="199" t="s">
        <v>20</v>
      </c>
      <c r="K60" s="197"/>
      <c r="L60" s="197"/>
      <c r="M60" s="197"/>
      <c r="N60" s="197"/>
      <c r="O60" s="84"/>
      <c r="P60" s="84"/>
      <c r="Q60" s="84"/>
    </row>
    <row r="61">
      <c r="A61" s="11" t="s">
        <v>5</v>
      </c>
      <c r="B61" s="44" t="s">
        <v>565</v>
      </c>
      <c r="C61" s="13">
        <v>12.0</v>
      </c>
      <c r="D61" s="14" t="str">
        <f t="shared" si="4"/>
        <v>SEX.</v>
      </c>
      <c r="E61" s="13">
        <f t="shared" si="2"/>
        <v>11</v>
      </c>
      <c r="F61" s="85"/>
      <c r="G61" s="45"/>
      <c r="H61" s="46">
        <v>100.0</v>
      </c>
      <c r="I61" s="58" t="s">
        <v>17</v>
      </c>
      <c r="J61" s="21" t="s">
        <v>566</v>
      </c>
      <c r="K61" s="21"/>
      <c r="L61" s="21"/>
      <c r="M61" s="21"/>
      <c r="N61" s="21"/>
      <c r="O61" s="39"/>
      <c r="P61" s="39"/>
      <c r="Q61" s="39"/>
    </row>
    <row r="62">
      <c r="A62" s="102" t="s">
        <v>5</v>
      </c>
      <c r="B62" s="83" t="s">
        <v>567</v>
      </c>
      <c r="C62" s="80">
        <v>12.0</v>
      </c>
      <c r="D62" s="81" t="str">
        <f t="shared" si="4"/>
        <v>SEX.</v>
      </c>
      <c r="E62" s="207">
        <f t="shared" si="2"/>
        <v>11</v>
      </c>
      <c r="F62" s="35"/>
      <c r="G62" s="70"/>
      <c r="H62" s="36">
        <v>126.89</v>
      </c>
      <c r="I62" s="78" t="s">
        <v>17</v>
      </c>
      <c r="J62" s="199" t="s">
        <v>20</v>
      </c>
      <c r="K62" s="197"/>
      <c r="L62" s="197"/>
      <c r="M62" s="197"/>
      <c r="N62" s="197"/>
      <c r="O62" s="84"/>
      <c r="P62" s="84"/>
      <c r="Q62" s="84"/>
    </row>
    <row r="63">
      <c r="A63" s="11" t="s">
        <v>5</v>
      </c>
      <c r="B63" s="103" t="s">
        <v>568</v>
      </c>
      <c r="C63" s="13">
        <v>13.0</v>
      </c>
      <c r="D63" s="14" t="str">
        <f t="shared" si="4"/>
        <v>SÁB.</v>
      </c>
      <c r="E63" s="13">
        <f t="shared" si="2"/>
        <v>11</v>
      </c>
      <c r="F63" s="54"/>
      <c r="G63" s="70"/>
      <c r="H63" s="86">
        <v>282.87</v>
      </c>
      <c r="I63" s="105" t="s">
        <v>17</v>
      </c>
      <c r="J63" s="21" t="s">
        <v>569</v>
      </c>
      <c r="K63" s="84"/>
      <c r="L63" s="84"/>
      <c r="M63" s="84"/>
      <c r="N63" s="84"/>
      <c r="O63" s="84"/>
      <c r="P63" s="84"/>
      <c r="Q63" s="84"/>
    </row>
    <row r="64">
      <c r="A64" s="11" t="s">
        <v>5</v>
      </c>
      <c r="B64" s="103" t="s">
        <v>570</v>
      </c>
      <c r="C64" s="13">
        <v>13.0</v>
      </c>
      <c r="D64" s="14" t="str">
        <f t="shared" si="4"/>
        <v>SÁB.</v>
      </c>
      <c r="E64" s="13">
        <f t="shared" si="2"/>
        <v>11</v>
      </c>
      <c r="F64" s="54"/>
      <c r="G64" s="70"/>
      <c r="H64" s="86">
        <v>53.9</v>
      </c>
      <c r="I64" s="105" t="s">
        <v>17</v>
      </c>
      <c r="J64" s="21" t="s">
        <v>571</v>
      </c>
      <c r="K64" s="84"/>
      <c r="L64" s="84"/>
      <c r="M64" s="84"/>
      <c r="N64" s="84"/>
      <c r="O64" s="84"/>
      <c r="P64" s="84"/>
      <c r="Q64" s="84"/>
    </row>
    <row r="65">
      <c r="A65" s="192" t="s">
        <v>5</v>
      </c>
      <c r="B65" s="179" t="s">
        <v>138</v>
      </c>
      <c r="C65" s="62">
        <v>14.0</v>
      </c>
      <c r="D65" s="25" t="str">
        <f t="shared" si="4"/>
        <v>DOM.</v>
      </c>
      <c r="E65" s="13">
        <f t="shared" si="2"/>
        <v>11</v>
      </c>
      <c r="F65" s="26"/>
      <c r="G65" s="56"/>
      <c r="H65" s="63">
        <v>64.8</v>
      </c>
      <c r="I65" s="33" t="s">
        <v>252</v>
      </c>
      <c r="J65" s="90" t="s">
        <v>20</v>
      </c>
      <c r="K65" s="56"/>
      <c r="L65" s="56"/>
      <c r="M65" s="56"/>
      <c r="N65" s="56"/>
      <c r="O65" s="56"/>
      <c r="P65" s="56"/>
      <c r="Q65" s="56"/>
    </row>
    <row r="66">
      <c r="A66" s="192" t="s">
        <v>5</v>
      </c>
      <c r="B66" s="179" t="s">
        <v>21</v>
      </c>
      <c r="C66" s="62">
        <v>14.0</v>
      </c>
      <c r="D66" s="25" t="str">
        <f t="shared" si="4"/>
        <v>DOM.</v>
      </c>
      <c r="E66" s="13">
        <f t="shared" si="2"/>
        <v>11</v>
      </c>
      <c r="F66" s="26"/>
      <c r="G66" s="56"/>
      <c r="H66" s="63">
        <v>150.19</v>
      </c>
      <c r="I66" s="33" t="s">
        <v>249</v>
      </c>
      <c r="J66" s="173" t="s">
        <v>22</v>
      </c>
      <c r="K66" s="56"/>
      <c r="L66" s="56"/>
      <c r="M66" s="56"/>
      <c r="N66" s="56"/>
      <c r="O66" s="56"/>
      <c r="P66" s="56"/>
      <c r="Q66" s="56"/>
    </row>
    <row r="67">
      <c r="A67" s="11" t="s">
        <v>5</v>
      </c>
      <c r="B67" s="39" t="s">
        <v>102</v>
      </c>
      <c r="C67" s="13">
        <v>15.0</v>
      </c>
      <c r="D67" s="14" t="str">
        <f t="shared" si="4"/>
        <v>SEG.</v>
      </c>
      <c r="E67" s="13">
        <f t="shared" si="2"/>
        <v>11</v>
      </c>
      <c r="F67" s="87">
        <v>44512.0</v>
      </c>
      <c r="G67" s="45"/>
      <c r="H67" s="46">
        <v>192.43</v>
      </c>
      <c r="I67" s="58" t="s">
        <v>13</v>
      </c>
      <c r="J67" s="21" t="s">
        <v>75</v>
      </c>
      <c r="K67" s="39"/>
      <c r="L67" s="39"/>
      <c r="M67" s="39"/>
      <c r="N67" s="39"/>
      <c r="O67" s="39"/>
      <c r="P67" s="39"/>
      <c r="Q67" s="39"/>
    </row>
    <row r="68">
      <c r="A68" s="11" t="s">
        <v>5</v>
      </c>
      <c r="B68" s="61" t="s">
        <v>103</v>
      </c>
      <c r="C68" s="13">
        <v>15.0</v>
      </c>
      <c r="D68" s="14" t="str">
        <f t="shared" si="4"/>
        <v>SEG.</v>
      </c>
      <c r="E68" s="13">
        <f t="shared" si="2"/>
        <v>11</v>
      </c>
      <c r="F68" s="87">
        <v>44512.0</v>
      </c>
      <c r="G68" s="56"/>
      <c r="H68" s="63">
        <v>192.43</v>
      </c>
      <c r="I68" s="58" t="s">
        <v>13</v>
      </c>
      <c r="J68" s="21" t="s">
        <v>75</v>
      </c>
      <c r="K68" s="61"/>
      <c r="L68" s="61"/>
      <c r="M68" s="61"/>
      <c r="N68" s="61"/>
      <c r="O68" s="61"/>
      <c r="P68" s="61"/>
      <c r="Q68" s="61"/>
    </row>
    <row r="69">
      <c r="A69" s="11" t="s">
        <v>5</v>
      </c>
      <c r="B69" s="39" t="s">
        <v>104</v>
      </c>
      <c r="C69" s="13">
        <v>15.0</v>
      </c>
      <c r="D69" s="14" t="str">
        <f t="shared" si="4"/>
        <v>SEG.</v>
      </c>
      <c r="E69" s="13">
        <f t="shared" si="2"/>
        <v>11</v>
      </c>
      <c r="F69" s="87">
        <v>44512.0</v>
      </c>
      <c r="G69" s="45"/>
      <c r="H69" s="46">
        <v>243.3</v>
      </c>
      <c r="I69" s="58" t="s">
        <v>13</v>
      </c>
      <c r="J69" s="21" t="s">
        <v>75</v>
      </c>
      <c r="K69" s="39"/>
      <c r="L69" s="39"/>
      <c r="M69" s="39"/>
      <c r="N69" s="39"/>
      <c r="O69" s="39"/>
      <c r="P69" s="39"/>
      <c r="Q69" s="39"/>
    </row>
    <row r="70">
      <c r="A70" s="11" t="s">
        <v>5</v>
      </c>
      <c r="B70" s="79" t="s">
        <v>73</v>
      </c>
      <c r="C70" s="80">
        <v>17.0</v>
      </c>
      <c r="D70" s="81" t="str">
        <f t="shared" si="4"/>
        <v>QUA.</v>
      </c>
      <c r="E70" s="13">
        <f t="shared" si="2"/>
        <v>11</v>
      </c>
      <c r="F70" s="35"/>
      <c r="G70" s="70"/>
      <c r="H70" s="36">
        <v>43.0</v>
      </c>
      <c r="I70" s="152" t="s">
        <v>17</v>
      </c>
      <c r="J70" s="199" t="s">
        <v>20</v>
      </c>
      <c r="K70" s="106"/>
      <c r="L70" s="106"/>
      <c r="M70" s="106"/>
      <c r="N70" s="106"/>
      <c r="O70" s="84"/>
      <c r="P70" s="84"/>
      <c r="Q70" s="84"/>
    </row>
    <row r="71">
      <c r="A71" s="11" t="s">
        <v>5</v>
      </c>
      <c r="B71" s="69" t="s">
        <v>427</v>
      </c>
      <c r="C71" s="80">
        <v>17.0</v>
      </c>
      <c r="D71" s="81" t="str">
        <f t="shared" si="4"/>
        <v>QUA.</v>
      </c>
      <c r="E71" s="207">
        <f t="shared" si="2"/>
        <v>11</v>
      </c>
      <c r="F71" s="35"/>
      <c r="G71" s="70"/>
      <c r="H71" s="36">
        <v>156.6</v>
      </c>
      <c r="I71" s="105" t="s">
        <v>249</v>
      </c>
      <c r="J71" s="199" t="s">
        <v>22</v>
      </c>
      <c r="K71" s="70"/>
      <c r="L71" s="70"/>
      <c r="M71" s="70"/>
      <c r="N71" s="70"/>
      <c r="O71" s="70"/>
      <c r="P71" s="70"/>
      <c r="Q71" s="70"/>
    </row>
    <row r="72">
      <c r="A72" s="11" t="s">
        <v>5</v>
      </c>
      <c r="B72" s="42" t="s">
        <v>109</v>
      </c>
      <c r="C72" s="13">
        <v>18.0</v>
      </c>
      <c r="D72" s="14" t="str">
        <f t="shared" si="4"/>
        <v>QUI.</v>
      </c>
      <c r="E72" s="13">
        <f t="shared" si="2"/>
        <v>11</v>
      </c>
      <c r="F72" s="14"/>
      <c r="G72" s="53">
        <v>2500.0</v>
      </c>
      <c r="H72" s="53"/>
      <c r="I72" s="58" t="s">
        <v>15</v>
      </c>
      <c r="J72" s="44" t="s">
        <v>411</v>
      </c>
      <c r="K72" s="42"/>
      <c r="L72" s="96"/>
      <c r="M72" s="21"/>
      <c r="N72" s="21"/>
      <c r="O72" s="39"/>
      <c r="P72" s="39"/>
      <c r="Q72" s="39"/>
    </row>
    <row r="73">
      <c r="A73" s="181" t="s">
        <v>25</v>
      </c>
      <c r="B73" s="42" t="s">
        <v>26</v>
      </c>
      <c r="C73" s="66">
        <v>18.0</v>
      </c>
      <c r="D73" s="14" t="str">
        <f t="shared" si="4"/>
        <v>QUI.</v>
      </c>
      <c r="E73" s="144">
        <f t="shared" si="2"/>
        <v>11</v>
      </c>
      <c r="F73" s="43"/>
      <c r="G73" s="45"/>
      <c r="H73" s="53">
        <v>2500.0</v>
      </c>
      <c r="I73" s="67" t="s">
        <v>15</v>
      </c>
      <c r="J73" s="188"/>
      <c r="K73" s="68"/>
      <c r="L73" s="68"/>
      <c r="M73" s="68"/>
      <c r="N73" s="68"/>
      <c r="O73" s="68"/>
      <c r="P73" s="68"/>
      <c r="Q73" s="68"/>
    </row>
    <row r="74">
      <c r="A74" s="172" t="s">
        <v>25</v>
      </c>
      <c r="B74" s="40" t="s">
        <v>27</v>
      </c>
      <c r="C74" s="148">
        <v>18.0</v>
      </c>
      <c r="D74" s="25" t="str">
        <f t="shared" si="4"/>
        <v>QUI.</v>
      </c>
      <c r="E74" s="184">
        <f t="shared" si="2"/>
        <v>11</v>
      </c>
      <c r="F74" s="26"/>
      <c r="G74" s="101">
        <v>2500.0</v>
      </c>
      <c r="H74" s="56"/>
      <c r="I74" s="64" t="s">
        <v>17</v>
      </c>
      <c r="J74" s="218"/>
      <c r="K74" s="59"/>
      <c r="L74" s="59"/>
      <c r="M74" s="59"/>
      <c r="N74" s="59"/>
      <c r="O74" s="59"/>
      <c r="P74" s="59"/>
      <c r="Q74" s="59"/>
    </row>
    <row r="75">
      <c r="A75" s="97" t="s">
        <v>5</v>
      </c>
      <c r="B75" s="76" t="s">
        <v>114</v>
      </c>
      <c r="C75" s="193">
        <v>18.0</v>
      </c>
      <c r="D75" s="74" t="str">
        <f t="shared" si="4"/>
        <v>QUI.</v>
      </c>
      <c r="E75" s="193">
        <f t="shared" si="2"/>
        <v>11</v>
      </c>
      <c r="F75" s="30"/>
      <c r="G75" s="31"/>
      <c r="H75" s="153">
        <v>2500.0</v>
      </c>
      <c r="I75" s="58" t="s">
        <v>17</v>
      </c>
      <c r="J75" s="76" t="s">
        <v>115</v>
      </c>
      <c r="K75" s="77"/>
      <c r="L75" s="77"/>
      <c r="M75" s="77"/>
      <c r="N75" s="77"/>
      <c r="O75" s="77"/>
      <c r="P75" s="77"/>
      <c r="Q75" s="77"/>
    </row>
    <row r="76">
      <c r="A76" s="11" t="s">
        <v>5</v>
      </c>
      <c r="B76" s="44" t="s">
        <v>364</v>
      </c>
      <c r="C76" s="13">
        <v>19.0</v>
      </c>
      <c r="D76" s="14" t="str">
        <f t="shared" si="4"/>
        <v>SEX.</v>
      </c>
      <c r="E76" s="13">
        <f t="shared" si="2"/>
        <v>11</v>
      </c>
      <c r="F76" s="43"/>
      <c r="G76" s="46"/>
      <c r="H76" s="46">
        <v>800.0</v>
      </c>
      <c r="I76" s="47" t="s">
        <v>17</v>
      </c>
      <c r="J76" s="21" t="s">
        <v>365</v>
      </c>
      <c r="K76" s="39"/>
      <c r="L76" s="39"/>
      <c r="M76" s="39"/>
      <c r="N76" s="39"/>
      <c r="O76" s="39"/>
      <c r="P76" s="39"/>
      <c r="Q76" s="39"/>
    </row>
    <row r="77">
      <c r="A77" s="11" t="s">
        <v>5</v>
      </c>
      <c r="B77" s="39" t="s">
        <v>125</v>
      </c>
      <c r="C77" s="13">
        <v>20.0</v>
      </c>
      <c r="D77" s="14" t="str">
        <f t="shared" si="4"/>
        <v>SÁB.</v>
      </c>
      <c r="E77" s="13">
        <f t="shared" si="2"/>
        <v>11</v>
      </c>
      <c r="F77" s="87">
        <v>44512.0</v>
      </c>
      <c r="G77" s="45"/>
      <c r="H77" s="46">
        <v>373.41</v>
      </c>
      <c r="I77" s="58" t="s">
        <v>13</v>
      </c>
      <c r="J77" s="21" t="s">
        <v>126</v>
      </c>
      <c r="K77" s="39"/>
      <c r="L77" s="39"/>
      <c r="M77" s="39"/>
      <c r="N77" s="39"/>
      <c r="O77" s="39"/>
      <c r="P77" s="39"/>
      <c r="Q77" s="39"/>
    </row>
    <row r="78">
      <c r="A78" s="11" t="s">
        <v>5</v>
      </c>
      <c r="B78" s="179" t="s">
        <v>518</v>
      </c>
      <c r="C78" s="62">
        <v>21.0</v>
      </c>
      <c r="D78" s="25" t="str">
        <f t="shared" si="4"/>
        <v>DOM.</v>
      </c>
      <c r="E78" s="13">
        <f t="shared" si="2"/>
        <v>11</v>
      </c>
      <c r="F78" s="26"/>
      <c r="G78" s="56"/>
      <c r="H78" s="63">
        <v>168.26</v>
      </c>
      <c r="I78" s="33" t="s">
        <v>17</v>
      </c>
      <c r="J78" s="173" t="s">
        <v>22</v>
      </c>
      <c r="K78" s="56"/>
      <c r="L78" s="56"/>
      <c r="M78" s="56"/>
      <c r="N78" s="56"/>
      <c r="O78" s="56"/>
      <c r="P78" s="56"/>
      <c r="Q78" s="56"/>
    </row>
    <row r="79">
      <c r="A79" s="11" t="s">
        <v>5</v>
      </c>
      <c r="B79" s="103" t="s">
        <v>490</v>
      </c>
      <c r="C79" s="13">
        <v>21.0</v>
      </c>
      <c r="D79" s="14" t="str">
        <f t="shared" si="4"/>
        <v>DOM.</v>
      </c>
      <c r="E79" s="13">
        <f t="shared" si="2"/>
        <v>11</v>
      </c>
      <c r="F79" s="54"/>
      <c r="G79" s="70"/>
      <c r="H79" s="86">
        <v>64.94</v>
      </c>
      <c r="I79" s="105" t="s">
        <v>17</v>
      </c>
      <c r="J79" s="21" t="s">
        <v>229</v>
      </c>
      <c r="K79" s="84"/>
      <c r="L79" s="84"/>
      <c r="M79" s="84"/>
      <c r="N79" s="84"/>
      <c r="O79" s="84"/>
      <c r="P79" s="84"/>
      <c r="Q79" s="84"/>
    </row>
    <row r="80">
      <c r="A80" s="192" t="s">
        <v>5</v>
      </c>
      <c r="B80" s="44" t="s">
        <v>548</v>
      </c>
      <c r="C80" s="66">
        <v>5.0</v>
      </c>
      <c r="D80" s="14" t="str">
        <f t="shared" si="4"/>
        <v>SEX.</v>
      </c>
      <c r="E80" s="13">
        <f t="shared" si="2"/>
        <v>11</v>
      </c>
      <c r="F80" s="43"/>
      <c r="G80" s="45"/>
      <c r="H80" s="46">
        <v>25.0</v>
      </c>
      <c r="I80" s="149" t="s">
        <v>17</v>
      </c>
      <c r="J80" s="44" t="s">
        <v>549</v>
      </c>
      <c r="K80" s="68"/>
      <c r="L80" s="68"/>
      <c r="M80" s="68"/>
      <c r="N80" s="68"/>
      <c r="O80" s="68"/>
      <c r="P80" s="68"/>
      <c r="Q80" s="68"/>
    </row>
    <row r="81">
      <c r="A81" s="11" t="s">
        <v>5</v>
      </c>
      <c r="B81" s="29" t="s">
        <v>305</v>
      </c>
      <c r="C81" s="73">
        <v>22.0</v>
      </c>
      <c r="D81" s="74" t="str">
        <f t="shared" si="4"/>
        <v>SEG.</v>
      </c>
      <c r="E81" s="193">
        <f t="shared" si="2"/>
        <v>11</v>
      </c>
      <c r="F81" s="30"/>
      <c r="G81" s="31"/>
      <c r="H81" s="153">
        <v>100.0</v>
      </c>
      <c r="I81" s="71" t="s">
        <v>17</v>
      </c>
      <c r="J81" s="72" t="s">
        <v>306</v>
      </c>
      <c r="K81" s="31"/>
      <c r="L81" s="31"/>
      <c r="M81" s="31"/>
      <c r="N81" s="31"/>
      <c r="O81" s="31"/>
      <c r="P81" s="31"/>
      <c r="Q81" s="31"/>
    </row>
    <row r="82">
      <c r="A82" s="11" t="s">
        <v>5</v>
      </c>
      <c r="B82" s="34" t="s">
        <v>373</v>
      </c>
      <c r="C82" s="13">
        <v>22.0</v>
      </c>
      <c r="D82" s="14" t="str">
        <f t="shared" si="4"/>
        <v>SEG.</v>
      </c>
      <c r="E82" s="13">
        <f t="shared" si="2"/>
        <v>11</v>
      </c>
      <c r="F82" s="94"/>
      <c r="G82" s="56"/>
      <c r="H82" s="63">
        <v>0.0</v>
      </c>
      <c r="I82" s="58" t="s">
        <v>17</v>
      </c>
      <c r="J82" s="21" t="s">
        <v>128</v>
      </c>
      <c r="K82" s="61"/>
      <c r="L82" s="61"/>
      <c r="M82" s="61"/>
      <c r="N82" s="61"/>
      <c r="O82" s="61"/>
      <c r="P82" s="61"/>
      <c r="Q82" s="61"/>
    </row>
    <row r="83">
      <c r="A83" s="11" t="s">
        <v>5</v>
      </c>
      <c r="B83" s="39" t="s">
        <v>134</v>
      </c>
      <c r="C83" s="13">
        <v>23.0</v>
      </c>
      <c r="D83" s="14" t="str">
        <f t="shared" si="4"/>
        <v>TER.</v>
      </c>
      <c r="E83" s="13">
        <f t="shared" si="2"/>
        <v>11</v>
      </c>
      <c r="F83" s="43"/>
      <c r="G83" s="45"/>
      <c r="H83" s="46">
        <v>360.32</v>
      </c>
      <c r="I83" s="60" t="s">
        <v>13</v>
      </c>
      <c r="J83" s="21" t="s">
        <v>135</v>
      </c>
      <c r="K83" s="39"/>
      <c r="L83" s="39"/>
      <c r="M83" s="39"/>
      <c r="N83" s="39"/>
      <c r="O83" s="39"/>
      <c r="P83" s="39"/>
      <c r="Q83" s="39"/>
    </row>
    <row r="84">
      <c r="A84" s="11" t="s">
        <v>5</v>
      </c>
      <c r="B84" s="69" t="s">
        <v>427</v>
      </c>
      <c r="C84" s="80">
        <v>24.0</v>
      </c>
      <c r="D84" s="81" t="str">
        <f t="shared" si="4"/>
        <v>QUA.</v>
      </c>
      <c r="E84" s="207">
        <f t="shared" si="2"/>
        <v>11</v>
      </c>
      <c r="F84" s="35"/>
      <c r="G84" s="70"/>
      <c r="H84" s="36">
        <v>54.92</v>
      </c>
      <c r="I84" s="105" t="s">
        <v>252</v>
      </c>
      <c r="J84" s="199" t="s">
        <v>22</v>
      </c>
      <c r="K84" s="70"/>
      <c r="L84" s="70"/>
      <c r="M84" s="70"/>
      <c r="N84" s="70"/>
      <c r="O84" s="70"/>
      <c r="P84" s="70"/>
      <c r="Q84" s="70"/>
    </row>
    <row r="85">
      <c r="A85" s="102" t="s">
        <v>5</v>
      </c>
      <c r="B85" s="69" t="s">
        <v>21</v>
      </c>
      <c r="C85" s="80">
        <v>25.0</v>
      </c>
      <c r="D85" s="81" t="str">
        <f t="shared" si="4"/>
        <v>QUI.</v>
      </c>
      <c r="E85" s="207">
        <f t="shared" si="2"/>
        <v>11</v>
      </c>
      <c r="F85" s="35"/>
      <c r="G85" s="70"/>
      <c r="H85" s="36">
        <v>78.22</v>
      </c>
      <c r="I85" s="142" t="s">
        <v>252</v>
      </c>
      <c r="J85" s="199" t="s">
        <v>22</v>
      </c>
      <c r="K85" s="70"/>
      <c r="L85" s="70"/>
      <c r="M85" s="70"/>
      <c r="N85" s="70"/>
      <c r="O85" s="70"/>
      <c r="P85" s="70"/>
      <c r="Q85" s="70"/>
    </row>
    <row r="86">
      <c r="A86" s="71" t="s">
        <v>5</v>
      </c>
      <c r="B86" s="29" t="s">
        <v>21</v>
      </c>
      <c r="C86" s="193">
        <v>25.0</v>
      </c>
      <c r="D86" s="74" t="str">
        <f t="shared" si="4"/>
        <v>QUI.</v>
      </c>
      <c r="E86" s="193">
        <f t="shared" si="2"/>
        <v>11</v>
      </c>
      <c r="F86" s="30"/>
      <c r="G86" s="31"/>
      <c r="H86" s="32">
        <v>10.0</v>
      </c>
      <c r="I86" s="58" t="s">
        <v>249</v>
      </c>
      <c r="J86" s="72" t="s">
        <v>22</v>
      </c>
      <c r="K86" s="31"/>
      <c r="L86" s="31"/>
      <c r="M86" s="31"/>
      <c r="N86" s="31"/>
      <c r="O86" s="31"/>
      <c r="P86" s="31"/>
      <c r="Q86" s="31"/>
    </row>
    <row r="87">
      <c r="A87" s="11" t="s">
        <v>5</v>
      </c>
      <c r="B87" s="44" t="s">
        <v>462</v>
      </c>
      <c r="C87" s="13">
        <v>25.0</v>
      </c>
      <c r="D87" s="14" t="str">
        <f t="shared" si="4"/>
        <v>QUI.</v>
      </c>
      <c r="E87" s="13">
        <f t="shared" si="2"/>
        <v>11</v>
      </c>
      <c r="F87" s="54"/>
      <c r="G87" s="45"/>
      <c r="H87" s="46">
        <v>242.72</v>
      </c>
      <c r="I87" s="71" t="s">
        <v>17</v>
      </c>
      <c r="J87" s="21" t="s">
        <v>31</v>
      </c>
      <c r="K87" s="39"/>
      <c r="L87" s="39"/>
      <c r="M87" s="39"/>
      <c r="N87" s="39"/>
      <c r="O87" s="39"/>
      <c r="P87" s="39"/>
      <c r="Q87" s="39"/>
    </row>
    <row r="88">
      <c r="A88" s="11" t="s">
        <v>5</v>
      </c>
      <c r="B88" s="76" t="s">
        <v>473</v>
      </c>
      <c r="C88" s="13">
        <v>25.0</v>
      </c>
      <c r="D88" s="14" t="str">
        <f t="shared" si="4"/>
        <v>QUI.</v>
      </c>
      <c r="E88" s="13">
        <f t="shared" si="2"/>
        <v>11</v>
      </c>
      <c r="F88" s="54"/>
      <c r="G88" s="31"/>
      <c r="H88" s="32">
        <v>39.98</v>
      </c>
      <c r="I88" s="58" t="s">
        <v>17</v>
      </c>
      <c r="J88" s="76" t="s">
        <v>476</v>
      </c>
      <c r="K88" s="77"/>
      <c r="L88" s="77"/>
      <c r="M88" s="77"/>
      <c r="N88" s="77"/>
      <c r="O88" s="77"/>
      <c r="P88" s="77"/>
      <c r="Q88" s="77"/>
    </row>
    <row r="89">
      <c r="A89" s="11" t="s">
        <v>5</v>
      </c>
      <c r="B89" s="44" t="s">
        <v>572</v>
      </c>
      <c r="C89" s="13">
        <v>25.0</v>
      </c>
      <c r="D89" s="14" t="str">
        <f t="shared" si="4"/>
        <v>QUI.</v>
      </c>
      <c r="E89" s="13">
        <f t="shared" si="2"/>
        <v>11</v>
      </c>
      <c r="F89" s="85"/>
      <c r="G89" s="45"/>
      <c r="H89" s="46">
        <v>200.0</v>
      </c>
      <c r="I89" s="58" t="s">
        <v>17</v>
      </c>
      <c r="J89" s="21" t="s">
        <v>573</v>
      </c>
      <c r="K89" s="21"/>
      <c r="L89" s="21"/>
      <c r="M89" s="21"/>
      <c r="N89" s="21"/>
      <c r="O89" s="39"/>
      <c r="P89" s="39"/>
      <c r="Q89" s="39"/>
    </row>
    <row r="90">
      <c r="A90" s="97" t="s">
        <v>25</v>
      </c>
      <c r="B90" s="72" t="s">
        <v>26</v>
      </c>
      <c r="C90" s="73">
        <v>26.0</v>
      </c>
      <c r="D90" s="74" t="str">
        <f t="shared" si="4"/>
        <v>SEX.</v>
      </c>
      <c r="E90" s="193">
        <f t="shared" si="2"/>
        <v>11</v>
      </c>
      <c r="F90" s="30"/>
      <c r="G90" s="31"/>
      <c r="H90" s="32">
        <v>700.0</v>
      </c>
      <c r="I90" s="154" t="s">
        <v>17</v>
      </c>
      <c r="J90" s="157"/>
      <c r="K90" s="77"/>
      <c r="L90" s="77"/>
      <c r="M90" s="77"/>
      <c r="N90" s="77"/>
      <c r="O90" s="77"/>
      <c r="P90" s="77"/>
      <c r="Q90" s="77"/>
    </row>
    <row r="91">
      <c r="A91" s="102" t="s">
        <v>25</v>
      </c>
      <c r="B91" s="79" t="s">
        <v>27</v>
      </c>
      <c r="C91" s="150">
        <v>26.0</v>
      </c>
      <c r="D91" s="81" t="str">
        <f t="shared" si="4"/>
        <v>SEX.</v>
      </c>
      <c r="E91" s="207">
        <f t="shared" si="2"/>
        <v>11</v>
      </c>
      <c r="F91" s="35"/>
      <c r="G91" s="36">
        <v>700.0</v>
      </c>
      <c r="H91" s="70"/>
      <c r="I91" s="82" t="s">
        <v>15</v>
      </c>
      <c r="J91" s="197"/>
      <c r="K91" s="84"/>
      <c r="L91" s="84"/>
      <c r="M91" s="84"/>
      <c r="N91" s="84"/>
      <c r="O91" s="84"/>
      <c r="P91" s="84"/>
      <c r="Q91" s="84"/>
    </row>
    <row r="92">
      <c r="A92" s="97" t="s">
        <v>25</v>
      </c>
      <c r="B92" s="72" t="s">
        <v>26</v>
      </c>
      <c r="C92" s="73">
        <v>26.0</v>
      </c>
      <c r="D92" s="74" t="str">
        <f t="shared" si="4"/>
        <v>SEX.</v>
      </c>
      <c r="E92" s="193">
        <f t="shared" si="2"/>
        <v>11</v>
      </c>
      <c r="F92" s="30"/>
      <c r="G92" s="31"/>
      <c r="H92" s="32">
        <v>20.0</v>
      </c>
      <c r="I92" s="154" t="s">
        <v>17</v>
      </c>
      <c r="J92" s="157"/>
      <c r="K92" s="77"/>
      <c r="L92" s="77"/>
      <c r="M92" s="77"/>
      <c r="N92" s="77"/>
      <c r="O92" s="77"/>
      <c r="P92" s="77"/>
      <c r="Q92" s="77"/>
    </row>
    <row r="93">
      <c r="A93" s="102" t="s">
        <v>25</v>
      </c>
      <c r="B93" s="79" t="s">
        <v>27</v>
      </c>
      <c r="C93" s="150">
        <v>26.0</v>
      </c>
      <c r="D93" s="81" t="str">
        <f t="shared" si="4"/>
        <v>SEX.</v>
      </c>
      <c r="E93" s="207">
        <f t="shared" si="2"/>
        <v>11</v>
      </c>
      <c r="F93" s="35"/>
      <c r="G93" s="36">
        <v>20.0</v>
      </c>
      <c r="H93" s="70"/>
      <c r="I93" s="82" t="s">
        <v>15</v>
      </c>
      <c r="J93" s="197"/>
      <c r="K93" s="84"/>
      <c r="L93" s="84"/>
      <c r="M93" s="84"/>
      <c r="N93" s="84"/>
      <c r="O93" s="84"/>
      <c r="P93" s="84"/>
      <c r="Q93" s="84"/>
    </row>
    <row r="94">
      <c r="A94" s="11" t="s">
        <v>5</v>
      </c>
      <c r="B94" s="83" t="s">
        <v>574</v>
      </c>
      <c r="C94" s="80">
        <v>26.0</v>
      </c>
      <c r="D94" s="81" t="str">
        <f t="shared" si="4"/>
        <v>SEX.</v>
      </c>
      <c r="E94" s="13">
        <f t="shared" si="2"/>
        <v>11</v>
      </c>
      <c r="F94" s="35"/>
      <c r="G94" s="70"/>
      <c r="H94" s="36">
        <v>719.91</v>
      </c>
      <c r="I94" s="82" t="s">
        <v>15</v>
      </c>
      <c r="J94" s="103" t="s">
        <v>575</v>
      </c>
      <c r="K94" s="106"/>
      <c r="L94" s="106"/>
      <c r="M94" s="106"/>
      <c r="N94" s="106"/>
      <c r="O94" s="84"/>
      <c r="P94" s="84"/>
      <c r="Q94" s="84"/>
    </row>
    <row r="95">
      <c r="A95" s="11" t="s">
        <v>5</v>
      </c>
      <c r="B95" s="83" t="s">
        <v>576</v>
      </c>
      <c r="C95" s="80">
        <v>26.0</v>
      </c>
      <c r="D95" s="81" t="str">
        <f t="shared" si="4"/>
        <v>SEX.</v>
      </c>
      <c r="E95" s="13">
        <f t="shared" si="2"/>
        <v>11</v>
      </c>
      <c r="F95" s="35"/>
      <c r="G95" s="36">
        <v>93.58</v>
      </c>
      <c r="H95" s="36"/>
      <c r="I95" s="82" t="s">
        <v>15</v>
      </c>
      <c r="J95" s="103" t="s">
        <v>577</v>
      </c>
      <c r="K95" s="106"/>
      <c r="L95" s="106"/>
      <c r="M95" s="106"/>
      <c r="N95" s="106"/>
      <c r="O95" s="84"/>
      <c r="P95" s="84"/>
      <c r="Q95" s="84"/>
    </row>
    <row r="96">
      <c r="A96" s="11" t="s">
        <v>5</v>
      </c>
      <c r="B96" s="83" t="s">
        <v>578</v>
      </c>
      <c r="C96" s="80">
        <v>26.0</v>
      </c>
      <c r="D96" s="81" t="str">
        <f t="shared" si="4"/>
        <v>SEX.</v>
      </c>
      <c r="E96" s="13">
        <f t="shared" si="2"/>
        <v>11</v>
      </c>
      <c r="F96" s="35"/>
      <c r="G96" s="36">
        <v>50.0</v>
      </c>
      <c r="H96" s="36"/>
      <c r="I96" s="82" t="s">
        <v>15</v>
      </c>
      <c r="J96" s="103" t="s">
        <v>577</v>
      </c>
      <c r="K96" s="106"/>
      <c r="L96" s="106"/>
      <c r="M96" s="106"/>
      <c r="N96" s="106"/>
      <c r="O96" s="84"/>
      <c r="P96" s="84"/>
      <c r="Q96" s="84"/>
    </row>
    <row r="97">
      <c r="A97" s="11" t="s">
        <v>5</v>
      </c>
      <c r="B97" s="76" t="s">
        <v>473</v>
      </c>
      <c r="C97" s="13">
        <v>29.0</v>
      </c>
      <c r="D97" s="14" t="str">
        <f t="shared" si="4"/>
        <v>SEG.</v>
      </c>
      <c r="E97" s="13">
        <f t="shared" si="2"/>
        <v>11</v>
      </c>
      <c r="F97" s="54"/>
      <c r="G97" s="31"/>
      <c r="H97" s="32">
        <v>97.09</v>
      </c>
      <c r="I97" s="58" t="s">
        <v>17</v>
      </c>
      <c r="J97" s="76" t="s">
        <v>579</v>
      </c>
      <c r="K97" s="77"/>
      <c r="L97" s="77"/>
      <c r="M97" s="77"/>
      <c r="N97" s="77"/>
      <c r="O97" s="77"/>
      <c r="P97" s="77"/>
      <c r="Q97" s="77"/>
    </row>
    <row r="98">
      <c r="A98" s="11" t="s">
        <v>5</v>
      </c>
      <c r="B98" s="40" t="s">
        <v>248</v>
      </c>
      <c r="C98" s="62">
        <v>30.0</v>
      </c>
      <c r="D98" s="25" t="str">
        <f t="shared" si="4"/>
        <v>TER.</v>
      </c>
      <c r="E98" s="13">
        <f t="shared" si="2"/>
        <v>11</v>
      </c>
      <c r="F98" s="26"/>
      <c r="G98" s="63">
        <v>330.0</v>
      </c>
      <c r="H98" s="101"/>
      <c r="I98" s="60" t="s">
        <v>249</v>
      </c>
      <c r="J98" s="90" t="s">
        <v>253</v>
      </c>
      <c r="K98" s="59"/>
      <c r="L98" s="59"/>
      <c r="M98" s="59"/>
      <c r="N98" s="59"/>
      <c r="O98" s="59"/>
      <c r="P98" s="59"/>
      <c r="Q98" s="59"/>
    </row>
    <row r="99">
      <c r="A99" s="11" t="s">
        <v>5</v>
      </c>
      <c r="B99" s="42" t="s">
        <v>251</v>
      </c>
      <c r="C99" s="66">
        <v>30.0</v>
      </c>
      <c r="D99" s="14" t="str">
        <f t="shared" si="4"/>
        <v>TER.</v>
      </c>
      <c r="E99" s="13">
        <f t="shared" si="2"/>
        <v>11</v>
      </c>
      <c r="F99" s="43"/>
      <c r="G99" s="46">
        <v>700.0</v>
      </c>
      <c r="H99" s="53"/>
      <c r="I99" s="65" t="s">
        <v>252</v>
      </c>
      <c r="J99" s="42" t="s">
        <v>253</v>
      </c>
      <c r="K99" s="68"/>
      <c r="L99" s="68"/>
      <c r="M99" s="68"/>
      <c r="N99" s="68"/>
      <c r="O99" s="68"/>
      <c r="P99" s="68"/>
      <c r="Q99" s="68"/>
    </row>
    <row r="100">
      <c r="A100" s="11" t="s">
        <v>5</v>
      </c>
      <c r="B100" s="69" t="s">
        <v>260</v>
      </c>
      <c r="C100" s="13">
        <v>30.0</v>
      </c>
      <c r="D100" s="14" t="str">
        <f t="shared" si="4"/>
        <v>TER.</v>
      </c>
      <c r="E100" s="13">
        <f t="shared" si="2"/>
        <v>11</v>
      </c>
      <c r="F100" s="54"/>
      <c r="G100" s="36">
        <v>2581.98</v>
      </c>
      <c r="H100" s="70"/>
      <c r="I100" s="47" t="s">
        <v>261</v>
      </c>
      <c r="J100" s="21" t="s">
        <v>64</v>
      </c>
      <c r="K100" s="70"/>
      <c r="L100" s="70"/>
      <c r="M100" s="70"/>
      <c r="N100" s="70"/>
      <c r="O100" s="70"/>
      <c r="P100" s="70"/>
      <c r="Q100" s="70"/>
    </row>
    <row r="101">
      <c r="A101" s="11" t="s">
        <v>5</v>
      </c>
      <c r="B101" s="69" t="s">
        <v>580</v>
      </c>
      <c r="C101" s="13">
        <v>30.0</v>
      </c>
      <c r="D101" s="14" t="str">
        <f t="shared" si="4"/>
        <v>TER.</v>
      </c>
      <c r="E101" s="13">
        <f t="shared" si="2"/>
        <v>11</v>
      </c>
      <c r="F101" s="54"/>
      <c r="G101" s="36">
        <v>4250.0</v>
      </c>
      <c r="H101" s="70"/>
      <c r="I101" s="47" t="s">
        <v>261</v>
      </c>
      <c r="J101" s="21" t="s">
        <v>64</v>
      </c>
      <c r="K101" s="70"/>
      <c r="L101" s="70"/>
      <c r="M101" s="70"/>
      <c r="N101" s="70"/>
      <c r="O101" s="70"/>
      <c r="P101" s="70"/>
      <c r="Q101" s="70"/>
    </row>
    <row r="102">
      <c r="A102" s="11" t="s">
        <v>25</v>
      </c>
      <c r="B102" s="61" t="s">
        <v>26</v>
      </c>
      <c r="C102" s="148">
        <v>30.0</v>
      </c>
      <c r="D102" s="25" t="str">
        <f t="shared" si="4"/>
        <v>TER.</v>
      </c>
      <c r="E102" s="13">
        <f t="shared" si="2"/>
        <v>11</v>
      </c>
      <c r="F102" s="26"/>
      <c r="G102" s="56"/>
      <c r="H102" s="36">
        <v>6831.98</v>
      </c>
      <c r="I102" s="64" t="s">
        <v>261</v>
      </c>
      <c r="J102" s="40"/>
      <c r="K102" s="59"/>
      <c r="L102" s="59"/>
      <c r="M102" s="59"/>
      <c r="N102" s="59"/>
      <c r="O102" s="59"/>
      <c r="P102" s="59"/>
      <c r="Q102" s="59"/>
    </row>
    <row r="103">
      <c r="A103" s="11" t="s">
        <v>25</v>
      </c>
      <c r="B103" s="39" t="s">
        <v>27</v>
      </c>
      <c r="C103" s="66">
        <v>30.0</v>
      </c>
      <c r="D103" s="14" t="str">
        <f t="shared" si="4"/>
        <v>TER.</v>
      </c>
      <c r="E103" s="13">
        <f t="shared" si="2"/>
        <v>11</v>
      </c>
      <c r="F103" s="43"/>
      <c r="G103" s="36">
        <v>6831.98</v>
      </c>
      <c r="H103" s="45"/>
      <c r="I103" s="67" t="s">
        <v>17</v>
      </c>
      <c r="J103" s="42"/>
      <c r="K103" s="68"/>
      <c r="L103" s="68"/>
      <c r="M103" s="68"/>
      <c r="N103" s="68"/>
      <c r="O103" s="68"/>
      <c r="P103" s="68"/>
      <c r="Q103" s="68"/>
    </row>
    <row r="104">
      <c r="A104" s="71" t="s">
        <v>5</v>
      </c>
      <c r="B104" s="159" t="s">
        <v>581</v>
      </c>
      <c r="C104" s="73">
        <v>29.0</v>
      </c>
      <c r="D104" s="74" t="str">
        <f t="shared" si="4"/>
        <v>SEG.</v>
      </c>
      <c r="E104" s="13">
        <f t="shared" si="2"/>
        <v>11</v>
      </c>
      <c r="F104" s="30"/>
      <c r="G104" s="31"/>
      <c r="H104" s="46">
        <v>4250.0</v>
      </c>
      <c r="I104" s="75" t="s">
        <v>17</v>
      </c>
      <c r="J104" s="34" t="s">
        <v>191</v>
      </c>
      <c r="K104" s="31"/>
      <c r="L104" s="31"/>
      <c r="M104" s="31"/>
      <c r="N104" s="31"/>
      <c r="O104" s="31"/>
      <c r="P104" s="31"/>
      <c r="Q104" s="31"/>
    </row>
    <row r="105">
      <c r="A105" s="11" t="s">
        <v>5</v>
      </c>
      <c r="B105" s="34" t="s">
        <v>582</v>
      </c>
      <c r="C105" s="13">
        <v>30.0</v>
      </c>
      <c r="D105" s="14" t="str">
        <f t="shared" si="4"/>
        <v>TER.</v>
      </c>
      <c r="E105" s="13">
        <f t="shared" si="2"/>
        <v>11</v>
      </c>
      <c r="F105" s="87">
        <v>44512.0</v>
      </c>
      <c r="G105" s="56"/>
      <c r="H105" s="63">
        <v>595.0</v>
      </c>
      <c r="I105" s="58" t="s">
        <v>17</v>
      </c>
      <c r="J105" s="21" t="s">
        <v>67</v>
      </c>
      <c r="K105" s="59"/>
      <c r="L105" s="59"/>
      <c r="M105" s="59"/>
      <c r="N105" s="59"/>
      <c r="O105" s="59"/>
      <c r="P105" s="59"/>
      <c r="Q105" s="59"/>
    </row>
    <row r="106">
      <c r="A106" s="11" t="s">
        <v>5</v>
      </c>
      <c r="B106" s="99" t="s">
        <v>119</v>
      </c>
      <c r="C106" s="13">
        <v>30.0</v>
      </c>
      <c r="D106" s="14" t="str">
        <f t="shared" si="4"/>
        <v>TER.</v>
      </c>
      <c r="E106" s="13">
        <f t="shared" si="2"/>
        <v>11</v>
      </c>
      <c r="F106" s="35"/>
      <c r="G106" s="36">
        <v>0.03</v>
      </c>
      <c r="H106" s="70"/>
      <c r="I106" s="47" t="s">
        <v>13</v>
      </c>
      <c r="J106" s="21" t="s">
        <v>120</v>
      </c>
      <c r="K106" s="84"/>
      <c r="L106" s="84"/>
      <c r="M106" s="84"/>
      <c r="N106" s="84"/>
      <c r="O106" s="84"/>
      <c r="P106" s="84"/>
      <c r="Q106" s="84"/>
    </row>
    <row r="107">
      <c r="A107" s="11"/>
      <c r="B107" s="59"/>
      <c r="C107" s="26"/>
      <c r="D107" s="107"/>
      <c r="E107" s="26"/>
      <c r="F107" s="26"/>
      <c r="G107" s="56"/>
      <c r="H107" s="56"/>
      <c r="I107" s="47"/>
      <c r="J107" s="21"/>
      <c r="K107" s="59"/>
      <c r="L107" s="59"/>
      <c r="M107" s="59"/>
      <c r="N107" s="59"/>
      <c r="O107" s="59"/>
      <c r="P107" s="59"/>
      <c r="Q107" s="59"/>
    </row>
    <row r="108">
      <c r="A108" s="11"/>
      <c r="B108" s="68"/>
      <c r="C108" s="43"/>
      <c r="D108" s="108"/>
      <c r="E108" s="43"/>
      <c r="F108" s="43"/>
      <c r="G108" s="45"/>
      <c r="H108" s="45"/>
      <c r="I108" s="47"/>
      <c r="J108" s="21"/>
      <c r="K108" s="68"/>
      <c r="L108" s="68"/>
      <c r="M108" s="68"/>
      <c r="N108" s="68"/>
      <c r="O108" s="68"/>
      <c r="P108" s="68"/>
      <c r="Q108" s="68"/>
    </row>
    <row r="109">
      <c r="A109" s="109"/>
      <c r="B109" s="110"/>
      <c r="C109" s="111"/>
      <c r="D109" s="112"/>
      <c r="E109" s="111"/>
      <c r="F109" s="111"/>
      <c r="G109" s="113"/>
      <c r="H109" s="113"/>
      <c r="I109" s="114"/>
      <c r="J109" s="21"/>
      <c r="K109" s="110"/>
      <c r="L109" s="110"/>
      <c r="M109" s="110"/>
      <c r="N109" s="110"/>
      <c r="O109" s="110"/>
      <c r="P109" s="110"/>
      <c r="Q109" s="110"/>
    </row>
    <row r="110" ht="15.75" customHeight="1">
      <c r="A110" s="115"/>
      <c r="B110" s="116" t="s">
        <v>142</v>
      </c>
      <c r="C110" s="117"/>
      <c r="D110" s="118"/>
      <c r="E110" s="119"/>
      <c r="F110" s="119"/>
      <c r="G110" s="120">
        <f>SUMIF(A3:A109,"PAGO",G3:G109)</f>
        <v>20315.41</v>
      </c>
      <c r="H110" s="120">
        <f>SUMIF(A3:A109,"PAGO",H3:H109)</f>
        <v>16299.77</v>
      </c>
      <c r="I110" s="121"/>
      <c r="J110" s="117"/>
      <c r="K110" s="120">
        <f t="shared" ref="K110:K111" si="5">G110-H110</f>
        <v>4015.64</v>
      </c>
      <c r="L110" s="120"/>
      <c r="M110" s="120"/>
      <c r="N110" s="120"/>
      <c r="O110" s="120"/>
      <c r="P110" s="120"/>
      <c r="Q110" s="120"/>
    </row>
    <row r="111" ht="15.75" customHeight="1">
      <c r="A111" s="115"/>
      <c r="B111" s="122" t="s">
        <v>143</v>
      </c>
      <c r="C111" s="117"/>
      <c r="D111" s="123"/>
      <c r="E111" s="124"/>
      <c r="F111" s="124"/>
      <c r="G111" s="125">
        <f>SUMIF(A3:A109,"PAGO",G3:G109) + SUMIF(A3:A109,"PREVISTO",G3:G109)</f>
        <v>20315.41</v>
      </c>
      <c r="H111" s="125">
        <f>SUMIF(A3:A109,"PAGO",H3:H109) + SUMIF(A3:A109,"PREVISTO",H3:H109)</f>
        <v>16299.77</v>
      </c>
      <c r="I111" s="121"/>
      <c r="J111" s="122" t="s">
        <v>144</v>
      </c>
      <c r="K111" s="125">
        <f t="shared" si="5"/>
        <v>4015.64</v>
      </c>
      <c r="L111" s="125"/>
      <c r="M111" s="125"/>
      <c r="N111" s="125"/>
      <c r="O111" s="125"/>
      <c r="P111" s="125"/>
      <c r="Q111" s="125"/>
    </row>
    <row r="112">
      <c r="A112" s="126"/>
      <c r="B112" s="127"/>
      <c r="C112" s="93"/>
      <c r="D112" s="128"/>
      <c r="E112" s="129"/>
      <c r="F112" s="129"/>
      <c r="G112" s="130"/>
      <c r="H112" s="130"/>
      <c r="I112" s="131"/>
      <c r="J112" s="132" t="s">
        <v>13</v>
      </c>
      <c r="K112" s="133">
        <f t="shared" ref="K112:K119" si="6">(SUMIFS($G$3:$G$109,$I$3:$I$109,J112,$A$3:$A$109,"PAGO") + SUMIFS($G$3:$G$109,$I$3:$I$109,J112,$A$3:$A$109,"CONTAS")) - (SUMIFS($H$3:$H$109,$I$3:$I$109,J112,$A$3:$A$109,"PAGO") + SUMIFS($H$3:$H$109,$I$3:$I$109,J112,$A$3:$A$109,"CONTAS"))</f>
        <v>105.54</v>
      </c>
      <c r="L112" s="133"/>
      <c r="M112" s="133"/>
      <c r="N112" s="133"/>
      <c r="O112" s="133"/>
      <c r="P112" s="133"/>
      <c r="Q112" s="133"/>
    </row>
    <row r="113">
      <c r="A113" s="134"/>
      <c r="B113" s="135"/>
      <c r="C113" s="93"/>
      <c r="D113" s="128"/>
      <c r="E113" s="129"/>
      <c r="F113" s="129"/>
      <c r="G113" s="130"/>
      <c r="H113" s="130"/>
      <c r="I113" s="131"/>
      <c r="J113" s="132" t="s">
        <v>15</v>
      </c>
      <c r="K113" s="133">
        <f t="shared" si="6"/>
        <v>148.72</v>
      </c>
      <c r="L113" s="133"/>
      <c r="M113" s="133"/>
      <c r="N113" s="133"/>
      <c r="O113" s="133"/>
      <c r="P113" s="133"/>
      <c r="Q113" s="133"/>
    </row>
    <row r="114">
      <c r="A114" s="134"/>
      <c r="B114" s="136"/>
      <c r="C114" s="137"/>
      <c r="D114" s="128"/>
      <c r="E114" s="129"/>
      <c r="F114" s="129"/>
      <c r="G114" s="130"/>
      <c r="H114" s="130"/>
      <c r="I114" s="131"/>
      <c r="J114" s="132" t="s">
        <v>16</v>
      </c>
      <c r="K114" s="133">
        <f t="shared" si="6"/>
        <v>0</v>
      </c>
      <c r="L114" s="133"/>
      <c r="M114" s="133"/>
      <c r="N114" s="133"/>
      <c r="O114" s="133"/>
      <c r="P114" s="133"/>
      <c r="Q114" s="133"/>
    </row>
    <row r="115">
      <c r="A115" s="134"/>
      <c r="B115" s="136"/>
      <c r="C115" s="137"/>
      <c r="D115" s="128"/>
      <c r="E115" s="129"/>
      <c r="F115" s="129"/>
      <c r="G115" s="130"/>
      <c r="H115" s="130"/>
      <c r="I115" s="131"/>
      <c r="J115" s="132" t="s">
        <v>17</v>
      </c>
      <c r="K115" s="133">
        <f t="shared" si="6"/>
        <v>2697.7</v>
      </c>
      <c r="L115" s="133"/>
      <c r="M115" s="133"/>
      <c r="N115" s="133"/>
      <c r="O115" s="133"/>
      <c r="P115" s="133"/>
      <c r="Q115" s="133"/>
    </row>
    <row r="116">
      <c r="A116" s="134"/>
      <c r="B116" s="93"/>
      <c r="C116" s="137"/>
      <c r="D116" s="138"/>
      <c r="E116" s="139"/>
      <c r="F116" s="139"/>
      <c r="G116" s="140"/>
      <c r="H116" s="140"/>
      <c r="I116" s="131"/>
      <c r="J116" s="132" t="s">
        <v>18</v>
      </c>
      <c r="K116" s="133">
        <f t="shared" si="6"/>
        <v>9.52</v>
      </c>
      <c r="L116" s="133"/>
      <c r="M116" s="133"/>
      <c r="N116" s="133"/>
      <c r="O116" s="133"/>
      <c r="P116" s="133"/>
      <c r="Q116" s="133"/>
    </row>
    <row r="117">
      <c r="A117" s="134"/>
      <c r="B117" s="137"/>
      <c r="C117" s="93"/>
      <c r="D117" s="138"/>
      <c r="E117" s="139"/>
      <c r="F117" s="139"/>
      <c r="G117" s="140"/>
      <c r="H117" s="140"/>
      <c r="I117" s="131"/>
      <c r="J117" s="183" t="s">
        <v>261</v>
      </c>
      <c r="K117" s="133">
        <f t="shared" si="6"/>
        <v>0</v>
      </c>
      <c r="L117" s="93"/>
      <c r="M117" s="93"/>
      <c r="N117" s="93"/>
      <c r="O117" s="93"/>
      <c r="P117" s="93"/>
      <c r="Q117" s="93"/>
    </row>
    <row r="118">
      <c r="A118" s="134"/>
      <c r="B118" s="137"/>
      <c r="C118" s="93"/>
      <c r="D118" s="138"/>
      <c r="E118" s="139"/>
      <c r="F118" s="139"/>
      <c r="G118" s="140"/>
      <c r="H118" s="140"/>
      <c r="I118" s="131"/>
      <c r="J118" s="182" t="s">
        <v>252</v>
      </c>
      <c r="K118" s="133">
        <f t="shared" si="6"/>
        <v>723.18</v>
      </c>
      <c r="L118" s="93"/>
      <c r="M118" s="93"/>
      <c r="N118" s="93"/>
      <c r="O118" s="93"/>
      <c r="P118" s="93"/>
      <c r="Q118" s="93"/>
    </row>
    <row r="119">
      <c r="A119" s="134"/>
      <c r="B119" s="137"/>
      <c r="C119" s="93"/>
      <c r="D119" s="138"/>
      <c r="E119" s="139"/>
      <c r="F119" s="139"/>
      <c r="G119" s="140"/>
      <c r="H119" s="140"/>
      <c r="I119" s="131"/>
      <c r="J119" s="182" t="s">
        <v>249</v>
      </c>
      <c r="K119" s="133">
        <f t="shared" si="6"/>
        <v>330.98</v>
      </c>
      <c r="L119" s="93"/>
      <c r="M119" s="93"/>
      <c r="N119" s="93"/>
      <c r="O119" s="93"/>
      <c r="P119" s="93"/>
      <c r="Q119" s="93"/>
    </row>
    <row r="120">
      <c r="A120" s="134"/>
      <c r="B120" s="137"/>
      <c r="C120" s="93"/>
      <c r="D120" s="138"/>
      <c r="E120" s="139"/>
      <c r="F120" s="139"/>
      <c r="G120" s="140"/>
      <c r="H120" s="140"/>
      <c r="I120" s="131"/>
      <c r="J120" s="219"/>
      <c r="K120" s="93"/>
      <c r="L120" s="93"/>
      <c r="M120" s="93"/>
      <c r="N120" s="93"/>
      <c r="O120" s="93"/>
      <c r="P120" s="93"/>
      <c r="Q120" s="93"/>
    </row>
  </sheetData>
  <customSheetViews>
    <customSheetView guid="{55ED7845-B94B-4003-AD57-D4008EE7E009}" filter="1" showAutoFilter="1">
      <autoFilter ref="$A$2:$K$17"/>
    </customSheetView>
    <customSheetView guid="{FF238D65-B29E-47B3-BB76-09A78DB37DDE}" filter="1" showAutoFilter="1">
      <autoFilter ref="$A$2:$K$3"/>
    </customSheetView>
    <customSheetView guid="{5F890A4C-8AFA-4126-80E7-AF0191C5590F}" filter="1" showAutoFilter="1">
      <autoFilter ref="$A$2:$K$3"/>
    </customSheetView>
    <customSheetView guid="{F6E0E906-D63E-467F-B486-84E6C0126E80}" filter="1" showAutoFilter="1">
      <autoFilter ref="$A$2:$K$3"/>
    </customSheetView>
    <customSheetView guid="{8E320149-1ED8-4245-AE83-2AF08A85D2EE}" filter="1" showAutoFilter="1">
      <autoFilter ref="$A$2:$K$3"/>
    </customSheetView>
  </customSheetViews>
  <conditionalFormatting sqref="A3:Q109">
    <cfRule type="expression" dxfId="0" priority="1">
      <formula>ISEVEN(ROW())</formula>
    </cfRule>
  </conditionalFormatting>
  <conditionalFormatting sqref="A3:Q109">
    <cfRule type="expression" dxfId="1" priority="2">
      <formula>ISODD(ROW())</formula>
    </cfRule>
  </conditionalFormatting>
  <dataValidations>
    <dataValidation type="list" allowBlank="1" sqref="A3:A108">
      <formula1>listas!$A$1:$A$17</formula1>
    </dataValidation>
    <dataValidation type="list" allowBlank="1" sqref="I3:I108">
      <formula1>listas!$B$1:$B$21</formula1>
    </dataValidation>
  </dataValidations>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2021.0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12.0</v>
      </c>
      <c r="D3" s="14"/>
      <c r="E3" s="15"/>
      <c r="F3" s="15"/>
      <c r="G3" s="16"/>
      <c r="H3" s="17"/>
      <c r="I3" s="18"/>
      <c r="J3" s="19"/>
      <c r="K3" s="20"/>
      <c r="L3" s="20"/>
      <c r="M3" s="20"/>
      <c r="N3" s="20"/>
      <c r="O3" s="20"/>
      <c r="P3" s="20"/>
      <c r="Q3" s="20"/>
    </row>
    <row r="4">
      <c r="A4" s="11" t="s">
        <v>5</v>
      </c>
      <c r="B4" s="21" t="s">
        <v>145</v>
      </c>
      <c r="C4" s="13">
        <v>1.0</v>
      </c>
      <c r="D4" s="14" t="str">
        <f t="shared" ref="D4:D32" si="1">UPPER(TEXT(WEEKDAY(DATEVALUE(CONCATENATE(C4,"/",$C$3,"/",$A$1))),"DDD"))</f>
        <v>QUA.</v>
      </c>
      <c r="E4" s="13">
        <f t="shared" ref="E4:E107" si="2">$C$3</f>
        <v>12</v>
      </c>
      <c r="F4" s="15"/>
      <c r="G4" s="16">
        <f>novembro!K112</f>
        <v>105.54</v>
      </c>
      <c r="H4" s="17"/>
      <c r="I4" s="18" t="s">
        <v>13</v>
      </c>
      <c r="J4" s="21" t="s">
        <v>14</v>
      </c>
      <c r="K4" s="22"/>
      <c r="L4" s="22"/>
      <c r="M4" s="22"/>
      <c r="N4" s="22"/>
      <c r="O4" s="22"/>
      <c r="P4" s="22"/>
      <c r="Q4" s="22"/>
    </row>
    <row r="5">
      <c r="A5" s="11" t="s">
        <v>5</v>
      </c>
      <c r="B5" s="21" t="s">
        <v>145</v>
      </c>
      <c r="C5" s="13">
        <v>1.0</v>
      </c>
      <c r="D5" s="14" t="str">
        <f t="shared" si="1"/>
        <v>QUA.</v>
      </c>
      <c r="E5" s="13">
        <f t="shared" si="2"/>
        <v>12</v>
      </c>
      <c r="F5" s="15"/>
      <c r="G5" s="16">
        <f>novembro!K113</f>
        <v>148.72</v>
      </c>
      <c r="H5" s="17"/>
      <c r="I5" s="18" t="s">
        <v>15</v>
      </c>
      <c r="J5" s="21" t="s">
        <v>14</v>
      </c>
      <c r="K5" s="22"/>
      <c r="L5" s="22"/>
      <c r="M5" s="22"/>
      <c r="N5" s="22"/>
      <c r="O5" s="22"/>
      <c r="P5" s="22"/>
      <c r="Q5" s="22"/>
    </row>
    <row r="6">
      <c r="A6" s="11" t="s">
        <v>5</v>
      </c>
      <c r="B6" s="21" t="s">
        <v>145</v>
      </c>
      <c r="C6" s="13">
        <v>1.0</v>
      </c>
      <c r="D6" s="14" t="str">
        <f t="shared" si="1"/>
        <v>QUA.</v>
      </c>
      <c r="E6" s="13">
        <f t="shared" si="2"/>
        <v>12</v>
      </c>
      <c r="F6" s="15"/>
      <c r="G6" s="16">
        <f>novembro!K114</f>
        <v>0</v>
      </c>
      <c r="H6" s="17"/>
      <c r="I6" s="18" t="s">
        <v>16</v>
      </c>
      <c r="J6" s="21" t="s">
        <v>14</v>
      </c>
      <c r="K6" s="22"/>
      <c r="L6" s="22"/>
      <c r="M6" s="22"/>
      <c r="N6" s="22"/>
      <c r="O6" s="22"/>
      <c r="P6" s="22"/>
      <c r="Q6" s="22"/>
    </row>
    <row r="7">
      <c r="A7" s="11" t="s">
        <v>5</v>
      </c>
      <c r="B7" s="21" t="s">
        <v>145</v>
      </c>
      <c r="C7" s="13">
        <v>1.0</v>
      </c>
      <c r="D7" s="14" t="str">
        <f t="shared" si="1"/>
        <v>QUA.</v>
      </c>
      <c r="E7" s="13">
        <f t="shared" si="2"/>
        <v>12</v>
      </c>
      <c r="F7" s="15"/>
      <c r="G7" s="16">
        <f>novembro!K115</f>
        <v>2697.7</v>
      </c>
      <c r="H7" s="17"/>
      <c r="I7" s="18" t="s">
        <v>17</v>
      </c>
      <c r="J7" s="21" t="s">
        <v>14</v>
      </c>
      <c r="K7" s="22"/>
      <c r="L7" s="22"/>
      <c r="M7" s="22"/>
      <c r="N7" s="22"/>
      <c r="O7" s="22"/>
      <c r="P7" s="22"/>
      <c r="Q7" s="22"/>
    </row>
    <row r="8">
      <c r="A8" s="11" t="s">
        <v>5</v>
      </c>
      <c r="B8" s="21" t="s">
        <v>145</v>
      </c>
      <c r="C8" s="13">
        <v>1.0</v>
      </c>
      <c r="D8" s="14" t="str">
        <f t="shared" si="1"/>
        <v>QUA.</v>
      </c>
      <c r="E8" s="13">
        <f t="shared" si="2"/>
        <v>12</v>
      </c>
      <c r="F8" s="15"/>
      <c r="G8" s="16">
        <f>novembro!K116</f>
        <v>9.52</v>
      </c>
      <c r="H8" s="17"/>
      <c r="I8" s="18" t="s">
        <v>18</v>
      </c>
      <c r="J8" s="21" t="s">
        <v>14</v>
      </c>
      <c r="K8" s="22"/>
      <c r="L8" s="22"/>
      <c r="M8" s="22"/>
      <c r="N8" s="22"/>
      <c r="O8" s="22"/>
      <c r="P8" s="22"/>
      <c r="Q8" s="22"/>
    </row>
    <row r="9">
      <c r="A9" s="11" t="s">
        <v>5</v>
      </c>
      <c r="B9" s="72" t="s">
        <v>145</v>
      </c>
      <c r="C9" s="193">
        <v>1.0</v>
      </c>
      <c r="D9" s="74" t="str">
        <f t="shared" si="1"/>
        <v>QUA.</v>
      </c>
      <c r="E9" s="13">
        <f t="shared" si="2"/>
        <v>12</v>
      </c>
      <c r="F9" s="30"/>
      <c r="G9" s="16">
        <f>novembro!K117</f>
        <v>0</v>
      </c>
      <c r="H9" s="31"/>
      <c r="I9" s="58" t="s">
        <v>261</v>
      </c>
      <c r="J9" s="72" t="s">
        <v>14</v>
      </c>
      <c r="K9" s="77"/>
      <c r="L9" s="77"/>
      <c r="M9" s="77"/>
      <c r="N9" s="77"/>
      <c r="O9" s="77"/>
      <c r="P9" s="77"/>
      <c r="Q9" s="77"/>
    </row>
    <row r="10">
      <c r="A10" s="11" t="s">
        <v>5</v>
      </c>
      <c r="B10" s="173" t="s">
        <v>145</v>
      </c>
      <c r="C10" s="184">
        <v>1.0</v>
      </c>
      <c r="D10" s="25" t="str">
        <f t="shared" si="1"/>
        <v>QUA.</v>
      </c>
      <c r="E10" s="13">
        <f t="shared" si="2"/>
        <v>12</v>
      </c>
      <c r="F10" s="26"/>
      <c r="G10" s="16">
        <f>novembro!K118</f>
        <v>723.18</v>
      </c>
      <c r="H10" s="56"/>
      <c r="I10" s="33" t="s">
        <v>252</v>
      </c>
      <c r="J10" s="173" t="s">
        <v>14</v>
      </c>
      <c r="K10" s="59"/>
      <c r="L10" s="59"/>
      <c r="M10" s="59"/>
      <c r="N10" s="59"/>
      <c r="O10" s="59"/>
      <c r="P10" s="59"/>
      <c r="Q10" s="59"/>
    </row>
    <row r="11">
      <c r="A11" s="11" t="s">
        <v>5</v>
      </c>
      <c r="B11" s="42" t="s">
        <v>145</v>
      </c>
      <c r="C11" s="144">
        <v>1.0</v>
      </c>
      <c r="D11" s="14" t="str">
        <f t="shared" si="1"/>
        <v>QUA.</v>
      </c>
      <c r="E11" s="13">
        <f t="shared" si="2"/>
        <v>12</v>
      </c>
      <c r="F11" s="43"/>
      <c r="G11" s="16">
        <f>novembro!K119</f>
        <v>330.98</v>
      </c>
      <c r="H11" s="45"/>
      <c r="I11" s="41" t="s">
        <v>249</v>
      </c>
      <c r="J11" s="42" t="s">
        <v>14</v>
      </c>
      <c r="K11" s="68"/>
      <c r="L11" s="68"/>
      <c r="M11" s="68"/>
      <c r="N11" s="68"/>
      <c r="O11" s="68"/>
      <c r="P11" s="68"/>
      <c r="Q11" s="68"/>
    </row>
    <row r="12">
      <c r="A12" s="11" t="s">
        <v>5</v>
      </c>
      <c r="B12" s="103" t="s">
        <v>533</v>
      </c>
      <c r="C12" s="13">
        <v>1.0</v>
      </c>
      <c r="D12" s="14" t="str">
        <f t="shared" si="1"/>
        <v>QUA.</v>
      </c>
      <c r="E12" s="13">
        <f t="shared" si="2"/>
        <v>12</v>
      </c>
      <c r="F12" s="54"/>
      <c r="G12" s="70"/>
      <c r="H12" s="86">
        <v>50.0</v>
      </c>
      <c r="I12" s="105" t="s">
        <v>17</v>
      </c>
      <c r="J12" s="21" t="s">
        <v>534</v>
      </c>
      <c r="K12" s="84"/>
      <c r="L12" s="84"/>
      <c r="M12" s="84"/>
      <c r="N12" s="84"/>
      <c r="O12" s="84"/>
      <c r="P12" s="84"/>
      <c r="Q12" s="84"/>
    </row>
    <row r="13">
      <c r="A13" s="11" t="s">
        <v>5</v>
      </c>
      <c r="B13" s="28" t="s">
        <v>148</v>
      </c>
      <c r="C13" s="80">
        <v>1.0</v>
      </c>
      <c r="D13" s="81" t="str">
        <f t="shared" si="1"/>
        <v>QUA.</v>
      </c>
      <c r="E13" s="207">
        <f t="shared" si="2"/>
        <v>12</v>
      </c>
      <c r="F13" s="35"/>
      <c r="G13" s="70"/>
      <c r="H13" s="86">
        <v>54.26</v>
      </c>
      <c r="I13" s="221" t="s">
        <v>13</v>
      </c>
      <c r="J13" s="199" t="s">
        <v>149</v>
      </c>
      <c r="K13" s="28"/>
      <c r="L13" s="28"/>
      <c r="M13" s="28"/>
      <c r="N13" s="28"/>
      <c r="O13" s="28"/>
      <c r="P13" s="28"/>
      <c r="Q13" s="28"/>
    </row>
    <row r="14">
      <c r="A14" s="11" t="s">
        <v>5</v>
      </c>
      <c r="B14" s="44" t="s">
        <v>491</v>
      </c>
      <c r="C14" s="13">
        <v>2.0</v>
      </c>
      <c r="D14" s="14" t="str">
        <f t="shared" si="1"/>
        <v>QUI.</v>
      </c>
      <c r="E14" s="13">
        <f t="shared" si="2"/>
        <v>12</v>
      </c>
      <c r="F14" s="43"/>
      <c r="G14" s="46">
        <v>2000.0</v>
      </c>
      <c r="H14" s="46"/>
      <c r="I14" s="47" t="s">
        <v>17</v>
      </c>
      <c r="J14" s="21" t="s">
        <v>38</v>
      </c>
      <c r="K14" s="39"/>
      <c r="L14" s="39"/>
      <c r="M14" s="39"/>
      <c r="N14" s="39"/>
      <c r="O14" s="39"/>
      <c r="P14" s="39"/>
      <c r="Q14" s="39"/>
    </row>
    <row r="15">
      <c r="A15" s="11" t="s">
        <v>5</v>
      </c>
      <c r="B15" s="34" t="s">
        <v>583</v>
      </c>
      <c r="C15" s="13">
        <v>2.0</v>
      </c>
      <c r="D15" s="14" t="str">
        <f t="shared" si="1"/>
        <v>QUI.</v>
      </c>
      <c r="E15" s="13">
        <f t="shared" si="2"/>
        <v>12</v>
      </c>
      <c r="F15" s="26"/>
      <c r="G15" s="56"/>
      <c r="H15" s="63">
        <v>983.25</v>
      </c>
      <c r="I15" s="58" t="s">
        <v>17</v>
      </c>
      <c r="J15" s="21" t="s">
        <v>81</v>
      </c>
      <c r="K15" s="59"/>
      <c r="L15" s="59"/>
      <c r="M15" s="59"/>
      <c r="N15" s="59"/>
      <c r="O15" s="59"/>
      <c r="P15" s="59"/>
      <c r="Q15" s="59"/>
    </row>
    <row r="16">
      <c r="A16" s="11" t="s">
        <v>5</v>
      </c>
      <c r="B16" s="99" t="s">
        <v>119</v>
      </c>
      <c r="C16" s="13">
        <v>2.0</v>
      </c>
      <c r="D16" s="14" t="str">
        <f t="shared" si="1"/>
        <v>QUI.</v>
      </c>
      <c r="E16" s="13">
        <f t="shared" si="2"/>
        <v>12</v>
      </c>
      <c r="F16" s="35"/>
      <c r="G16" s="36">
        <v>10.08</v>
      </c>
      <c r="H16" s="70"/>
      <c r="I16" s="78" t="s">
        <v>17</v>
      </c>
      <c r="J16" s="21" t="s">
        <v>120</v>
      </c>
      <c r="K16" s="84"/>
      <c r="L16" s="84"/>
      <c r="M16" s="84"/>
      <c r="N16" s="84"/>
      <c r="O16" s="84"/>
      <c r="P16" s="84"/>
      <c r="Q16" s="84"/>
    </row>
    <row r="17">
      <c r="A17" s="97" t="s">
        <v>5</v>
      </c>
      <c r="B17" s="29" t="s">
        <v>119</v>
      </c>
      <c r="C17" s="193">
        <v>2.0</v>
      </c>
      <c r="D17" s="74" t="str">
        <f t="shared" si="1"/>
        <v>QUI.</v>
      </c>
      <c r="E17" s="193">
        <f t="shared" si="2"/>
        <v>12</v>
      </c>
      <c r="F17" s="30"/>
      <c r="G17" s="32">
        <v>0.03</v>
      </c>
      <c r="H17" s="31"/>
      <c r="I17" s="58" t="s">
        <v>13</v>
      </c>
      <c r="J17" s="72" t="s">
        <v>120</v>
      </c>
      <c r="K17" s="31"/>
      <c r="L17" s="31"/>
      <c r="M17" s="31"/>
      <c r="N17" s="31"/>
      <c r="O17" s="31"/>
      <c r="P17" s="31"/>
      <c r="Q17" s="31"/>
    </row>
    <row r="18">
      <c r="A18" s="11" t="s">
        <v>5</v>
      </c>
      <c r="B18" s="159" t="s">
        <v>465</v>
      </c>
      <c r="C18" s="73">
        <v>3.0</v>
      </c>
      <c r="D18" s="25" t="str">
        <f t="shared" si="1"/>
        <v>SEX.</v>
      </c>
      <c r="E18" s="13">
        <f t="shared" si="2"/>
        <v>12</v>
      </c>
      <c r="F18" s="87">
        <v>44531.0</v>
      </c>
      <c r="G18" s="31"/>
      <c r="H18" s="32">
        <v>400.0</v>
      </c>
      <c r="I18" s="71" t="s">
        <v>17</v>
      </c>
      <c r="J18" s="76" t="s">
        <v>466</v>
      </c>
      <c r="K18" s="31"/>
      <c r="L18" s="31"/>
      <c r="M18" s="31"/>
      <c r="N18" s="31"/>
      <c r="O18" s="31"/>
      <c r="P18" s="31"/>
      <c r="Q18" s="31"/>
    </row>
    <row r="19">
      <c r="A19" s="11" t="s">
        <v>5</v>
      </c>
      <c r="B19" s="179" t="s">
        <v>427</v>
      </c>
      <c r="C19" s="62">
        <v>3.0</v>
      </c>
      <c r="D19" s="25" t="str">
        <f t="shared" si="1"/>
        <v>SEX.</v>
      </c>
      <c r="E19" s="13">
        <f t="shared" si="2"/>
        <v>12</v>
      </c>
      <c r="F19" s="26"/>
      <c r="G19" s="56"/>
      <c r="H19" s="63">
        <v>201.16</v>
      </c>
      <c r="I19" s="33" t="s">
        <v>249</v>
      </c>
      <c r="J19" s="173" t="s">
        <v>22</v>
      </c>
      <c r="K19" s="56"/>
      <c r="L19" s="56"/>
      <c r="M19" s="56"/>
      <c r="N19" s="56"/>
      <c r="O19" s="56"/>
      <c r="P19" s="56"/>
      <c r="Q19" s="56"/>
    </row>
    <row r="20">
      <c r="A20" s="11" t="s">
        <v>5</v>
      </c>
      <c r="B20" s="83" t="s">
        <v>584</v>
      </c>
      <c r="C20" s="80">
        <v>4.0</v>
      </c>
      <c r="D20" s="81" t="str">
        <f t="shared" si="1"/>
        <v>SÁB.</v>
      </c>
      <c r="E20" s="13">
        <f t="shared" si="2"/>
        <v>12</v>
      </c>
      <c r="F20" s="35"/>
      <c r="G20" s="70"/>
      <c r="H20" s="36">
        <v>77.72</v>
      </c>
      <c r="I20" s="152" t="s">
        <v>17</v>
      </c>
      <c r="J20" s="103" t="s">
        <v>585</v>
      </c>
      <c r="K20" s="106"/>
      <c r="L20" s="106"/>
      <c r="M20" s="106"/>
      <c r="N20" s="106"/>
      <c r="O20" s="84"/>
      <c r="P20" s="84"/>
      <c r="Q20" s="84"/>
    </row>
    <row r="21">
      <c r="A21" s="11" t="s">
        <v>5</v>
      </c>
      <c r="B21" s="79" t="s">
        <v>73</v>
      </c>
      <c r="C21" s="80">
        <v>5.0</v>
      </c>
      <c r="D21" s="81" t="str">
        <f t="shared" si="1"/>
        <v>DOM.</v>
      </c>
      <c r="E21" s="13">
        <f t="shared" si="2"/>
        <v>12</v>
      </c>
      <c r="F21" s="35"/>
      <c r="G21" s="70"/>
      <c r="H21" s="36">
        <v>48.4</v>
      </c>
      <c r="I21" s="152" t="s">
        <v>17</v>
      </c>
      <c r="J21" s="199" t="s">
        <v>20</v>
      </c>
      <c r="K21" s="106"/>
      <c r="L21" s="106"/>
      <c r="M21" s="106"/>
      <c r="N21" s="106"/>
      <c r="O21" s="84"/>
      <c r="P21" s="84"/>
      <c r="Q21" s="84"/>
    </row>
    <row r="22">
      <c r="A22" s="11" t="s">
        <v>5</v>
      </c>
      <c r="B22" s="179" t="s">
        <v>518</v>
      </c>
      <c r="C22" s="62">
        <v>5.0</v>
      </c>
      <c r="D22" s="25" t="str">
        <f t="shared" si="1"/>
        <v>DOM.</v>
      </c>
      <c r="E22" s="13">
        <f t="shared" si="2"/>
        <v>12</v>
      </c>
      <c r="F22" s="26"/>
      <c r="G22" s="56"/>
      <c r="H22" s="63">
        <v>129.57</v>
      </c>
      <c r="I22" s="33" t="s">
        <v>252</v>
      </c>
      <c r="J22" s="173" t="s">
        <v>22</v>
      </c>
      <c r="K22" s="56"/>
      <c r="L22" s="56"/>
      <c r="M22" s="56"/>
      <c r="N22" s="56"/>
      <c r="O22" s="56"/>
      <c r="P22" s="56"/>
      <c r="Q22" s="56"/>
    </row>
    <row r="23">
      <c r="A23" s="215" t="s">
        <v>5</v>
      </c>
      <c r="B23" s="199" t="s">
        <v>489</v>
      </c>
      <c r="C23" s="80">
        <v>6.0</v>
      </c>
      <c r="D23" s="81" t="str">
        <f t="shared" si="1"/>
        <v>SEG.</v>
      </c>
      <c r="E23" s="207">
        <f t="shared" si="2"/>
        <v>12</v>
      </c>
      <c r="F23" s="35"/>
      <c r="G23" s="70"/>
      <c r="H23" s="86">
        <v>154.0</v>
      </c>
      <c r="I23" s="78" t="s">
        <v>17</v>
      </c>
      <c r="J23" s="199" t="s">
        <v>475</v>
      </c>
      <c r="K23" s="84"/>
      <c r="L23" s="84"/>
      <c r="M23" s="84"/>
      <c r="N23" s="84"/>
      <c r="O23" s="84"/>
      <c r="P23" s="84"/>
      <c r="Q23" s="84"/>
    </row>
    <row r="24">
      <c r="A24" s="11" t="s">
        <v>5</v>
      </c>
      <c r="B24" s="83" t="s">
        <v>350</v>
      </c>
      <c r="C24" s="13">
        <v>6.0</v>
      </c>
      <c r="D24" s="14" t="str">
        <f t="shared" si="1"/>
        <v>SEG.</v>
      </c>
      <c r="E24" s="13">
        <f t="shared" si="2"/>
        <v>12</v>
      </c>
      <c r="F24" s="35"/>
      <c r="G24" s="36">
        <v>500.0</v>
      </c>
      <c r="H24" s="70"/>
      <c r="I24" s="78" t="s">
        <v>17</v>
      </c>
      <c r="J24" s="21" t="s">
        <v>390</v>
      </c>
      <c r="K24" s="84"/>
      <c r="L24" s="84"/>
      <c r="M24" s="84"/>
      <c r="N24" s="84"/>
      <c r="O24" s="84"/>
      <c r="P24" s="84"/>
      <c r="Q24" s="84"/>
    </row>
    <row r="25">
      <c r="A25" s="11" t="s">
        <v>5</v>
      </c>
      <c r="B25" s="44" t="s">
        <v>491</v>
      </c>
      <c r="C25" s="13">
        <v>6.0</v>
      </c>
      <c r="D25" s="14" t="str">
        <f t="shared" si="1"/>
        <v>SEG.</v>
      </c>
      <c r="E25" s="13">
        <f t="shared" si="2"/>
        <v>12</v>
      </c>
      <c r="F25" s="43"/>
      <c r="G25" s="46">
        <v>700.0</v>
      </c>
      <c r="H25" s="46"/>
      <c r="I25" s="47" t="s">
        <v>17</v>
      </c>
      <c r="J25" s="21" t="s">
        <v>38</v>
      </c>
      <c r="K25" s="39"/>
      <c r="L25" s="39"/>
      <c r="M25" s="39"/>
      <c r="N25" s="39"/>
      <c r="O25" s="39"/>
      <c r="P25" s="39"/>
      <c r="Q25" s="39"/>
    </row>
    <row r="26">
      <c r="A26" s="11" t="s">
        <v>25</v>
      </c>
      <c r="B26" s="39" t="s">
        <v>26</v>
      </c>
      <c r="C26" s="66">
        <v>6.0</v>
      </c>
      <c r="D26" s="14" t="str">
        <f t="shared" si="1"/>
        <v>SEG.</v>
      </c>
      <c r="E26" s="13">
        <f t="shared" si="2"/>
        <v>12</v>
      </c>
      <c r="F26" s="43"/>
      <c r="G26" s="45"/>
      <c r="H26" s="46">
        <v>750.0</v>
      </c>
      <c r="I26" s="149" t="s">
        <v>17</v>
      </c>
      <c r="J26" s="44"/>
      <c r="K26" s="68"/>
      <c r="L26" s="68"/>
      <c r="M26" s="68"/>
      <c r="N26" s="68"/>
      <c r="O26" s="68"/>
      <c r="P26" s="68"/>
      <c r="Q26" s="68"/>
    </row>
    <row r="27">
      <c r="A27" s="11" t="s">
        <v>25</v>
      </c>
      <c r="B27" s="72" t="s">
        <v>27</v>
      </c>
      <c r="C27" s="73">
        <v>6.0</v>
      </c>
      <c r="D27" s="74" t="str">
        <f t="shared" si="1"/>
        <v>SEG.</v>
      </c>
      <c r="E27" s="13">
        <f t="shared" si="2"/>
        <v>12</v>
      </c>
      <c r="F27" s="30"/>
      <c r="G27" s="46">
        <v>750.0</v>
      </c>
      <c r="H27" s="31"/>
      <c r="I27" s="75" t="s">
        <v>15</v>
      </c>
      <c r="J27" s="76"/>
      <c r="K27" s="77"/>
      <c r="L27" s="77"/>
      <c r="M27" s="77"/>
      <c r="N27" s="77"/>
      <c r="O27" s="77"/>
      <c r="P27" s="77"/>
      <c r="Q27" s="77"/>
    </row>
    <row r="28">
      <c r="A28" s="95" t="s">
        <v>5</v>
      </c>
      <c r="B28" s="44" t="s">
        <v>586</v>
      </c>
      <c r="C28" s="66">
        <v>6.0</v>
      </c>
      <c r="D28" s="14" t="str">
        <f t="shared" si="1"/>
        <v>SEG.</v>
      </c>
      <c r="E28" s="144">
        <f t="shared" si="2"/>
        <v>12</v>
      </c>
      <c r="F28" s="43"/>
      <c r="G28" s="45"/>
      <c r="H28" s="46">
        <v>751.37</v>
      </c>
      <c r="I28" s="67" t="s">
        <v>15</v>
      </c>
      <c r="J28" s="44" t="s">
        <v>587</v>
      </c>
      <c r="K28" s="68"/>
      <c r="L28" s="68"/>
      <c r="M28" s="68"/>
      <c r="N28" s="68"/>
      <c r="O28" s="68"/>
      <c r="P28" s="68"/>
      <c r="Q28" s="68"/>
    </row>
    <row r="29">
      <c r="A29" s="158" t="s">
        <v>5</v>
      </c>
      <c r="B29" s="34" t="s">
        <v>588</v>
      </c>
      <c r="C29" s="62">
        <v>6.0</v>
      </c>
      <c r="D29" s="25" t="str">
        <f t="shared" si="1"/>
        <v>SEG.</v>
      </c>
      <c r="E29" s="184">
        <f t="shared" si="2"/>
        <v>12</v>
      </c>
      <c r="F29" s="26"/>
      <c r="G29" s="63">
        <v>81.29</v>
      </c>
      <c r="H29" s="101"/>
      <c r="I29" s="64" t="s">
        <v>15</v>
      </c>
      <c r="J29" s="90" t="s">
        <v>589</v>
      </c>
      <c r="K29" s="59"/>
      <c r="L29" s="59"/>
      <c r="M29" s="59"/>
      <c r="N29" s="59"/>
      <c r="O29" s="59"/>
      <c r="P29" s="59"/>
      <c r="Q29" s="59"/>
    </row>
    <row r="30">
      <c r="A30" s="11" t="s">
        <v>5</v>
      </c>
      <c r="B30" s="44" t="s">
        <v>491</v>
      </c>
      <c r="C30" s="13">
        <v>6.0</v>
      </c>
      <c r="D30" s="14" t="str">
        <f t="shared" si="1"/>
        <v>SEG.</v>
      </c>
      <c r="E30" s="13">
        <f t="shared" si="2"/>
        <v>12</v>
      </c>
      <c r="F30" s="43"/>
      <c r="G30" s="46">
        <v>50.0</v>
      </c>
      <c r="H30" s="46"/>
      <c r="I30" s="47" t="s">
        <v>17</v>
      </c>
      <c r="J30" s="21" t="s">
        <v>38</v>
      </c>
      <c r="K30" s="39"/>
      <c r="L30" s="39"/>
      <c r="M30" s="39"/>
      <c r="N30" s="39"/>
      <c r="O30" s="39"/>
      <c r="P30" s="39"/>
      <c r="Q30" s="39"/>
    </row>
    <row r="31">
      <c r="A31" s="11" t="s">
        <v>5</v>
      </c>
      <c r="B31" s="83" t="s">
        <v>352</v>
      </c>
      <c r="C31" s="13">
        <v>6.0</v>
      </c>
      <c r="D31" s="14" t="str">
        <f t="shared" si="1"/>
        <v>SEG.</v>
      </c>
      <c r="E31" s="13">
        <f t="shared" si="2"/>
        <v>12</v>
      </c>
      <c r="F31" s="35"/>
      <c r="G31" s="36"/>
      <c r="H31" s="36">
        <v>500.0</v>
      </c>
      <c r="I31" s="78" t="s">
        <v>17</v>
      </c>
      <c r="J31" s="21" t="s">
        <v>391</v>
      </c>
      <c r="K31" s="84"/>
      <c r="L31" s="84"/>
      <c r="M31" s="84"/>
      <c r="N31" s="84"/>
      <c r="O31" s="84"/>
      <c r="P31" s="84"/>
      <c r="Q31" s="84"/>
    </row>
    <row r="32">
      <c r="A32" s="11" t="s">
        <v>5</v>
      </c>
      <c r="B32" s="44" t="s">
        <v>39</v>
      </c>
      <c r="C32" s="13">
        <v>8.0</v>
      </c>
      <c r="D32" s="14" t="str">
        <f t="shared" si="1"/>
        <v>QUA.</v>
      </c>
      <c r="E32" s="13">
        <f t="shared" si="2"/>
        <v>12</v>
      </c>
      <c r="F32" s="87"/>
      <c r="G32" s="45"/>
      <c r="H32" s="53">
        <f>SUM(H33:H35)</f>
        <v>239.4</v>
      </c>
      <c r="I32" s="47" t="s">
        <v>17</v>
      </c>
      <c r="J32" s="21"/>
      <c r="K32" s="39"/>
      <c r="L32" s="39"/>
      <c r="M32" s="39"/>
      <c r="N32" s="39"/>
      <c r="O32" s="39"/>
      <c r="P32" s="39"/>
      <c r="Q32" s="39"/>
    </row>
    <row r="33" outlineLevel="1">
      <c r="A33" s="11" t="s">
        <v>40</v>
      </c>
      <c r="B33" s="76" t="s">
        <v>239</v>
      </c>
      <c r="C33" s="155"/>
      <c r="D33" s="156"/>
      <c r="E33" s="13">
        <f t="shared" si="2"/>
        <v>12</v>
      </c>
      <c r="F33" s="54">
        <v>44501.0</v>
      </c>
      <c r="G33" s="31"/>
      <c r="H33" s="32">
        <v>1.0</v>
      </c>
      <c r="I33" s="157"/>
      <c r="J33" s="83" t="s">
        <v>243</v>
      </c>
      <c r="K33" s="77"/>
      <c r="L33" s="77"/>
      <c r="M33" s="77"/>
      <c r="N33" s="77"/>
      <c r="O33" s="77"/>
      <c r="P33" s="77"/>
      <c r="Q33" s="77"/>
    </row>
    <row r="34" outlineLevel="1">
      <c r="A34" s="11" t="s">
        <v>40</v>
      </c>
      <c r="B34" s="76" t="s">
        <v>590</v>
      </c>
      <c r="C34" s="155"/>
      <c r="D34" s="156"/>
      <c r="E34" s="13">
        <f t="shared" si="2"/>
        <v>12</v>
      </c>
      <c r="F34" s="54">
        <v>44511.0</v>
      </c>
      <c r="G34" s="31"/>
      <c r="H34" s="32">
        <v>223.38</v>
      </c>
      <c r="I34" s="157"/>
      <c r="J34" s="76" t="s">
        <v>591</v>
      </c>
      <c r="K34" s="77"/>
      <c r="L34" s="77"/>
      <c r="M34" s="77"/>
      <c r="N34" s="77"/>
      <c r="O34" s="77"/>
      <c r="P34" s="77"/>
      <c r="Q34" s="77"/>
    </row>
    <row r="35" outlineLevel="1">
      <c r="A35" s="11" t="s">
        <v>40</v>
      </c>
      <c r="B35" s="72" t="s">
        <v>47</v>
      </c>
      <c r="C35" s="155"/>
      <c r="D35" s="156"/>
      <c r="E35" s="193">
        <f t="shared" si="2"/>
        <v>12</v>
      </c>
      <c r="F35" s="54">
        <v>44518.0</v>
      </c>
      <c r="G35" s="31"/>
      <c r="H35" s="32">
        <v>15.02</v>
      </c>
      <c r="I35" s="157"/>
      <c r="J35" s="72" t="s">
        <v>48</v>
      </c>
      <c r="K35" s="77"/>
      <c r="L35" s="77"/>
      <c r="M35" s="77"/>
      <c r="N35" s="77"/>
      <c r="O35" s="77"/>
      <c r="P35" s="77"/>
      <c r="Q35" s="77"/>
    </row>
    <row r="36">
      <c r="A36" s="11" t="s">
        <v>5</v>
      </c>
      <c r="B36" s="90" t="s">
        <v>59</v>
      </c>
      <c r="C36" s="13">
        <v>8.0</v>
      </c>
      <c r="D36" s="14" t="str">
        <f t="shared" ref="D36:D44" si="3">UPPER(TEXT(WEEKDAY(DATEVALUE(CONCATENATE(C36,"/",$C$3,"/",$A$1))),"DDD"))</f>
        <v>QUA.</v>
      </c>
      <c r="E36" s="13">
        <f t="shared" si="2"/>
        <v>12</v>
      </c>
      <c r="F36" s="87"/>
      <c r="G36" s="56"/>
      <c r="H36" s="88">
        <v>495.76</v>
      </c>
      <c r="I36" s="58" t="s">
        <v>17</v>
      </c>
      <c r="J36" s="21" t="s">
        <v>60</v>
      </c>
      <c r="K36" s="59"/>
      <c r="L36" s="59"/>
      <c r="M36" s="59"/>
      <c r="N36" s="59"/>
      <c r="O36" s="59"/>
      <c r="P36" s="59"/>
      <c r="Q36" s="59"/>
    </row>
    <row r="37">
      <c r="A37" s="11" t="s">
        <v>5</v>
      </c>
      <c r="B37" s="39" t="s">
        <v>61</v>
      </c>
      <c r="C37" s="13">
        <v>8.0</v>
      </c>
      <c r="D37" s="14" t="str">
        <f t="shared" si="3"/>
        <v>QUA.</v>
      </c>
      <c r="E37" s="13">
        <f t="shared" si="2"/>
        <v>12</v>
      </c>
      <c r="F37" s="87">
        <v>44532.0</v>
      </c>
      <c r="G37" s="45"/>
      <c r="H37" s="46">
        <v>107.09</v>
      </c>
      <c r="I37" s="58" t="s">
        <v>15</v>
      </c>
      <c r="J37" s="21" t="s">
        <v>62</v>
      </c>
      <c r="K37" s="39"/>
      <c r="L37" s="39"/>
      <c r="M37" s="39"/>
      <c r="N37" s="39"/>
      <c r="O37" s="39"/>
      <c r="P37" s="39"/>
      <c r="Q37" s="39"/>
    </row>
    <row r="38">
      <c r="A38" s="11" t="s">
        <v>5</v>
      </c>
      <c r="B38" s="83" t="s">
        <v>442</v>
      </c>
      <c r="C38" s="207">
        <v>8.0</v>
      </c>
      <c r="D38" s="81" t="str">
        <f t="shared" si="3"/>
        <v>QUA.</v>
      </c>
      <c r="E38" s="207">
        <f t="shared" si="2"/>
        <v>12</v>
      </c>
      <c r="F38" s="87">
        <v>44532.0</v>
      </c>
      <c r="G38" s="70"/>
      <c r="H38" s="36">
        <v>32.9</v>
      </c>
      <c r="I38" s="47" t="s">
        <v>15</v>
      </c>
      <c r="J38" s="103" t="s">
        <v>443</v>
      </c>
      <c r="K38" s="99"/>
      <c r="L38" s="99"/>
      <c r="M38" s="99"/>
      <c r="N38" s="99"/>
      <c r="O38" s="99"/>
      <c r="P38" s="99"/>
      <c r="Q38" s="99"/>
    </row>
    <row r="39">
      <c r="A39" s="11" t="s">
        <v>5</v>
      </c>
      <c r="B39" s="34" t="s">
        <v>592</v>
      </c>
      <c r="C39" s="13">
        <v>9.0</v>
      </c>
      <c r="D39" s="14" t="str">
        <f t="shared" si="3"/>
        <v>QUI.</v>
      </c>
      <c r="E39" s="13">
        <f t="shared" si="2"/>
        <v>12</v>
      </c>
      <c r="F39" s="26"/>
      <c r="G39" s="56"/>
      <c r="H39" s="63">
        <v>37.75</v>
      </c>
      <c r="I39" s="58" t="s">
        <v>15</v>
      </c>
      <c r="J39" s="21" t="s">
        <v>81</v>
      </c>
      <c r="K39" s="59"/>
      <c r="L39" s="59"/>
      <c r="M39" s="59"/>
      <c r="N39" s="59"/>
      <c r="O39" s="59"/>
      <c r="P39" s="59"/>
      <c r="Q39" s="59"/>
    </row>
    <row r="40">
      <c r="A40" s="11" t="s">
        <v>5</v>
      </c>
      <c r="B40" s="44" t="s">
        <v>491</v>
      </c>
      <c r="C40" s="13">
        <v>10.0</v>
      </c>
      <c r="D40" s="14" t="str">
        <f t="shared" si="3"/>
        <v>SEX.</v>
      </c>
      <c r="E40" s="13">
        <f t="shared" si="2"/>
        <v>12</v>
      </c>
      <c r="F40" s="43"/>
      <c r="G40" s="46">
        <v>200.0</v>
      </c>
      <c r="H40" s="46"/>
      <c r="I40" s="47" t="s">
        <v>17</v>
      </c>
      <c r="J40" s="21" t="s">
        <v>38</v>
      </c>
      <c r="K40" s="39"/>
      <c r="L40" s="39"/>
      <c r="M40" s="39"/>
      <c r="N40" s="39"/>
      <c r="O40" s="39"/>
      <c r="P40" s="39"/>
      <c r="Q40" s="39"/>
    </row>
    <row r="41">
      <c r="A41" s="11" t="s">
        <v>5</v>
      </c>
      <c r="B41" s="34" t="s">
        <v>444</v>
      </c>
      <c r="C41" s="13">
        <v>10.0</v>
      </c>
      <c r="D41" s="14" t="str">
        <f t="shared" si="3"/>
        <v>SEX.</v>
      </c>
      <c r="E41" s="13">
        <f t="shared" si="2"/>
        <v>12</v>
      </c>
      <c r="F41" s="87">
        <v>44532.0</v>
      </c>
      <c r="G41" s="56"/>
      <c r="H41" s="63">
        <v>643.0</v>
      </c>
      <c r="I41" s="58" t="s">
        <v>17</v>
      </c>
      <c r="J41" s="21" t="s">
        <v>67</v>
      </c>
      <c r="K41" s="59"/>
      <c r="L41" s="59"/>
      <c r="M41" s="59"/>
      <c r="N41" s="59"/>
      <c r="O41" s="59"/>
      <c r="P41" s="59"/>
      <c r="Q41" s="59"/>
    </row>
    <row r="42">
      <c r="A42" s="11" t="s">
        <v>5</v>
      </c>
      <c r="B42" s="179" t="s">
        <v>21</v>
      </c>
      <c r="C42" s="62">
        <v>11.0</v>
      </c>
      <c r="D42" s="25" t="str">
        <f t="shared" si="3"/>
        <v>SÁB.</v>
      </c>
      <c r="E42" s="13">
        <f t="shared" si="2"/>
        <v>12</v>
      </c>
      <c r="F42" s="26"/>
      <c r="G42" s="56"/>
      <c r="H42" s="63">
        <v>205.14</v>
      </c>
      <c r="I42" s="33" t="s">
        <v>252</v>
      </c>
      <c r="J42" s="173" t="s">
        <v>22</v>
      </c>
      <c r="K42" s="56"/>
      <c r="L42" s="56"/>
      <c r="M42" s="56"/>
      <c r="N42" s="56"/>
      <c r="O42" s="56"/>
      <c r="P42" s="56"/>
      <c r="Q42" s="56"/>
    </row>
    <row r="43">
      <c r="A43" s="11" t="s">
        <v>5</v>
      </c>
      <c r="B43" s="90" t="s">
        <v>593</v>
      </c>
      <c r="C43" s="13">
        <v>13.0</v>
      </c>
      <c r="D43" s="14" t="str">
        <f t="shared" si="3"/>
        <v>SEG.</v>
      </c>
      <c r="E43" s="13">
        <f t="shared" si="2"/>
        <v>12</v>
      </c>
      <c r="F43" s="87">
        <v>44540.0</v>
      </c>
      <c r="G43" s="56"/>
      <c r="H43" s="88">
        <v>160.21</v>
      </c>
      <c r="I43" s="58" t="s">
        <v>17</v>
      </c>
      <c r="J43" s="21" t="s">
        <v>594</v>
      </c>
      <c r="K43" s="59"/>
      <c r="L43" s="59"/>
      <c r="M43" s="59"/>
      <c r="N43" s="59"/>
      <c r="O43" s="59"/>
      <c r="P43" s="59"/>
      <c r="Q43" s="59"/>
    </row>
    <row r="44">
      <c r="A44" s="11" t="s">
        <v>5</v>
      </c>
      <c r="B44" s="177" t="s">
        <v>84</v>
      </c>
      <c r="C44" s="148">
        <v>13.0</v>
      </c>
      <c r="D44" s="25" t="str">
        <f t="shared" si="3"/>
        <v>SEG.</v>
      </c>
      <c r="E44" s="13">
        <f t="shared" si="2"/>
        <v>12</v>
      </c>
      <c r="F44" s="87"/>
      <c r="G44" s="56"/>
      <c r="H44" s="101">
        <f>SUM(H45:H55)</f>
        <v>1573.96</v>
      </c>
      <c r="I44" s="23" t="s">
        <v>17</v>
      </c>
      <c r="J44" s="40"/>
      <c r="K44" s="56"/>
      <c r="L44" s="56"/>
      <c r="M44" s="56"/>
      <c r="N44" s="56"/>
      <c r="O44" s="56"/>
      <c r="P44" s="56"/>
      <c r="Q44" s="56"/>
    </row>
    <row r="45" outlineLevel="1">
      <c r="A45" s="192" t="s">
        <v>595</v>
      </c>
      <c r="B45" s="76" t="s">
        <v>596</v>
      </c>
      <c r="C45" s="155"/>
      <c r="D45" s="156"/>
      <c r="E45" s="193">
        <f t="shared" si="2"/>
        <v>12</v>
      </c>
      <c r="F45" s="54">
        <v>44506.0</v>
      </c>
      <c r="G45" s="31"/>
      <c r="H45" s="32">
        <v>257.15</v>
      </c>
      <c r="I45" s="23"/>
      <c r="J45" s="79" t="s">
        <v>399</v>
      </c>
      <c r="K45" s="77"/>
      <c r="L45" s="77"/>
      <c r="M45" s="77"/>
      <c r="N45" s="77"/>
      <c r="O45" s="77"/>
      <c r="P45" s="77"/>
      <c r="Q45" s="77"/>
    </row>
    <row r="46" outlineLevel="1">
      <c r="A46" s="192" t="s">
        <v>595</v>
      </c>
      <c r="B46" s="76" t="s">
        <v>597</v>
      </c>
      <c r="C46" s="155"/>
      <c r="D46" s="156"/>
      <c r="E46" s="193">
        <f t="shared" si="2"/>
        <v>12</v>
      </c>
      <c r="F46" s="54">
        <v>44506.0</v>
      </c>
      <c r="G46" s="31"/>
      <c r="H46" s="32">
        <v>612.56</v>
      </c>
      <c r="I46" s="23"/>
      <c r="J46" s="83" t="s">
        <v>598</v>
      </c>
      <c r="K46" s="77"/>
      <c r="L46" s="77"/>
      <c r="M46" s="77"/>
      <c r="N46" s="77"/>
      <c r="O46" s="77"/>
      <c r="P46" s="77"/>
      <c r="Q46" s="77"/>
    </row>
    <row r="47" outlineLevel="1">
      <c r="A47" s="192" t="s">
        <v>595</v>
      </c>
      <c r="B47" s="76" t="s">
        <v>599</v>
      </c>
      <c r="C47" s="155"/>
      <c r="D47" s="156"/>
      <c r="E47" s="193">
        <f t="shared" si="2"/>
        <v>12</v>
      </c>
      <c r="F47" s="54">
        <v>44507.0</v>
      </c>
      <c r="G47" s="31"/>
      <c r="H47" s="32">
        <v>115.02</v>
      </c>
      <c r="I47" s="23"/>
      <c r="J47" s="83" t="s">
        <v>600</v>
      </c>
      <c r="K47" s="77"/>
      <c r="L47" s="77"/>
      <c r="M47" s="77"/>
      <c r="N47" s="77"/>
      <c r="O47" s="77"/>
      <c r="P47" s="77"/>
      <c r="Q47" s="77"/>
    </row>
    <row r="48" outlineLevel="1">
      <c r="A48" s="11" t="s">
        <v>595</v>
      </c>
      <c r="B48" s="83" t="s">
        <v>601</v>
      </c>
      <c r="C48" s="194"/>
      <c r="D48" s="195"/>
      <c r="E48" s="193">
        <f t="shared" si="2"/>
        <v>12</v>
      </c>
      <c r="F48" s="196">
        <v>44510.0</v>
      </c>
      <c r="G48" s="70"/>
      <c r="H48" s="36">
        <v>16.24</v>
      </c>
      <c r="I48" s="70"/>
      <c r="J48" s="83" t="s">
        <v>88</v>
      </c>
      <c r="K48" s="84"/>
      <c r="L48" s="84"/>
      <c r="M48" s="84"/>
      <c r="N48" s="84"/>
      <c r="O48" s="84"/>
      <c r="P48" s="84"/>
      <c r="Q48" s="84"/>
    </row>
    <row r="49" outlineLevel="1">
      <c r="A49" s="11" t="s">
        <v>595</v>
      </c>
      <c r="B49" s="83" t="s">
        <v>602</v>
      </c>
      <c r="C49" s="194"/>
      <c r="D49" s="195"/>
      <c r="E49" s="193">
        <f t="shared" si="2"/>
        <v>12</v>
      </c>
      <c r="F49" s="196">
        <v>44517.0</v>
      </c>
      <c r="G49" s="70"/>
      <c r="H49" s="36">
        <v>279.9</v>
      </c>
      <c r="I49" s="70"/>
      <c r="J49" s="83" t="s">
        <v>603</v>
      </c>
      <c r="K49" s="84"/>
      <c r="L49" s="84"/>
      <c r="M49" s="84"/>
      <c r="N49" s="84"/>
      <c r="O49" s="84"/>
      <c r="P49" s="84"/>
      <c r="Q49" s="84"/>
    </row>
    <row r="50" outlineLevel="1">
      <c r="A50" s="192" t="s">
        <v>595</v>
      </c>
      <c r="B50" s="76" t="s">
        <v>604</v>
      </c>
      <c r="C50" s="155"/>
      <c r="D50" s="156"/>
      <c r="E50" s="193">
        <f t="shared" si="2"/>
        <v>12</v>
      </c>
      <c r="F50" s="54">
        <v>44518.0</v>
      </c>
      <c r="G50" s="31"/>
      <c r="H50" s="32">
        <v>55.59</v>
      </c>
      <c r="I50" s="23"/>
      <c r="J50" s="83" t="s">
        <v>600</v>
      </c>
      <c r="K50" s="77"/>
      <c r="L50" s="77"/>
      <c r="M50" s="77"/>
      <c r="N50" s="77"/>
      <c r="O50" s="77"/>
      <c r="P50" s="77"/>
      <c r="Q50" s="77"/>
    </row>
    <row r="51" outlineLevel="1">
      <c r="A51" s="192" t="s">
        <v>595</v>
      </c>
      <c r="B51" s="76" t="s">
        <v>563</v>
      </c>
      <c r="C51" s="155"/>
      <c r="D51" s="156"/>
      <c r="E51" s="193">
        <f t="shared" si="2"/>
        <v>12</v>
      </c>
      <c r="F51" s="54">
        <v>44525.0</v>
      </c>
      <c r="G51" s="31"/>
      <c r="H51" s="32">
        <v>31.9</v>
      </c>
      <c r="I51" s="31"/>
      <c r="J51" s="83" t="s">
        <v>88</v>
      </c>
      <c r="K51" s="77"/>
      <c r="L51" s="77"/>
      <c r="M51" s="77"/>
      <c r="N51" s="77"/>
      <c r="O51" s="77"/>
      <c r="P51" s="77"/>
      <c r="Q51" s="77"/>
    </row>
    <row r="52" outlineLevel="1">
      <c r="A52" s="11" t="s">
        <v>595</v>
      </c>
      <c r="B52" s="79" t="s">
        <v>87</v>
      </c>
      <c r="C52" s="194"/>
      <c r="D52" s="195"/>
      <c r="E52" s="193">
        <f t="shared" si="2"/>
        <v>12</v>
      </c>
      <c r="F52" s="196">
        <v>44526.0</v>
      </c>
      <c r="G52" s="70"/>
      <c r="H52" s="151">
        <v>9.9</v>
      </c>
      <c r="I52" s="70"/>
      <c r="J52" s="83" t="s">
        <v>88</v>
      </c>
      <c r="K52" s="84"/>
      <c r="L52" s="84"/>
      <c r="M52" s="84"/>
      <c r="N52" s="84"/>
      <c r="O52" s="84"/>
      <c r="P52" s="84"/>
      <c r="Q52" s="84"/>
    </row>
    <row r="53" outlineLevel="1">
      <c r="A53" s="102" t="s">
        <v>595</v>
      </c>
      <c r="B53" s="198" t="s">
        <v>21</v>
      </c>
      <c r="C53" s="207"/>
      <c r="D53" s="81"/>
      <c r="E53" s="193">
        <f t="shared" si="2"/>
        <v>12</v>
      </c>
      <c r="F53" s="196">
        <v>44529.0</v>
      </c>
      <c r="G53" s="70"/>
      <c r="H53" s="36">
        <v>138.41</v>
      </c>
      <c r="I53" s="221"/>
      <c r="J53" s="103" t="s">
        <v>403</v>
      </c>
      <c r="K53" s="70"/>
      <c r="L53" s="70"/>
      <c r="M53" s="70"/>
      <c r="N53" s="70"/>
      <c r="O53" s="70"/>
      <c r="P53" s="70"/>
      <c r="Q53" s="70"/>
    </row>
    <row r="54" outlineLevel="1">
      <c r="A54" s="11" t="s">
        <v>595</v>
      </c>
      <c r="B54" s="83" t="s">
        <v>605</v>
      </c>
      <c r="C54" s="194"/>
      <c r="D54" s="195"/>
      <c r="E54" s="193">
        <f t="shared" si="2"/>
        <v>12</v>
      </c>
      <c r="F54" s="196">
        <v>44530.0</v>
      </c>
      <c r="G54" s="70"/>
      <c r="H54" s="36">
        <v>12.3</v>
      </c>
      <c r="I54" s="70"/>
      <c r="J54" s="83" t="s">
        <v>606</v>
      </c>
      <c r="K54" s="84"/>
      <c r="L54" s="84"/>
      <c r="M54" s="84"/>
      <c r="N54" s="84"/>
      <c r="O54" s="84"/>
      <c r="P54" s="84"/>
      <c r="Q54" s="84"/>
    </row>
    <row r="55" outlineLevel="1">
      <c r="A55" s="11" t="s">
        <v>595</v>
      </c>
      <c r="B55" s="76" t="s">
        <v>515</v>
      </c>
      <c r="C55" s="155"/>
      <c r="D55" s="156"/>
      <c r="E55" s="193">
        <f t="shared" si="2"/>
        <v>12</v>
      </c>
      <c r="F55" s="54">
        <v>44531.0</v>
      </c>
      <c r="G55" s="31"/>
      <c r="H55" s="32">
        <v>44.99</v>
      </c>
      <c r="I55" s="31"/>
      <c r="J55" s="76" t="s">
        <v>516</v>
      </c>
      <c r="K55" s="77"/>
      <c r="L55" s="77"/>
      <c r="M55" s="77"/>
      <c r="N55" s="77"/>
      <c r="O55" s="77"/>
      <c r="P55" s="77"/>
      <c r="Q55" s="77"/>
    </row>
    <row r="56">
      <c r="A56" s="11" t="s">
        <v>5</v>
      </c>
      <c r="B56" s="76" t="s">
        <v>607</v>
      </c>
      <c r="C56" s="13">
        <v>13.0</v>
      </c>
      <c r="D56" s="14" t="str">
        <f t="shared" ref="D56:D68" si="4">UPPER(TEXT(WEEKDAY(DATEVALUE(CONCATENATE(C56,"/",$C$3,"/",$A$1))),"DDD"))</f>
        <v>SEG.</v>
      </c>
      <c r="E56" s="13">
        <f t="shared" si="2"/>
        <v>12</v>
      </c>
      <c r="F56" s="54"/>
      <c r="G56" s="31"/>
      <c r="H56" s="32">
        <v>47.89</v>
      </c>
      <c r="I56" s="58" t="s">
        <v>17</v>
      </c>
      <c r="J56" s="76" t="s">
        <v>608</v>
      </c>
      <c r="K56" s="77"/>
      <c r="L56" s="77"/>
      <c r="M56" s="77"/>
      <c r="N56" s="77"/>
      <c r="O56" s="77"/>
      <c r="P56" s="77"/>
      <c r="Q56" s="77"/>
    </row>
    <row r="57">
      <c r="A57" s="95" t="s">
        <v>5</v>
      </c>
      <c r="B57" s="178" t="s">
        <v>609</v>
      </c>
      <c r="C57" s="66">
        <v>15.0</v>
      </c>
      <c r="D57" s="14" t="str">
        <f t="shared" si="4"/>
        <v>QUA.</v>
      </c>
      <c r="E57" s="144">
        <f t="shared" si="2"/>
        <v>12</v>
      </c>
      <c r="F57" s="43"/>
      <c r="G57" s="46">
        <v>5068.8</v>
      </c>
      <c r="H57" s="45"/>
      <c r="I57" s="65" t="s">
        <v>261</v>
      </c>
      <c r="J57" s="42" t="s">
        <v>64</v>
      </c>
      <c r="K57" s="45"/>
      <c r="L57" s="45"/>
      <c r="M57" s="45"/>
      <c r="N57" s="45"/>
      <c r="O57" s="45"/>
      <c r="P57" s="45"/>
      <c r="Q57" s="45"/>
    </row>
    <row r="58">
      <c r="A58" s="158" t="s">
        <v>5</v>
      </c>
      <c r="B58" s="179" t="s">
        <v>610</v>
      </c>
      <c r="C58" s="62">
        <v>15.0</v>
      </c>
      <c r="D58" s="25" t="str">
        <f t="shared" si="4"/>
        <v>QUA.</v>
      </c>
      <c r="E58" s="184">
        <f t="shared" si="2"/>
        <v>12</v>
      </c>
      <c r="F58" s="26"/>
      <c r="G58" s="63">
        <v>2517.35</v>
      </c>
      <c r="H58" s="56"/>
      <c r="I58" s="23" t="s">
        <v>261</v>
      </c>
      <c r="J58" s="173" t="s">
        <v>64</v>
      </c>
      <c r="K58" s="56"/>
      <c r="L58" s="56"/>
      <c r="M58" s="56"/>
      <c r="N58" s="56"/>
      <c r="O58" s="56"/>
      <c r="P58" s="56"/>
      <c r="Q58" s="56"/>
    </row>
    <row r="59">
      <c r="A59" s="11" t="s">
        <v>25</v>
      </c>
      <c r="B59" s="39" t="s">
        <v>26</v>
      </c>
      <c r="C59" s="66">
        <v>15.0</v>
      </c>
      <c r="D59" s="14" t="str">
        <f t="shared" si="4"/>
        <v>QUA.</v>
      </c>
      <c r="E59" s="13">
        <f t="shared" si="2"/>
        <v>12</v>
      </c>
      <c r="F59" s="87"/>
      <c r="G59" s="45"/>
      <c r="H59" s="46">
        <v>7586.15</v>
      </c>
      <c r="I59" s="67" t="s">
        <v>261</v>
      </c>
      <c r="J59" s="42"/>
      <c r="K59" s="68"/>
      <c r="L59" s="68"/>
      <c r="M59" s="68"/>
      <c r="N59" s="68"/>
      <c r="O59" s="68"/>
      <c r="P59" s="68"/>
      <c r="Q59" s="68"/>
    </row>
    <row r="60">
      <c r="A60" s="11" t="s">
        <v>25</v>
      </c>
      <c r="B60" s="61" t="s">
        <v>27</v>
      </c>
      <c r="C60" s="148">
        <v>15.0</v>
      </c>
      <c r="D60" s="25" t="str">
        <f t="shared" si="4"/>
        <v>QUA.</v>
      </c>
      <c r="E60" s="13">
        <f t="shared" si="2"/>
        <v>12</v>
      </c>
      <c r="F60" s="87"/>
      <c r="G60" s="63">
        <v>7586.15</v>
      </c>
      <c r="H60" s="56"/>
      <c r="I60" s="64" t="s">
        <v>17</v>
      </c>
      <c r="J60" s="40"/>
      <c r="K60" s="59"/>
      <c r="L60" s="59"/>
      <c r="M60" s="59"/>
      <c r="N60" s="59"/>
      <c r="O60" s="59"/>
      <c r="P60" s="59"/>
      <c r="Q60" s="59"/>
    </row>
    <row r="61">
      <c r="A61" s="11" t="s">
        <v>25</v>
      </c>
      <c r="B61" s="177" t="s">
        <v>26</v>
      </c>
      <c r="C61" s="148">
        <v>22.0</v>
      </c>
      <c r="D61" s="25" t="str">
        <f t="shared" si="4"/>
        <v>QUA.</v>
      </c>
      <c r="E61" s="184">
        <f t="shared" si="2"/>
        <v>12</v>
      </c>
      <c r="F61" s="26"/>
      <c r="G61" s="56"/>
      <c r="H61" s="63">
        <v>350.0</v>
      </c>
      <c r="I61" s="64" t="s">
        <v>17</v>
      </c>
      <c r="J61" s="218"/>
      <c r="K61" s="56"/>
      <c r="L61" s="56"/>
      <c r="M61" s="56"/>
      <c r="N61" s="56"/>
      <c r="O61" s="56"/>
      <c r="P61" s="56"/>
      <c r="Q61" s="56"/>
    </row>
    <row r="62">
      <c r="A62" s="11" t="s">
        <v>25</v>
      </c>
      <c r="B62" s="185" t="s">
        <v>27</v>
      </c>
      <c r="C62" s="66">
        <v>22.0</v>
      </c>
      <c r="D62" s="14" t="str">
        <f t="shared" si="4"/>
        <v>QUA.</v>
      </c>
      <c r="E62" s="144">
        <f t="shared" si="2"/>
        <v>12</v>
      </c>
      <c r="F62" s="43"/>
      <c r="G62" s="46">
        <v>350.0</v>
      </c>
      <c r="H62" s="45"/>
      <c r="I62" s="67" t="s">
        <v>13</v>
      </c>
      <c r="J62" s="188"/>
      <c r="K62" s="45"/>
      <c r="L62" s="45"/>
      <c r="M62" s="45"/>
      <c r="N62" s="45"/>
      <c r="O62" s="45"/>
      <c r="P62" s="45"/>
      <c r="Q62" s="45"/>
    </row>
    <row r="63">
      <c r="A63" s="102" t="s">
        <v>5</v>
      </c>
      <c r="B63" s="83" t="s">
        <v>611</v>
      </c>
      <c r="C63" s="80">
        <v>15.0</v>
      </c>
      <c r="D63" s="81" t="str">
        <f t="shared" si="4"/>
        <v>QUA.</v>
      </c>
      <c r="E63" s="13">
        <f t="shared" si="2"/>
        <v>12</v>
      </c>
      <c r="F63" s="35"/>
      <c r="G63" s="151"/>
      <c r="H63" s="36">
        <v>2950.0</v>
      </c>
      <c r="I63" s="78" t="s">
        <v>17</v>
      </c>
      <c r="J63" s="103" t="s">
        <v>38</v>
      </c>
      <c r="K63" s="84"/>
      <c r="L63" s="84"/>
      <c r="M63" s="84"/>
      <c r="N63" s="84"/>
      <c r="O63" s="84"/>
      <c r="P63" s="84"/>
      <c r="Q63" s="84"/>
    </row>
    <row r="64">
      <c r="A64" s="71" t="s">
        <v>5</v>
      </c>
      <c r="B64" s="159" t="s">
        <v>581</v>
      </c>
      <c r="C64" s="73">
        <v>15.0</v>
      </c>
      <c r="D64" s="74" t="str">
        <f t="shared" si="4"/>
        <v>QUA.</v>
      </c>
      <c r="E64" s="13">
        <f t="shared" si="2"/>
        <v>12</v>
      </c>
      <c r="F64" s="30"/>
      <c r="G64" s="31"/>
      <c r="H64" s="46">
        <v>2517.35</v>
      </c>
      <c r="I64" s="75" t="s">
        <v>17</v>
      </c>
      <c r="J64" s="34" t="s">
        <v>191</v>
      </c>
      <c r="K64" s="31"/>
      <c r="L64" s="31"/>
      <c r="M64" s="31"/>
      <c r="N64" s="31"/>
      <c r="O64" s="31"/>
      <c r="P64" s="31"/>
      <c r="Q64" s="31"/>
    </row>
    <row r="65">
      <c r="A65" s="11" t="s">
        <v>5</v>
      </c>
      <c r="B65" s="44" t="s">
        <v>612</v>
      </c>
      <c r="C65" s="13">
        <v>15.0</v>
      </c>
      <c r="D65" s="14" t="str">
        <f t="shared" si="4"/>
        <v>QUA.</v>
      </c>
      <c r="E65" s="13">
        <f t="shared" si="2"/>
        <v>12</v>
      </c>
      <c r="F65" s="85"/>
      <c r="G65" s="45"/>
      <c r="H65" s="46">
        <v>20.0</v>
      </c>
      <c r="I65" s="58" t="s">
        <v>17</v>
      </c>
      <c r="J65" s="21" t="s">
        <v>20</v>
      </c>
      <c r="K65" s="21"/>
      <c r="L65" s="21"/>
      <c r="M65" s="21"/>
      <c r="N65" s="21"/>
      <c r="O65" s="39"/>
      <c r="P65" s="39"/>
      <c r="Q65" s="39"/>
    </row>
    <row r="66">
      <c r="A66" s="11" t="s">
        <v>5</v>
      </c>
      <c r="B66" s="39" t="s">
        <v>102</v>
      </c>
      <c r="C66" s="13">
        <v>15.0</v>
      </c>
      <c r="D66" s="14" t="str">
        <f t="shared" si="4"/>
        <v>QUA.</v>
      </c>
      <c r="E66" s="13">
        <f t="shared" si="2"/>
        <v>12</v>
      </c>
      <c r="F66" s="87"/>
      <c r="G66" s="45"/>
      <c r="H66" s="46">
        <v>192.43</v>
      </c>
      <c r="I66" s="58" t="s">
        <v>17</v>
      </c>
      <c r="J66" s="21" t="s">
        <v>75</v>
      </c>
      <c r="K66" s="39"/>
      <c r="L66" s="39"/>
      <c r="M66" s="39"/>
      <c r="N66" s="39"/>
      <c r="O66" s="39"/>
      <c r="P66" s="39"/>
      <c r="Q66" s="39"/>
    </row>
    <row r="67">
      <c r="A67" s="11" t="s">
        <v>5</v>
      </c>
      <c r="B67" s="61" t="s">
        <v>103</v>
      </c>
      <c r="C67" s="13">
        <v>15.0</v>
      </c>
      <c r="D67" s="14" t="str">
        <f t="shared" si="4"/>
        <v>QUA.</v>
      </c>
      <c r="E67" s="13">
        <f t="shared" si="2"/>
        <v>12</v>
      </c>
      <c r="F67" s="87"/>
      <c r="G67" s="56"/>
      <c r="H67" s="63">
        <v>192.43</v>
      </c>
      <c r="I67" s="58" t="s">
        <v>17</v>
      </c>
      <c r="J67" s="21" t="s">
        <v>75</v>
      </c>
      <c r="K67" s="61"/>
      <c r="L67" s="61"/>
      <c r="M67" s="61"/>
      <c r="N67" s="61"/>
      <c r="O67" s="61"/>
      <c r="P67" s="61"/>
      <c r="Q67" s="61"/>
    </row>
    <row r="68">
      <c r="A68" s="11" t="s">
        <v>5</v>
      </c>
      <c r="B68" s="39" t="s">
        <v>104</v>
      </c>
      <c r="C68" s="13">
        <v>15.0</v>
      </c>
      <c r="D68" s="14" t="str">
        <f t="shared" si="4"/>
        <v>QUA.</v>
      </c>
      <c r="E68" s="13">
        <f t="shared" si="2"/>
        <v>12</v>
      </c>
      <c r="F68" s="87"/>
      <c r="G68" s="45"/>
      <c r="H68" s="46">
        <v>242.9</v>
      </c>
      <c r="I68" s="58" t="s">
        <v>17</v>
      </c>
      <c r="J68" s="21" t="s">
        <v>75</v>
      </c>
      <c r="K68" s="39"/>
      <c r="L68" s="39"/>
      <c r="M68" s="39"/>
      <c r="N68" s="39"/>
      <c r="O68" s="39"/>
      <c r="P68" s="39"/>
      <c r="Q68" s="39"/>
    </row>
    <row r="69">
      <c r="A69" s="23" t="s">
        <v>5</v>
      </c>
      <c r="B69" s="40" t="s">
        <v>295</v>
      </c>
      <c r="C69" s="62">
        <v>15.0</v>
      </c>
      <c r="D69" s="25" t="str">
        <f>UPPER(TEXT(WEEKDAY(C69),"DDD"))</f>
        <v>DOM.</v>
      </c>
      <c r="E69" s="184">
        <f t="shared" si="2"/>
        <v>12</v>
      </c>
      <c r="F69" s="25"/>
      <c r="G69" s="63">
        <v>527.69</v>
      </c>
      <c r="H69" s="101"/>
      <c r="I69" s="23" t="s">
        <v>13</v>
      </c>
      <c r="J69" s="173" t="s">
        <v>296</v>
      </c>
      <c r="K69" s="218"/>
      <c r="L69" s="218"/>
      <c r="M69" s="218"/>
      <c r="N69" s="218"/>
      <c r="O69" s="59"/>
      <c r="P69" s="59"/>
      <c r="Q69" s="59"/>
    </row>
    <row r="70">
      <c r="A70" s="11" t="s">
        <v>25</v>
      </c>
      <c r="B70" s="39" t="s">
        <v>26</v>
      </c>
      <c r="C70" s="66">
        <v>15.0</v>
      </c>
      <c r="D70" s="14" t="str">
        <f t="shared" ref="D70:D107" si="5">UPPER(TEXT(WEEKDAY(DATEVALUE(CONCATENATE(C70,"/",$C$3,"/",$A$1))),"DDD"))</f>
        <v>QUA.</v>
      </c>
      <c r="E70" s="13">
        <f t="shared" si="2"/>
        <v>12</v>
      </c>
      <c r="F70" s="43"/>
      <c r="G70" s="45"/>
      <c r="H70" s="46">
        <v>527.69</v>
      </c>
      <c r="I70" s="149" t="s">
        <v>13</v>
      </c>
      <c r="J70" s="44"/>
      <c r="K70" s="68"/>
      <c r="L70" s="68"/>
      <c r="M70" s="68"/>
      <c r="N70" s="68"/>
      <c r="O70" s="68"/>
      <c r="P70" s="68"/>
      <c r="Q70" s="68"/>
    </row>
    <row r="71">
      <c r="A71" s="11" t="s">
        <v>25</v>
      </c>
      <c r="B71" s="72" t="s">
        <v>27</v>
      </c>
      <c r="C71" s="73">
        <v>15.0</v>
      </c>
      <c r="D71" s="74" t="str">
        <f t="shared" si="5"/>
        <v>QUA.</v>
      </c>
      <c r="E71" s="13">
        <f t="shared" si="2"/>
        <v>12</v>
      </c>
      <c r="F71" s="30"/>
      <c r="G71" s="46">
        <v>527.69</v>
      </c>
      <c r="H71" s="31"/>
      <c r="I71" s="75" t="s">
        <v>17</v>
      </c>
      <c r="J71" s="76"/>
      <c r="K71" s="77"/>
      <c r="L71" s="77"/>
      <c r="M71" s="77"/>
      <c r="N71" s="77"/>
      <c r="O71" s="77"/>
      <c r="P71" s="77"/>
      <c r="Q71" s="77"/>
    </row>
    <row r="72">
      <c r="A72" s="95" t="s">
        <v>5</v>
      </c>
      <c r="B72" s="42" t="s">
        <v>297</v>
      </c>
      <c r="C72" s="66">
        <v>15.0</v>
      </c>
      <c r="D72" s="14" t="str">
        <f t="shared" si="5"/>
        <v>QUA.</v>
      </c>
      <c r="E72" s="144">
        <f t="shared" si="2"/>
        <v>12</v>
      </c>
      <c r="F72" s="87"/>
      <c r="G72" s="45"/>
      <c r="H72" s="46">
        <v>527.69</v>
      </c>
      <c r="I72" s="65" t="s">
        <v>17</v>
      </c>
      <c r="J72" s="42" t="s">
        <v>101</v>
      </c>
      <c r="K72" s="188"/>
      <c r="L72" s="188"/>
      <c r="M72" s="188"/>
      <c r="N72" s="188"/>
      <c r="O72" s="68"/>
      <c r="P72" s="68"/>
      <c r="Q72" s="68"/>
    </row>
    <row r="73">
      <c r="A73" s="11" t="s">
        <v>5</v>
      </c>
      <c r="B73" s="69" t="s">
        <v>613</v>
      </c>
      <c r="C73" s="80">
        <v>15.0</v>
      </c>
      <c r="D73" s="81" t="str">
        <f t="shared" si="5"/>
        <v>QUA.</v>
      </c>
      <c r="E73" s="207">
        <f t="shared" si="2"/>
        <v>12</v>
      </c>
      <c r="F73" s="35"/>
      <c r="G73" s="70"/>
      <c r="H73" s="36">
        <v>10.5</v>
      </c>
      <c r="I73" s="105" t="s">
        <v>17</v>
      </c>
      <c r="J73" s="199" t="s">
        <v>22</v>
      </c>
      <c r="K73" s="70"/>
      <c r="L73" s="70"/>
      <c r="M73" s="70"/>
      <c r="N73" s="70"/>
      <c r="O73" s="70"/>
      <c r="P73" s="70"/>
      <c r="Q73" s="70"/>
    </row>
    <row r="74">
      <c r="A74" s="97" t="s">
        <v>5</v>
      </c>
      <c r="B74" s="76" t="s">
        <v>520</v>
      </c>
      <c r="C74" s="73">
        <v>15.0</v>
      </c>
      <c r="D74" s="74" t="str">
        <f t="shared" si="5"/>
        <v>QUA.</v>
      </c>
      <c r="E74" s="193">
        <f t="shared" si="2"/>
        <v>12</v>
      </c>
      <c r="F74" s="30"/>
      <c r="G74" s="31"/>
      <c r="H74" s="32">
        <v>34.85</v>
      </c>
      <c r="I74" s="71" t="s">
        <v>17</v>
      </c>
      <c r="J74" s="72" t="s">
        <v>485</v>
      </c>
      <c r="K74" s="77"/>
      <c r="L74" s="77"/>
      <c r="M74" s="77"/>
      <c r="N74" s="77"/>
      <c r="O74" s="77"/>
      <c r="P74" s="77"/>
      <c r="Q74" s="77"/>
    </row>
    <row r="75">
      <c r="A75" s="11" t="s">
        <v>595</v>
      </c>
      <c r="B75" s="42" t="s">
        <v>109</v>
      </c>
      <c r="C75" s="13">
        <v>15.0</v>
      </c>
      <c r="D75" s="14" t="str">
        <f t="shared" si="5"/>
        <v>QUA.</v>
      </c>
      <c r="E75" s="13">
        <f t="shared" si="2"/>
        <v>12</v>
      </c>
      <c r="F75" s="14"/>
      <c r="G75" s="53">
        <v>2500.0</v>
      </c>
      <c r="H75" s="53"/>
      <c r="I75" s="58" t="s">
        <v>15</v>
      </c>
      <c r="J75" s="44" t="s">
        <v>411</v>
      </c>
      <c r="K75" s="42"/>
      <c r="L75" s="96"/>
      <c r="M75" s="21"/>
      <c r="N75" s="21"/>
      <c r="O75" s="39"/>
      <c r="P75" s="39"/>
      <c r="Q75" s="39"/>
    </row>
    <row r="76">
      <c r="A76" s="11" t="s">
        <v>5</v>
      </c>
      <c r="B76" s="79" t="s">
        <v>73</v>
      </c>
      <c r="C76" s="80">
        <v>16.0</v>
      </c>
      <c r="D76" s="81" t="str">
        <f t="shared" si="5"/>
        <v>QUI.</v>
      </c>
      <c r="E76" s="13">
        <f t="shared" si="2"/>
        <v>12</v>
      </c>
      <c r="F76" s="35"/>
      <c r="G76" s="70"/>
      <c r="H76" s="36">
        <v>25.5</v>
      </c>
      <c r="I76" s="152" t="s">
        <v>17</v>
      </c>
      <c r="J76" s="199" t="s">
        <v>20</v>
      </c>
      <c r="K76" s="106"/>
      <c r="L76" s="106"/>
      <c r="M76" s="106"/>
      <c r="N76" s="106"/>
      <c r="O76" s="84"/>
      <c r="P76" s="84"/>
      <c r="Q76" s="84"/>
    </row>
    <row r="77">
      <c r="A77" s="102" t="s">
        <v>5</v>
      </c>
      <c r="B77" s="83" t="s">
        <v>614</v>
      </c>
      <c r="C77" s="80">
        <v>17.0</v>
      </c>
      <c r="D77" s="81" t="str">
        <f t="shared" si="5"/>
        <v>SEX.</v>
      </c>
      <c r="E77" s="207">
        <f t="shared" si="2"/>
        <v>12</v>
      </c>
      <c r="F77" s="35"/>
      <c r="G77" s="70"/>
      <c r="H77" s="36">
        <v>84.89</v>
      </c>
      <c r="I77" s="78" t="s">
        <v>17</v>
      </c>
      <c r="J77" s="199" t="s">
        <v>20</v>
      </c>
      <c r="K77" s="197"/>
      <c r="L77" s="197"/>
      <c r="M77" s="197"/>
      <c r="N77" s="197"/>
      <c r="O77" s="84"/>
      <c r="P77" s="84"/>
      <c r="Q77" s="84"/>
    </row>
    <row r="78">
      <c r="A78" s="11" t="s">
        <v>5</v>
      </c>
      <c r="B78" s="72" t="s">
        <v>117</v>
      </c>
      <c r="C78" s="73">
        <v>17.0</v>
      </c>
      <c r="D78" s="74" t="str">
        <f t="shared" si="5"/>
        <v>SEX.</v>
      </c>
      <c r="E78" s="193">
        <f t="shared" si="2"/>
        <v>12</v>
      </c>
      <c r="F78" s="30"/>
      <c r="G78" s="31"/>
      <c r="H78" s="153">
        <v>20.0</v>
      </c>
      <c r="I78" s="71" t="s">
        <v>17</v>
      </c>
      <c r="J78" s="72" t="s">
        <v>118</v>
      </c>
      <c r="K78" s="157"/>
      <c r="L78" s="157"/>
      <c r="M78" s="157"/>
      <c r="N78" s="157"/>
      <c r="O78" s="77"/>
      <c r="P78" s="77"/>
      <c r="Q78" s="77"/>
    </row>
    <row r="79">
      <c r="A79" s="11" t="s">
        <v>5</v>
      </c>
      <c r="B79" s="79" t="s">
        <v>73</v>
      </c>
      <c r="C79" s="80">
        <v>18.0</v>
      </c>
      <c r="D79" s="81" t="str">
        <f t="shared" si="5"/>
        <v>SÁB.</v>
      </c>
      <c r="E79" s="13">
        <f t="shared" si="2"/>
        <v>12</v>
      </c>
      <c r="F79" s="35"/>
      <c r="G79" s="70"/>
      <c r="H79" s="36">
        <v>22.5</v>
      </c>
      <c r="I79" s="152" t="s">
        <v>17</v>
      </c>
      <c r="J79" s="199" t="s">
        <v>20</v>
      </c>
      <c r="K79" s="106"/>
      <c r="L79" s="106"/>
      <c r="M79" s="106"/>
      <c r="N79" s="106"/>
      <c r="O79" s="84"/>
      <c r="P79" s="84"/>
      <c r="Q79" s="84"/>
    </row>
    <row r="80">
      <c r="A80" s="11" t="s">
        <v>5</v>
      </c>
      <c r="B80" s="179" t="s">
        <v>518</v>
      </c>
      <c r="C80" s="62">
        <v>19.0</v>
      </c>
      <c r="D80" s="25" t="str">
        <f t="shared" si="5"/>
        <v>DOM.</v>
      </c>
      <c r="E80" s="13">
        <f t="shared" si="2"/>
        <v>12</v>
      </c>
      <c r="F80" s="26"/>
      <c r="G80" s="56"/>
      <c r="H80" s="63">
        <v>182.69</v>
      </c>
      <c r="I80" s="33" t="s">
        <v>252</v>
      </c>
      <c r="J80" s="173" t="s">
        <v>22</v>
      </c>
      <c r="K80" s="56"/>
      <c r="L80" s="56"/>
      <c r="M80" s="56"/>
      <c r="N80" s="56"/>
      <c r="O80" s="56"/>
      <c r="P80" s="56"/>
      <c r="Q80" s="56"/>
    </row>
    <row r="81">
      <c r="A81" s="11" t="s">
        <v>5</v>
      </c>
      <c r="B81" s="39" t="s">
        <v>125</v>
      </c>
      <c r="C81" s="13">
        <v>20.0</v>
      </c>
      <c r="D81" s="14" t="str">
        <f t="shared" si="5"/>
        <v>SEG.</v>
      </c>
      <c r="E81" s="13">
        <f t="shared" si="2"/>
        <v>12</v>
      </c>
      <c r="F81" s="87">
        <v>44545.0</v>
      </c>
      <c r="G81" s="45"/>
      <c r="H81" s="46">
        <v>373.41</v>
      </c>
      <c r="I81" s="58" t="s">
        <v>17</v>
      </c>
      <c r="J81" s="21" t="s">
        <v>126</v>
      </c>
      <c r="K81" s="39"/>
      <c r="L81" s="39"/>
      <c r="M81" s="39"/>
      <c r="N81" s="39"/>
      <c r="O81" s="39"/>
      <c r="P81" s="39"/>
      <c r="Q81" s="39"/>
    </row>
    <row r="82">
      <c r="A82" s="11" t="s">
        <v>5</v>
      </c>
      <c r="B82" s="40" t="s">
        <v>248</v>
      </c>
      <c r="C82" s="62">
        <v>20.0</v>
      </c>
      <c r="D82" s="25" t="str">
        <f t="shared" si="5"/>
        <v>SEG.</v>
      </c>
      <c r="E82" s="13">
        <f t="shared" si="2"/>
        <v>12</v>
      </c>
      <c r="F82" s="26"/>
      <c r="G82" s="63">
        <v>330.0</v>
      </c>
      <c r="H82" s="101"/>
      <c r="I82" s="60" t="s">
        <v>249</v>
      </c>
      <c r="J82" s="90" t="s">
        <v>253</v>
      </c>
      <c r="K82" s="59"/>
      <c r="L82" s="59"/>
      <c r="M82" s="59"/>
      <c r="N82" s="59"/>
      <c r="O82" s="59"/>
      <c r="P82" s="59"/>
      <c r="Q82" s="59"/>
    </row>
    <row r="83">
      <c r="A83" s="11" t="s">
        <v>5</v>
      </c>
      <c r="B83" s="42" t="s">
        <v>251</v>
      </c>
      <c r="C83" s="66">
        <v>20.0</v>
      </c>
      <c r="D83" s="14" t="str">
        <f t="shared" si="5"/>
        <v>SEG.</v>
      </c>
      <c r="E83" s="13">
        <f t="shared" si="2"/>
        <v>12</v>
      </c>
      <c r="F83" s="43"/>
      <c r="G83" s="46">
        <v>700.0</v>
      </c>
      <c r="H83" s="53"/>
      <c r="I83" s="65" t="s">
        <v>252</v>
      </c>
      <c r="J83" s="42" t="s">
        <v>253</v>
      </c>
      <c r="K83" s="68"/>
      <c r="L83" s="68"/>
      <c r="M83" s="68"/>
      <c r="N83" s="68"/>
      <c r="O83" s="68"/>
      <c r="P83" s="68"/>
      <c r="Q83" s="68"/>
    </row>
    <row r="84">
      <c r="A84" s="11" t="s">
        <v>5</v>
      </c>
      <c r="B84" s="79" t="s">
        <v>73</v>
      </c>
      <c r="C84" s="80">
        <v>20.0</v>
      </c>
      <c r="D84" s="81" t="str">
        <f t="shared" si="5"/>
        <v>SEG.</v>
      </c>
      <c r="E84" s="13">
        <f t="shared" si="2"/>
        <v>12</v>
      </c>
      <c r="F84" s="35"/>
      <c r="G84" s="70"/>
      <c r="H84" s="36">
        <v>7.0</v>
      </c>
      <c r="I84" s="152" t="s">
        <v>17</v>
      </c>
      <c r="J84" s="199" t="s">
        <v>20</v>
      </c>
      <c r="K84" s="106"/>
      <c r="L84" s="106"/>
      <c r="M84" s="106"/>
      <c r="N84" s="106"/>
      <c r="O84" s="84"/>
      <c r="P84" s="84"/>
      <c r="Q84" s="84"/>
    </row>
    <row r="85">
      <c r="A85" s="11" t="s">
        <v>5</v>
      </c>
      <c r="B85" s="44" t="s">
        <v>615</v>
      </c>
      <c r="C85" s="13">
        <v>21.0</v>
      </c>
      <c r="D85" s="14" t="str">
        <f t="shared" si="5"/>
        <v>TER.</v>
      </c>
      <c r="E85" s="13">
        <f t="shared" si="2"/>
        <v>12</v>
      </c>
      <c r="F85" s="85"/>
      <c r="G85" s="45"/>
      <c r="H85" s="46">
        <v>200.0</v>
      </c>
      <c r="I85" s="58" t="s">
        <v>17</v>
      </c>
      <c r="J85" s="21" t="s">
        <v>573</v>
      </c>
      <c r="K85" s="21"/>
      <c r="L85" s="21"/>
      <c r="M85" s="21"/>
      <c r="N85" s="21"/>
      <c r="O85" s="39"/>
      <c r="P85" s="39"/>
      <c r="Q85" s="39"/>
    </row>
    <row r="86">
      <c r="A86" s="11" t="s">
        <v>5</v>
      </c>
      <c r="B86" s="69" t="s">
        <v>616</v>
      </c>
      <c r="C86" s="13">
        <v>21.0</v>
      </c>
      <c r="D86" s="14" t="str">
        <f t="shared" si="5"/>
        <v>TER.</v>
      </c>
      <c r="E86" s="13">
        <f t="shared" si="2"/>
        <v>12</v>
      </c>
      <c r="F86" s="54"/>
      <c r="G86" s="36">
        <v>4523.45</v>
      </c>
      <c r="H86" s="70"/>
      <c r="I86" s="47" t="s">
        <v>261</v>
      </c>
      <c r="J86" s="21" t="s">
        <v>617</v>
      </c>
      <c r="K86" s="70"/>
      <c r="L86" s="70"/>
      <c r="M86" s="70"/>
      <c r="N86" s="70"/>
      <c r="O86" s="70"/>
      <c r="P86" s="70"/>
      <c r="Q86" s="70"/>
    </row>
    <row r="87">
      <c r="A87" s="11" t="s">
        <v>5</v>
      </c>
      <c r="B87" s="34" t="s">
        <v>373</v>
      </c>
      <c r="C87" s="13">
        <v>22.0</v>
      </c>
      <c r="D87" s="14" t="str">
        <f t="shared" si="5"/>
        <v>QUA.</v>
      </c>
      <c r="E87" s="13">
        <f t="shared" si="2"/>
        <v>12</v>
      </c>
      <c r="F87" s="94"/>
      <c r="G87" s="56"/>
      <c r="H87" s="63">
        <v>0.0</v>
      </c>
      <c r="I87" s="58" t="s">
        <v>17</v>
      </c>
      <c r="J87" s="21" t="s">
        <v>128</v>
      </c>
      <c r="K87" s="61"/>
      <c r="L87" s="61"/>
      <c r="M87" s="61"/>
      <c r="N87" s="61"/>
      <c r="O87" s="61"/>
      <c r="P87" s="61"/>
      <c r="Q87" s="61"/>
    </row>
    <row r="88">
      <c r="A88" s="11" t="s">
        <v>5</v>
      </c>
      <c r="B88" s="39" t="s">
        <v>134</v>
      </c>
      <c r="C88" s="13">
        <v>22.0</v>
      </c>
      <c r="D88" s="14" t="str">
        <f t="shared" si="5"/>
        <v>QUA.</v>
      </c>
      <c r="E88" s="13">
        <f t="shared" si="2"/>
        <v>12</v>
      </c>
      <c r="F88" s="43"/>
      <c r="G88" s="45"/>
      <c r="H88" s="46">
        <v>322.51</v>
      </c>
      <c r="I88" s="60" t="s">
        <v>13</v>
      </c>
      <c r="J88" s="21" t="s">
        <v>135</v>
      </c>
      <c r="K88" s="39"/>
      <c r="L88" s="39"/>
      <c r="M88" s="39"/>
      <c r="N88" s="39"/>
      <c r="O88" s="39"/>
      <c r="P88" s="39"/>
      <c r="Q88" s="39"/>
    </row>
    <row r="89">
      <c r="A89" s="11" t="s">
        <v>5</v>
      </c>
      <c r="B89" s="179" t="s">
        <v>21</v>
      </c>
      <c r="C89" s="62">
        <v>22.0</v>
      </c>
      <c r="D89" s="25" t="str">
        <f t="shared" si="5"/>
        <v>QUA.</v>
      </c>
      <c r="E89" s="13">
        <f t="shared" si="2"/>
        <v>12</v>
      </c>
      <c r="F89" s="26"/>
      <c r="G89" s="56"/>
      <c r="H89" s="63">
        <v>371.82</v>
      </c>
      <c r="I89" s="33" t="s">
        <v>252</v>
      </c>
      <c r="J89" s="90" t="s">
        <v>618</v>
      </c>
      <c r="K89" s="56"/>
      <c r="L89" s="56"/>
      <c r="M89" s="56"/>
      <c r="N89" s="56"/>
      <c r="O89" s="56"/>
      <c r="P89" s="56"/>
      <c r="Q89" s="56"/>
    </row>
    <row r="90">
      <c r="A90" s="181" t="s">
        <v>25</v>
      </c>
      <c r="B90" s="42" t="s">
        <v>26</v>
      </c>
      <c r="C90" s="66">
        <v>24.0</v>
      </c>
      <c r="D90" s="14" t="str">
        <f t="shared" si="5"/>
        <v>SEX.</v>
      </c>
      <c r="E90" s="144">
        <f t="shared" si="2"/>
        <v>12</v>
      </c>
      <c r="F90" s="43"/>
      <c r="G90" s="45"/>
      <c r="H90" s="46">
        <v>4523.45</v>
      </c>
      <c r="I90" s="67" t="s">
        <v>261</v>
      </c>
      <c r="J90" s="188"/>
      <c r="K90" s="68"/>
      <c r="L90" s="68"/>
      <c r="M90" s="68"/>
      <c r="N90" s="68"/>
      <c r="O90" s="68"/>
      <c r="P90" s="68"/>
      <c r="Q90" s="68"/>
    </row>
    <row r="91">
      <c r="A91" s="172" t="s">
        <v>25</v>
      </c>
      <c r="B91" s="40" t="s">
        <v>27</v>
      </c>
      <c r="C91" s="148">
        <v>24.0</v>
      </c>
      <c r="D91" s="25" t="str">
        <f t="shared" si="5"/>
        <v>SEX.</v>
      </c>
      <c r="E91" s="184">
        <f t="shared" si="2"/>
        <v>12</v>
      </c>
      <c r="F91" s="26"/>
      <c r="G91" s="63">
        <v>4523.45</v>
      </c>
      <c r="H91" s="56"/>
      <c r="I91" s="64" t="s">
        <v>17</v>
      </c>
      <c r="J91" s="218"/>
      <c r="K91" s="59"/>
      <c r="L91" s="59"/>
      <c r="M91" s="59"/>
      <c r="N91" s="59"/>
      <c r="O91" s="59"/>
      <c r="P91" s="59"/>
      <c r="Q91" s="59"/>
    </row>
    <row r="92">
      <c r="A92" s="102" t="s">
        <v>5</v>
      </c>
      <c r="B92" s="198" t="s">
        <v>518</v>
      </c>
      <c r="C92" s="80">
        <v>24.0</v>
      </c>
      <c r="D92" s="81" t="str">
        <f t="shared" si="5"/>
        <v>SEX.</v>
      </c>
      <c r="E92" s="207">
        <f t="shared" si="2"/>
        <v>12</v>
      </c>
      <c r="F92" s="35"/>
      <c r="G92" s="70"/>
      <c r="H92" s="36">
        <v>128.25</v>
      </c>
      <c r="I92" s="105" t="s">
        <v>249</v>
      </c>
      <c r="J92" s="199" t="s">
        <v>22</v>
      </c>
      <c r="K92" s="70"/>
      <c r="L92" s="70"/>
      <c r="M92" s="70"/>
      <c r="N92" s="70"/>
      <c r="O92" s="70"/>
      <c r="P92" s="70"/>
      <c r="Q92" s="70"/>
    </row>
    <row r="93">
      <c r="A93" s="11" t="s">
        <v>5</v>
      </c>
      <c r="B93" s="44" t="s">
        <v>34</v>
      </c>
      <c r="C93" s="13">
        <v>24.0</v>
      </c>
      <c r="D93" s="14" t="str">
        <f t="shared" si="5"/>
        <v>SEX.</v>
      </c>
      <c r="E93" s="13">
        <f t="shared" si="2"/>
        <v>12</v>
      </c>
      <c r="F93" s="43"/>
      <c r="G93" s="46"/>
      <c r="H93" s="46">
        <v>2.0</v>
      </c>
      <c r="I93" s="47" t="s">
        <v>17</v>
      </c>
      <c r="J93" s="44" t="s">
        <v>29</v>
      </c>
      <c r="K93" s="39"/>
      <c r="L93" s="39"/>
      <c r="M93" s="39"/>
      <c r="N93" s="39"/>
      <c r="O93" s="39"/>
      <c r="P93" s="39"/>
      <c r="Q93" s="39"/>
    </row>
    <row r="94">
      <c r="A94" s="11" t="s">
        <v>5</v>
      </c>
      <c r="B94" s="44" t="s">
        <v>71</v>
      </c>
      <c r="C94" s="13">
        <v>24.0</v>
      </c>
      <c r="D94" s="14" t="str">
        <f t="shared" si="5"/>
        <v>SEX.</v>
      </c>
      <c r="E94" s="13">
        <f t="shared" si="2"/>
        <v>12</v>
      </c>
      <c r="F94" s="85"/>
      <c r="G94" s="45"/>
      <c r="H94" s="46">
        <v>95.0</v>
      </c>
      <c r="I94" s="58" t="s">
        <v>17</v>
      </c>
      <c r="J94" s="21" t="s">
        <v>72</v>
      </c>
      <c r="K94" s="39"/>
      <c r="L94" s="39"/>
      <c r="M94" s="39"/>
      <c r="N94" s="39"/>
      <c r="O94" s="39"/>
      <c r="P94" s="39"/>
      <c r="Q94" s="39"/>
    </row>
    <row r="95">
      <c r="A95" s="11" t="s">
        <v>5</v>
      </c>
      <c r="B95" s="103" t="s">
        <v>537</v>
      </c>
      <c r="C95" s="13">
        <v>25.0</v>
      </c>
      <c r="D95" s="14" t="str">
        <f t="shared" si="5"/>
        <v>SÁB.</v>
      </c>
      <c r="E95" s="13">
        <f t="shared" si="2"/>
        <v>12</v>
      </c>
      <c r="F95" s="54"/>
      <c r="G95" s="70"/>
      <c r="H95" s="86">
        <v>50.0</v>
      </c>
      <c r="I95" s="105" t="s">
        <v>15</v>
      </c>
      <c r="J95" s="21" t="s">
        <v>619</v>
      </c>
      <c r="K95" s="84"/>
      <c r="L95" s="84"/>
      <c r="M95" s="84"/>
      <c r="N95" s="84"/>
      <c r="O95" s="84"/>
      <c r="P95" s="84"/>
      <c r="Q95" s="84"/>
    </row>
    <row r="96">
      <c r="A96" s="158" t="s">
        <v>5</v>
      </c>
      <c r="B96" s="34" t="s">
        <v>620</v>
      </c>
      <c r="C96" s="62">
        <v>25.0</v>
      </c>
      <c r="D96" s="25" t="str">
        <f t="shared" si="5"/>
        <v>SÁB.</v>
      </c>
      <c r="E96" s="184">
        <f t="shared" si="2"/>
        <v>12</v>
      </c>
      <c r="F96" s="26"/>
      <c r="G96" s="63">
        <v>2.0</v>
      </c>
      <c r="H96" s="101"/>
      <c r="I96" s="64" t="s">
        <v>15</v>
      </c>
      <c r="J96" s="90" t="s">
        <v>589</v>
      </c>
      <c r="K96" s="59"/>
      <c r="L96" s="59"/>
      <c r="M96" s="59"/>
      <c r="N96" s="59"/>
      <c r="O96" s="59"/>
      <c r="P96" s="59"/>
      <c r="Q96" s="59"/>
    </row>
    <row r="97">
      <c r="A97" s="11" t="s">
        <v>5</v>
      </c>
      <c r="B97" s="44" t="s">
        <v>150</v>
      </c>
      <c r="C97" s="13">
        <v>25.0</v>
      </c>
      <c r="D97" s="14" t="str">
        <f t="shared" si="5"/>
        <v>SÁB.</v>
      </c>
      <c r="E97" s="13">
        <f t="shared" si="2"/>
        <v>12</v>
      </c>
      <c r="F97" s="43"/>
      <c r="G97" s="45"/>
      <c r="H97" s="46">
        <v>67.8</v>
      </c>
      <c r="I97" s="78" t="s">
        <v>17</v>
      </c>
      <c r="J97" s="21" t="s">
        <v>151</v>
      </c>
      <c r="K97" s="39"/>
      <c r="L97" s="39"/>
      <c r="M97" s="39"/>
      <c r="N97" s="39"/>
      <c r="O97" s="39"/>
      <c r="P97" s="39"/>
      <c r="Q97" s="39"/>
    </row>
    <row r="98">
      <c r="A98" s="11" t="s">
        <v>5</v>
      </c>
      <c r="B98" s="44" t="s">
        <v>621</v>
      </c>
      <c r="C98" s="13">
        <v>24.0</v>
      </c>
      <c r="D98" s="14" t="str">
        <f t="shared" si="5"/>
        <v>SEX.</v>
      </c>
      <c r="E98" s="13">
        <f t="shared" si="2"/>
        <v>12</v>
      </c>
      <c r="F98" s="94"/>
      <c r="G98" s="45"/>
      <c r="H98" s="46">
        <v>105.8</v>
      </c>
      <c r="I98" s="58" t="s">
        <v>17</v>
      </c>
      <c r="J98" s="21" t="s">
        <v>435</v>
      </c>
      <c r="K98" s="39"/>
      <c r="L98" s="39"/>
      <c r="M98" s="39"/>
      <c r="N98" s="39"/>
      <c r="O98" s="39"/>
      <c r="P98" s="39"/>
      <c r="Q98" s="39"/>
    </row>
    <row r="99">
      <c r="A99" s="11" t="s">
        <v>5</v>
      </c>
      <c r="B99" s="79" t="s">
        <v>73</v>
      </c>
      <c r="C99" s="80">
        <v>28.0</v>
      </c>
      <c r="D99" s="81" t="str">
        <f t="shared" si="5"/>
        <v>TER.</v>
      </c>
      <c r="E99" s="13">
        <f t="shared" si="2"/>
        <v>12</v>
      </c>
      <c r="F99" s="35"/>
      <c r="G99" s="70"/>
      <c r="H99" s="36">
        <v>38.4</v>
      </c>
      <c r="I99" s="152" t="s">
        <v>17</v>
      </c>
      <c r="J99" s="199" t="s">
        <v>20</v>
      </c>
      <c r="K99" s="106"/>
      <c r="L99" s="106"/>
      <c r="M99" s="106"/>
      <c r="N99" s="106"/>
      <c r="O99" s="84"/>
      <c r="P99" s="84"/>
      <c r="Q99" s="84"/>
    </row>
    <row r="100">
      <c r="A100" s="11" t="s">
        <v>5</v>
      </c>
      <c r="B100" s="72" t="s">
        <v>117</v>
      </c>
      <c r="C100" s="73">
        <v>28.0</v>
      </c>
      <c r="D100" s="74" t="str">
        <f t="shared" si="5"/>
        <v>TER.</v>
      </c>
      <c r="E100" s="193">
        <f t="shared" si="2"/>
        <v>12</v>
      </c>
      <c r="F100" s="30"/>
      <c r="G100" s="31"/>
      <c r="H100" s="153">
        <v>20.0</v>
      </c>
      <c r="I100" s="71" t="s">
        <v>17</v>
      </c>
      <c r="J100" s="72" t="s">
        <v>118</v>
      </c>
      <c r="K100" s="157"/>
      <c r="L100" s="157"/>
      <c r="M100" s="157"/>
      <c r="N100" s="157"/>
      <c r="O100" s="77"/>
      <c r="P100" s="77"/>
      <c r="Q100" s="77"/>
    </row>
    <row r="101">
      <c r="A101" s="102" t="s">
        <v>5</v>
      </c>
      <c r="B101" s="198" t="s">
        <v>518</v>
      </c>
      <c r="C101" s="80">
        <v>28.0</v>
      </c>
      <c r="D101" s="81" t="str">
        <f t="shared" si="5"/>
        <v>TER.</v>
      </c>
      <c r="E101" s="207">
        <f t="shared" si="2"/>
        <v>12</v>
      </c>
      <c r="F101" s="35"/>
      <c r="G101" s="70"/>
      <c r="H101" s="36">
        <v>43.0</v>
      </c>
      <c r="I101" s="105" t="s">
        <v>249</v>
      </c>
      <c r="J101" s="199" t="s">
        <v>22</v>
      </c>
      <c r="K101" s="70"/>
      <c r="L101" s="70"/>
      <c r="M101" s="70"/>
      <c r="N101" s="70"/>
      <c r="O101" s="70"/>
      <c r="P101" s="70"/>
      <c r="Q101" s="70"/>
    </row>
    <row r="102">
      <c r="A102" s="11" t="s">
        <v>5</v>
      </c>
      <c r="B102" s="76" t="s">
        <v>622</v>
      </c>
      <c r="C102" s="73">
        <v>29.0</v>
      </c>
      <c r="D102" s="74" t="str">
        <f t="shared" si="5"/>
        <v>QUA.</v>
      </c>
      <c r="E102" s="13">
        <f t="shared" si="2"/>
        <v>12</v>
      </c>
      <c r="F102" s="54"/>
      <c r="G102" s="31"/>
      <c r="H102" s="32">
        <v>200.0</v>
      </c>
      <c r="I102" s="71" t="s">
        <v>17</v>
      </c>
      <c r="J102" s="76" t="s">
        <v>623</v>
      </c>
      <c r="K102" s="77"/>
      <c r="L102" s="77"/>
      <c r="M102" s="77"/>
      <c r="N102" s="77"/>
      <c r="O102" s="77"/>
      <c r="P102" s="77"/>
      <c r="Q102" s="77"/>
    </row>
    <row r="103">
      <c r="A103" s="11" t="s">
        <v>5</v>
      </c>
      <c r="B103" s="83" t="s">
        <v>624</v>
      </c>
      <c r="C103" s="80">
        <v>29.0</v>
      </c>
      <c r="D103" s="81" t="str">
        <f t="shared" si="5"/>
        <v>QUA.</v>
      </c>
      <c r="E103" s="13">
        <f t="shared" si="2"/>
        <v>12</v>
      </c>
      <c r="F103" s="35"/>
      <c r="G103" s="70"/>
      <c r="H103" s="36">
        <v>20.0</v>
      </c>
      <c r="I103" s="152" t="s">
        <v>17</v>
      </c>
      <c r="J103" s="199" t="s">
        <v>20</v>
      </c>
      <c r="K103" s="106"/>
      <c r="L103" s="106"/>
      <c r="M103" s="106"/>
      <c r="N103" s="106"/>
      <c r="O103" s="84"/>
      <c r="P103" s="84"/>
      <c r="Q103" s="84"/>
    </row>
    <row r="104">
      <c r="A104" s="11" t="s">
        <v>5</v>
      </c>
      <c r="B104" s="69" t="s">
        <v>260</v>
      </c>
      <c r="C104" s="13">
        <v>30.0</v>
      </c>
      <c r="D104" s="14" t="str">
        <f t="shared" si="5"/>
        <v>QUI.</v>
      </c>
      <c r="E104" s="13">
        <f t="shared" si="2"/>
        <v>12</v>
      </c>
      <c r="F104" s="54"/>
      <c r="G104" s="36">
        <v>2878.42</v>
      </c>
      <c r="H104" s="70"/>
      <c r="I104" s="47" t="s">
        <v>261</v>
      </c>
      <c r="J104" s="21" t="s">
        <v>64</v>
      </c>
      <c r="K104" s="70"/>
      <c r="L104" s="70"/>
      <c r="M104" s="70"/>
      <c r="N104" s="70"/>
      <c r="O104" s="70"/>
      <c r="P104" s="70"/>
      <c r="Q104" s="70"/>
    </row>
    <row r="105">
      <c r="A105" s="11" t="s">
        <v>25</v>
      </c>
      <c r="B105" s="61" t="s">
        <v>26</v>
      </c>
      <c r="C105" s="148">
        <v>30.0</v>
      </c>
      <c r="D105" s="25" t="str">
        <f t="shared" si="5"/>
        <v>QUI.</v>
      </c>
      <c r="E105" s="13">
        <f t="shared" si="2"/>
        <v>12</v>
      </c>
      <c r="F105" s="26"/>
      <c r="G105" s="56"/>
      <c r="H105" s="36">
        <v>2878.42</v>
      </c>
      <c r="I105" s="64" t="s">
        <v>261</v>
      </c>
      <c r="J105" s="40"/>
      <c r="K105" s="59"/>
      <c r="L105" s="59"/>
      <c r="M105" s="59"/>
      <c r="N105" s="59"/>
      <c r="O105" s="59"/>
      <c r="P105" s="59"/>
      <c r="Q105" s="59"/>
    </row>
    <row r="106">
      <c r="A106" s="11" t="s">
        <v>25</v>
      </c>
      <c r="B106" s="39" t="s">
        <v>27</v>
      </c>
      <c r="C106" s="66">
        <v>30.0</v>
      </c>
      <c r="D106" s="14" t="str">
        <f t="shared" si="5"/>
        <v>QUI.</v>
      </c>
      <c r="E106" s="13">
        <f t="shared" si="2"/>
        <v>12</v>
      </c>
      <c r="F106" s="43"/>
      <c r="G106" s="36">
        <v>2878.42</v>
      </c>
      <c r="H106" s="45"/>
      <c r="I106" s="67" t="s">
        <v>17</v>
      </c>
      <c r="J106" s="42"/>
      <c r="K106" s="68"/>
      <c r="L106" s="68"/>
      <c r="M106" s="68"/>
      <c r="N106" s="68"/>
      <c r="O106" s="68"/>
      <c r="P106" s="68"/>
      <c r="Q106" s="68"/>
    </row>
    <row r="107">
      <c r="A107" s="11" t="s">
        <v>5</v>
      </c>
      <c r="B107" s="179" t="s">
        <v>21</v>
      </c>
      <c r="C107" s="62">
        <v>31.0</v>
      </c>
      <c r="D107" s="25" t="str">
        <f t="shared" si="5"/>
        <v>SEX.</v>
      </c>
      <c r="E107" s="13">
        <f t="shared" si="2"/>
        <v>12</v>
      </c>
      <c r="F107" s="26"/>
      <c r="G107" s="56"/>
      <c r="H107" s="63">
        <v>638.72</v>
      </c>
      <c r="I107" s="33" t="s">
        <v>17</v>
      </c>
      <c r="J107" s="90" t="s">
        <v>625</v>
      </c>
      <c r="K107" s="56"/>
      <c r="L107" s="56"/>
      <c r="M107" s="56"/>
      <c r="N107" s="56"/>
      <c r="O107" s="56"/>
      <c r="P107" s="56"/>
      <c r="Q107" s="56"/>
    </row>
    <row r="108">
      <c r="A108" s="11"/>
      <c r="B108" s="59"/>
      <c r="C108" s="26"/>
      <c r="D108" s="107"/>
      <c r="E108" s="26"/>
      <c r="F108" s="26"/>
      <c r="G108" s="56"/>
      <c r="H108" s="56"/>
      <c r="I108" s="47"/>
      <c r="J108" s="21"/>
      <c r="K108" s="59"/>
      <c r="L108" s="59"/>
      <c r="M108" s="59"/>
      <c r="N108" s="59"/>
      <c r="O108" s="59"/>
      <c r="P108" s="59"/>
      <c r="Q108" s="59"/>
    </row>
    <row r="109">
      <c r="A109" s="11"/>
      <c r="B109" s="68"/>
      <c r="C109" s="43"/>
      <c r="D109" s="108"/>
      <c r="E109" s="43"/>
      <c r="F109" s="43"/>
      <c r="G109" s="45"/>
      <c r="H109" s="45"/>
      <c r="I109" s="47"/>
      <c r="J109" s="21"/>
      <c r="K109" s="68"/>
      <c r="L109" s="68"/>
      <c r="M109" s="68"/>
      <c r="N109" s="68"/>
      <c r="O109" s="68"/>
      <c r="P109" s="68"/>
      <c r="Q109" s="68"/>
    </row>
    <row r="110">
      <c r="A110" s="109"/>
      <c r="B110" s="110"/>
      <c r="C110" s="111"/>
      <c r="D110" s="112"/>
      <c r="E110" s="111"/>
      <c r="F110" s="111"/>
      <c r="G110" s="113"/>
      <c r="H110" s="113"/>
      <c r="I110" s="114"/>
      <c r="J110" s="21"/>
      <c r="K110" s="110"/>
      <c r="L110" s="110"/>
      <c r="M110" s="110"/>
      <c r="N110" s="110"/>
      <c r="O110" s="110"/>
      <c r="P110" s="110"/>
      <c r="Q110" s="110"/>
    </row>
    <row r="111" ht="15.75" customHeight="1">
      <c r="A111" s="115"/>
      <c r="B111" s="116" t="s">
        <v>142</v>
      </c>
      <c r="C111" s="117"/>
      <c r="D111" s="118"/>
      <c r="E111" s="119"/>
      <c r="F111" s="119"/>
      <c r="G111" s="120">
        <f>SUMIF(A3:A110,"PAGO",G3:G110)</f>
        <v>24104.75</v>
      </c>
      <c r="H111" s="120">
        <f>SUMIF(A3:A110,"PAGO",H3:H110)</f>
        <v>16600.27</v>
      </c>
      <c r="I111" s="121"/>
      <c r="J111" s="117"/>
      <c r="K111" s="120">
        <f t="shared" ref="K111:K112" si="6">G111-H111</f>
        <v>7504.48</v>
      </c>
      <c r="L111" s="120"/>
      <c r="M111" s="120"/>
      <c r="N111" s="120"/>
      <c r="O111" s="120"/>
      <c r="P111" s="120"/>
      <c r="Q111" s="120"/>
    </row>
    <row r="112" ht="15.75" customHeight="1">
      <c r="A112" s="115"/>
      <c r="B112" s="122" t="s">
        <v>143</v>
      </c>
      <c r="C112" s="117"/>
      <c r="D112" s="123"/>
      <c r="E112" s="124"/>
      <c r="F112" s="124"/>
      <c r="G112" s="125">
        <f>SUMIF(A3:A110,"PAGO",G3:G110) + SUMIF(A3:A110,"PREVISTO",G3:G110)</f>
        <v>26604.75</v>
      </c>
      <c r="H112" s="125">
        <f>SUMIF(A3:A110,"PAGO",H3:H110) + SUMIF(A3:A110,"PREVISTO",H3:H110)</f>
        <v>18174.23</v>
      </c>
      <c r="I112" s="121"/>
      <c r="J112" s="122" t="s">
        <v>144</v>
      </c>
      <c r="K112" s="125">
        <f t="shared" si="6"/>
        <v>8430.52</v>
      </c>
      <c r="L112" s="125"/>
      <c r="M112" s="125"/>
      <c r="N112" s="125"/>
      <c r="O112" s="125"/>
      <c r="P112" s="125"/>
      <c r="Q112" s="125"/>
    </row>
    <row r="113">
      <c r="A113" s="126"/>
      <c r="B113" s="127"/>
      <c r="C113" s="93"/>
      <c r="D113" s="128"/>
      <c r="E113" s="129"/>
      <c r="F113" s="129"/>
      <c r="G113" s="130"/>
      <c r="H113" s="130"/>
      <c r="I113" s="131"/>
      <c r="J113" s="132" t="s">
        <v>13</v>
      </c>
      <c r="K113" s="133">
        <f t="shared" ref="K113:K120" si="7">(SUMIFS($G$3:$G$110,$I$3:$I$110,J113,$A$3:$A$110,"PAGO") + SUMIFS($G$3:$G$110,$I$3:$I$110,J113,$A$3:$A$110,"CONTAS")) - (SUMIFS($H$3:$H$110,$I$3:$I$110,J113,$A$3:$A$110,"PAGO") + SUMIFS($H$3:$H$110,$I$3:$I$110,J113,$A$3:$A$110,"CONTAS"))</f>
        <v>78.8</v>
      </c>
      <c r="L113" s="133"/>
      <c r="M113" s="133"/>
      <c r="N113" s="133"/>
      <c r="O113" s="133"/>
      <c r="P113" s="133"/>
      <c r="Q113" s="133"/>
    </row>
    <row r="114">
      <c r="A114" s="134"/>
      <c r="B114" s="135"/>
      <c r="C114" s="93"/>
      <c r="D114" s="128"/>
      <c r="E114" s="129"/>
      <c r="F114" s="129"/>
      <c r="G114" s="130"/>
      <c r="H114" s="130"/>
      <c r="I114" s="131"/>
      <c r="J114" s="132" t="s">
        <v>15</v>
      </c>
      <c r="K114" s="133">
        <f t="shared" si="7"/>
        <v>2.9</v>
      </c>
      <c r="L114" s="133"/>
      <c r="M114" s="133"/>
      <c r="N114" s="133"/>
      <c r="O114" s="133"/>
      <c r="P114" s="133"/>
      <c r="Q114" s="133"/>
    </row>
    <row r="115">
      <c r="A115" s="134"/>
      <c r="B115" s="136"/>
      <c r="C115" s="137"/>
      <c r="D115" s="128"/>
      <c r="E115" s="129"/>
      <c r="F115" s="129"/>
      <c r="G115" s="130"/>
      <c r="H115" s="130"/>
      <c r="I115" s="131"/>
      <c r="J115" s="132" t="s">
        <v>16</v>
      </c>
      <c r="K115" s="133">
        <f t="shared" si="7"/>
        <v>0</v>
      </c>
      <c r="L115" s="133"/>
      <c r="M115" s="133"/>
      <c r="N115" s="133"/>
      <c r="O115" s="133"/>
      <c r="P115" s="133"/>
      <c r="Q115" s="133"/>
    </row>
    <row r="116">
      <c r="A116" s="134"/>
      <c r="B116" s="136"/>
      <c r="C116" s="137"/>
      <c r="D116" s="128"/>
      <c r="E116" s="129"/>
      <c r="F116" s="129"/>
      <c r="G116" s="130"/>
      <c r="H116" s="130"/>
      <c r="I116" s="131"/>
      <c r="J116" s="132" t="s">
        <v>17</v>
      </c>
      <c r="K116" s="133">
        <f t="shared" si="7"/>
        <v>6590.73</v>
      </c>
      <c r="L116" s="133"/>
      <c r="M116" s="133"/>
      <c r="N116" s="133"/>
      <c r="O116" s="133"/>
      <c r="P116" s="133"/>
      <c r="Q116" s="133"/>
    </row>
    <row r="117">
      <c r="A117" s="134"/>
      <c r="B117" s="93"/>
      <c r="C117" s="137"/>
      <c r="D117" s="138"/>
      <c r="E117" s="139"/>
      <c r="F117" s="139"/>
      <c r="G117" s="140"/>
      <c r="H117" s="140"/>
      <c r="I117" s="131"/>
      <c r="J117" s="132" t="s">
        <v>18</v>
      </c>
      <c r="K117" s="133">
        <f t="shared" si="7"/>
        <v>9.52</v>
      </c>
      <c r="L117" s="133"/>
      <c r="M117" s="133"/>
      <c r="N117" s="133"/>
      <c r="O117" s="133"/>
      <c r="P117" s="133"/>
      <c r="Q117" s="133"/>
    </row>
    <row r="118">
      <c r="A118" s="134"/>
      <c r="B118" s="137"/>
      <c r="C118" s="93"/>
      <c r="D118" s="138"/>
      <c r="E118" s="139"/>
      <c r="F118" s="139"/>
      <c r="G118" s="140"/>
      <c r="H118" s="140"/>
      <c r="I118" s="131"/>
      <c r="J118" s="183" t="s">
        <v>261</v>
      </c>
      <c r="K118" s="133">
        <f t="shared" si="7"/>
        <v>0</v>
      </c>
      <c r="L118" s="93"/>
      <c r="M118" s="93"/>
      <c r="N118" s="93"/>
      <c r="O118" s="93"/>
      <c r="P118" s="93"/>
      <c r="Q118" s="93"/>
    </row>
    <row r="119">
      <c r="A119" s="134"/>
      <c r="B119" s="137"/>
      <c r="C119" s="93"/>
      <c r="D119" s="138"/>
      <c r="E119" s="139"/>
      <c r="F119" s="139"/>
      <c r="G119" s="140"/>
      <c r="H119" s="140"/>
      <c r="I119" s="131"/>
      <c r="J119" s="182" t="s">
        <v>252</v>
      </c>
      <c r="K119" s="133">
        <f t="shared" si="7"/>
        <v>533.96</v>
      </c>
      <c r="L119" s="93"/>
      <c r="M119" s="93"/>
      <c r="N119" s="93"/>
      <c r="O119" s="93"/>
      <c r="P119" s="93"/>
      <c r="Q119" s="93"/>
    </row>
    <row r="120">
      <c r="A120" s="134"/>
      <c r="B120" s="137"/>
      <c r="C120" s="93"/>
      <c r="D120" s="138"/>
      <c r="E120" s="139"/>
      <c r="F120" s="139"/>
      <c r="G120" s="140"/>
      <c r="H120" s="140"/>
      <c r="I120" s="131"/>
      <c r="J120" s="182" t="s">
        <v>249</v>
      </c>
      <c r="K120" s="133">
        <f t="shared" si="7"/>
        <v>288.57</v>
      </c>
      <c r="L120" s="93"/>
      <c r="M120" s="93"/>
      <c r="N120" s="93"/>
      <c r="O120" s="93"/>
      <c r="P120" s="93"/>
      <c r="Q120" s="93"/>
    </row>
    <row r="121">
      <c r="A121" s="134"/>
      <c r="B121" s="137"/>
      <c r="C121" s="93"/>
      <c r="D121" s="138"/>
      <c r="E121" s="139"/>
      <c r="F121" s="139"/>
      <c r="G121" s="140"/>
      <c r="H121" s="140"/>
      <c r="I121" s="131"/>
      <c r="J121" s="219"/>
      <c r="K121" s="93"/>
      <c r="L121" s="93"/>
      <c r="M121" s="93"/>
      <c r="N121" s="93"/>
      <c r="O121" s="93"/>
      <c r="P121" s="93"/>
      <c r="Q121" s="93"/>
    </row>
  </sheetData>
  <customSheetViews>
    <customSheetView guid="{55ED7845-B94B-4003-AD57-D4008EE7E009}" filter="1" showAutoFilter="1">
      <autoFilter ref="$A$2:$K$17"/>
    </customSheetView>
    <customSheetView guid="{5F890A4C-8AFA-4126-80E7-AF0191C5590F}" filter="1" showAutoFilter="1">
      <autoFilter ref="$A$2:$K$3"/>
    </customSheetView>
    <customSheetView guid="{8E320149-1ED8-4245-AE83-2AF08A85D2EE}" filter="1" showAutoFilter="1">
      <autoFilter ref="$A$2:$K$3"/>
    </customSheetView>
    <customSheetView guid="{FF238D65-B29E-47B3-BB76-09A78DB37DDE}" filter="1" showAutoFilter="1">
      <autoFilter ref="$A$2:$K$3"/>
    </customSheetView>
    <customSheetView guid="{F6E0E906-D63E-467F-B486-84E6C0126E80}" filter="1" showAutoFilter="1">
      <autoFilter ref="$A$2:$K$3"/>
    </customSheetView>
  </customSheetViews>
  <conditionalFormatting sqref="A3:Q110">
    <cfRule type="expression" dxfId="0" priority="1">
      <formula>ISEVEN(ROW())</formula>
    </cfRule>
  </conditionalFormatting>
  <conditionalFormatting sqref="A3:Q110">
    <cfRule type="expression" dxfId="1" priority="2">
      <formula>ISODD(ROW())</formula>
    </cfRule>
  </conditionalFormatting>
  <dataValidations>
    <dataValidation type="list" allowBlank="1" sqref="A3:A109">
      <formula1>listas!$A$1:$A$17</formula1>
    </dataValidation>
    <dataValidation type="list" allowBlank="1" sqref="I3:I109">
      <formula1>listas!$B$1:$B$21</formula1>
    </dataValidation>
  </dataValidations>
  <drawing r:id="rId2"/>
  <legacyDrawing r:id="rId3"/>
  <tableParts count="2">
    <tablePart r:id="rId6"/>
    <tablePart r:id="rId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1.0</v>
      </c>
      <c r="D3" s="14"/>
      <c r="E3" s="15"/>
      <c r="F3" s="15"/>
      <c r="G3" s="16"/>
      <c r="H3" s="17"/>
      <c r="I3" s="18"/>
      <c r="J3" s="19"/>
      <c r="K3" s="20"/>
      <c r="L3" s="20"/>
      <c r="M3" s="20"/>
      <c r="N3" s="20"/>
      <c r="O3" s="20"/>
      <c r="P3" s="20"/>
      <c r="Q3" s="20"/>
    </row>
    <row r="4">
      <c r="A4" s="11" t="s">
        <v>5</v>
      </c>
      <c r="B4" s="21" t="s">
        <v>145</v>
      </c>
      <c r="C4" s="13">
        <v>1.0</v>
      </c>
      <c r="D4" s="14" t="str">
        <f t="shared" ref="D4:D33" si="1">UPPER(TEXT(WEEKDAY(DATEVALUE(CONCATENATE(C4,"/",$C$3,"/",$A$1))),"DDD"))</f>
        <v>SÁB.</v>
      </c>
      <c r="E4" s="13">
        <f t="shared" ref="E4:E45" si="2">$C$3</f>
        <v>1</v>
      </c>
      <c r="F4" s="15"/>
      <c r="G4" s="16">
        <f>dezembro!K113</f>
        <v>78.8</v>
      </c>
      <c r="H4" s="17"/>
      <c r="I4" s="18" t="s">
        <v>13</v>
      </c>
      <c r="J4" s="21" t="s">
        <v>14</v>
      </c>
      <c r="K4" s="22"/>
      <c r="L4" s="22"/>
      <c r="M4" s="22"/>
      <c r="N4" s="22"/>
      <c r="O4" s="22"/>
      <c r="P4" s="22"/>
      <c r="Q4" s="22"/>
    </row>
    <row r="5">
      <c r="A5" s="11" t="s">
        <v>5</v>
      </c>
      <c r="B5" s="21" t="s">
        <v>145</v>
      </c>
      <c r="C5" s="13">
        <v>1.0</v>
      </c>
      <c r="D5" s="14" t="str">
        <f t="shared" si="1"/>
        <v>SÁB.</v>
      </c>
      <c r="E5" s="13">
        <f t="shared" si="2"/>
        <v>1</v>
      </c>
      <c r="F5" s="15"/>
      <c r="G5" s="16">
        <f>dezembro!K114</f>
        <v>2.9</v>
      </c>
      <c r="H5" s="17"/>
      <c r="I5" s="18" t="s">
        <v>15</v>
      </c>
      <c r="J5" s="21" t="s">
        <v>14</v>
      </c>
      <c r="K5" s="22"/>
      <c r="L5" s="22"/>
      <c r="M5" s="22"/>
      <c r="N5" s="22"/>
      <c r="O5" s="22"/>
      <c r="P5" s="22"/>
      <c r="Q5" s="22"/>
    </row>
    <row r="6">
      <c r="A6" s="11" t="s">
        <v>5</v>
      </c>
      <c r="B6" s="21" t="s">
        <v>145</v>
      </c>
      <c r="C6" s="13">
        <v>1.0</v>
      </c>
      <c r="D6" s="14" t="str">
        <f t="shared" si="1"/>
        <v>SÁB.</v>
      </c>
      <c r="E6" s="13">
        <f t="shared" si="2"/>
        <v>1</v>
      </c>
      <c r="F6" s="15"/>
      <c r="G6" s="16">
        <f>dezembro!K116</f>
        <v>6590.73</v>
      </c>
      <c r="H6" s="17"/>
      <c r="I6" s="18" t="s">
        <v>17</v>
      </c>
      <c r="J6" s="21" t="s">
        <v>14</v>
      </c>
      <c r="K6" s="22"/>
      <c r="L6" s="22"/>
      <c r="M6" s="22"/>
      <c r="N6" s="22"/>
      <c r="O6" s="22"/>
      <c r="P6" s="22"/>
      <c r="Q6" s="22"/>
    </row>
    <row r="7">
      <c r="A7" s="11" t="s">
        <v>5</v>
      </c>
      <c r="B7" s="21" t="s">
        <v>145</v>
      </c>
      <c r="C7" s="13">
        <v>1.0</v>
      </c>
      <c r="D7" s="14" t="str">
        <f t="shared" si="1"/>
        <v>SÁB.</v>
      </c>
      <c r="E7" s="13">
        <f t="shared" si="2"/>
        <v>1</v>
      </c>
      <c r="F7" s="15"/>
      <c r="G7" s="16">
        <f>dezembro!K117</f>
        <v>9.52</v>
      </c>
      <c r="H7" s="17"/>
      <c r="I7" s="18" t="s">
        <v>18</v>
      </c>
      <c r="J7" s="21" t="s">
        <v>14</v>
      </c>
      <c r="K7" s="22"/>
      <c r="L7" s="22"/>
      <c r="M7" s="22"/>
      <c r="N7" s="22"/>
      <c r="O7" s="22"/>
      <c r="P7" s="22"/>
      <c r="Q7" s="22"/>
    </row>
    <row r="8">
      <c r="A8" s="11" t="s">
        <v>5</v>
      </c>
      <c r="B8" s="72" t="s">
        <v>145</v>
      </c>
      <c r="C8" s="193">
        <v>1.0</v>
      </c>
      <c r="D8" s="74" t="str">
        <f t="shared" si="1"/>
        <v>SÁB.</v>
      </c>
      <c r="E8" s="13">
        <f t="shared" si="2"/>
        <v>1</v>
      </c>
      <c r="F8" s="30"/>
      <c r="G8" s="16">
        <f>dezembro!K118</f>
        <v>0</v>
      </c>
      <c r="H8" s="31"/>
      <c r="I8" s="58" t="s">
        <v>261</v>
      </c>
      <c r="J8" s="72" t="s">
        <v>14</v>
      </c>
      <c r="K8" s="77"/>
      <c r="L8" s="77"/>
      <c r="M8" s="77"/>
      <c r="N8" s="77"/>
      <c r="O8" s="77"/>
      <c r="P8" s="77"/>
      <c r="Q8" s="77"/>
    </row>
    <row r="9">
      <c r="A9" s="11" t="s">
        <v>5</v>
      </c>
      <c r="B9" s="173" t="s">
        <v>145</v>
      </c>
      <c r="C9" s="184">
        <v>1.0</v>
      </c>
      <c r="D9" s="25" t="str">
        <f t="shared" si="1"/>
        <v>SÁB.</v>
      </c>
      <c r="E9" s="13">
        <f t="shared" si="2"/>
        <v>1</v>
      </c>
      <c r="F9" s="26"/>
      <c r="G9" s="88">
        <f>dezembro!K119</f>
        <v>533.96</v>
      </c>
      <c r="H9" s="56"/>
      <c r="I9" s="33" t="s">
        <v>252</v>
      </c>
      <c r="J9" s="173" t="s">
        <v>14</v>
      </c>
      <c r="K9" s="59"/>
      <c r="L9" s="59"/>
      <c r="M9" s="59"/>
      <c r="N9" s="59"/>
      <c r="O9" s="59"/>
      <c r="P9" s="59"/>
      <c r="Q9" s="59"/>
    </row>
    <row r="10">
      <c r="A10" s="11" t="s">
        <v>5</v>
      </c>
      <c r="B10" s="42" t="s">
        <v>145</v>
      </c>
      <c r="C10" s="144">
        <v>1.0</v>
      </c>
      <c r="D10" s="14" t="str">
        <f t="shared" si="1"/>
        <v>SÁB.</v>
      </c>
      <c r="E10" s="13">
        <f t="shared" si="2"/>
        <v>1</v>
      </c>
      <c r="F10" s="43"/>
      <c r="G10" s="16">
        <f>dezembro!K120</f>
        <v>288.57</v>
      </c>
      <c r="H10" s="45"/>
      <c r="I10" s="41" t="s">
        <v>249</v>
      </c>
      <c r="J10" s="42" t="s">
        <v>14</v>
      </c>
      <c r="K10" s="68"/>
      <c r="L10" s="68"/>
      <c r="M10" s="68"/>
      <c r="N10" s="68"/>
      <c r="O10" s="68"/>
      <c r="P10" s="68"/>
      <c r="Q10" s="68"/>
    </row>
    <row r="11">
      <c r="A11" s="11" t="s">
        <v>5</v>
      </c>
      <c r="B11" s="103" t="s">
        <v>533</v>
      </c>
      <c r="C11" s="13">
        <v>2.0</v>
      </c>
      <c r="D11" s="14" t="str">
        <f t="shared" si="1"/>
        <v>DOM.</v>
      </c>
      <c r="E11" s="13">
        <f t="shared" si="2"/>
        <v>1</v>
      </c>
      <c r="F11" s="54"/>
      <c r="G11" s="70"/>
      <c r="H11" s="86">
        <v>50.0</v>
      </c>
      <c r="I11" s="105" t="s">
        <v>17</v>
      </c>
      <c r="J11" s="21" t="s">
        <v>534</v>
      </c>
      <c r="K11" s="84"/>
      <c r="L11" s="84"/>
      <c r="M11" s="84"/>
      <c r="N11" s="84"/>
      <c r="O11" s="84"/>
      <c r="P11" s="84"/>
      <c r="Q11" s="84"/>
    </row>
    <row r="12">
      <c r="A12" s="11" t="s">
        <v>5</v>
      </c>
      <c r="B12" s="34" t="s">
        <v>626</v>
      </c>
      <c r="C12" s="13">
        <v>2.0</v>
      </c>
      <c r="D12" s="14" t="str">
        <f t="shared" si="1"/>
        <v>DOM.</v>
      </c>
      <c r="E12" s="13">
        <f t="shared" si="2"/>
        <v>1</v>
      </c>
      <c r="F12" s="94"/>
      <c r="G12" s="56"/>
      <c r="H12" s="63">
        <v>500.0</v>
      </c>
      <c r="I12" s="58" t="s">
        <v>17</v>
      </c>
      <c r="J12" s="21" t="s">
        <v>147</v>
      </c>
      <c r="K12" s="61"/>
      <c r="L12" s="61"/>
      <c r="M12" s="61"/>
      <c r="N12" s="61"/>
      <c r="O12" s="61"/>
      <c r="P12" s="61"/>
      <c r="Q12" s="61"/>
    </row>
    <row r="13">
      <c r="A13" s="11" t="s">
        <v>5</v>
      </c>
      <c r="B13" s="28" t="s">
        <v>148</v>
      </c>
      <c r="C13" s="80">
        <v>3.0</v>
      </c>
      <c r="D13" s="81" t="str">
        <f t="shared" si="1"/>
        <v>SEG.</v>
      </c>
      <c r="E13" s="207">
        <f t="shared" si="2"/>
        <v>1</v>
      </c>
      <c r="F13" s="35"/>
      <c r="G13" s="70"/>
      <c r="H13" s="86">
        <v>52.52</v>
      </c>
      <c r="I13" s="221" t="s">
        <v>13</v>
      </c>
      <c r="J13" s="199" t="s">
        <v>149</v>
      </c>
      <c r="K13" s="28"/>
      <c r="L13" s="28"/>
      <c r="M13" s="28"/>
      <c r="N13" s="28"/>
      <c r="O13" s="28"/>
      <c r="P13" s="28"/>
      <c r="Q13" s="28"/>
    </row>
    <row r="14">
      <c r="A14" s="47" t="s">
        <v>5</v>
      </c>
      <c r="B14" s="69" t="s">
        <v>627</v>
      </c>
      <c r="C14" s="80">
        <v>3.0</v>
      </c>
      <c r="D14" s="81" t="str">
        <f t="shared" si="1"/>
        <v>SEG.</v>
      </c>
      <c r="E14" s="207">
        <f t="shared" si="2"/>
        <v>1</v>
      </c>
      <c r="F14" s="211"/>
      <c r="G14" s="70"/>
      <c r="H14" s="36">
        <v>83.58</v>
      </c>
      <c r="I14" s="58" t="s">
        <v>17</v>
      </c>
      <c r="J14" s="83" t="s">
        <v>628</v>
      </c>
      <c r="K14" s="70"/>
      <c r="L14" s="70"/>
      <c r="M14" s="70"/>
      <c r="N14" s="70"/>
      <c r="O14" s="70"/>
      <c r="P14" s="70"/>
      <c r="Q14" s="70"/>
    </row>
    <row r="15">
      <c r="A15" s="47" t="s">
        <v>5</v>
      </c>
      <c r="B15" s="69" t="s">
        <v>629</v>
      </c>
      <c r="C15" s="80">
        <v>3.0</v>
      </c>
      <c r="D15" s="81" t="str">
        <f t="shared" si="1"/>
        <v>SEG.</v>
      </c>
      <c r="E15" s="210">
        <f t="shared" si="2"/>
        <v>1</v>
      </c>
      <c r="F15" s="211"/>
      <c r="G15" s="70"/>
      <c r="H15" s="36">
        <v>32.19</v>
      </c>
      <c r="I15" s="58" t="s">
        <v>17</v>
      </c>
      <c r="J15" s="83" t="s">
        <v>630</v>
      </c>
      <c r="K15" s="70"/>
      <c r="L15" s="70"/>
      <c r="M15" s="70"/>
      <c r="N15" s="70"/>
      <c r="O15" s="70"/>
      <c r="P15" s="70"/>
      <c r="Q15" s="70"/>
    </row>
    <row r="16">
      <c r="A16" s="11" t="s">
        <v>5</v>
      </c>
      <c r="B16" s="141" t="s">
        <v>631</v>
      </c>
      <c r="C16" s="80">
        <v>3.0</v>
      </c>
      <c r="D16" s="81" t="str">
        <f t="shared" si="1"/>
        <v>SEG.</v>
      </c>
      <c r="E16" s="210">
        <f t="shared" si="2"/>
        <v>1</v>
      </c>
      <c r="F16" s="35"/>
      <c r="G16" s="70"/>
      <c r="H16" s="86">
        <v>360.0</v>
      </c>
      <c r="I16" s="58" t="s">
        <v>17</v>
      </c>
      <c r="J16" s="103" t="s">
        <v>632</v>
      </c>
      <c r="K16" s="28"/>
      <c r="L16" s="28"/>
      <c r="M16" s="28"/>
      <c r="N16" s="28"/>
      <c r="O16" s="28"/>
      <c r="P16" s="28"/>
      <c r="Q16" s="28"/>
    </row>
    <row r="17">
      <c r="A17" s="11" t="s">
        <v>5</v>
      </c>
      <c r="B17" s="99" t="s">
        <v>119</v>
      </c>
      <c r="C17" s="13">
        <v>3.0</v>
      </c>
      <c r="D17" s="14" t="str">
        <f t="shared" si="1"/>
        <v>SEG.</v>
      </c>
      <c r="E17" s="13">
        <f t="shared" si="2"/>
        <v>1</v>
      </c>
      <c r="F17" s="35"/>
      <c r="G17" s="36">
        <v>14.9</v>
      </c>
      <c r="H17" s="70"/>
      <c r="I17" s="78" t="s">
        <v>17</v>
      </c>
      <c r="J17" s="21" t="s">
        <v>120</v>
      </c>
      <c r="K17" s="84"/>
      <c r="L17" s="84"/>
      <c r="M17" s="84"/>
      <c r="N17" s="84"/>
      <c r="O17" s="84"/>
      <c r="P17" s="84"/>
      <c r="Q17" s="84"/>
    </row>
    <row r="18">
      <c r="A18" s="11" t="s">
        <v>5</v>
      </c>
      <c r="B18" s="159" t="s">
        <v>465</v>
      </c>
      <c r="C18" s="73">
        <v>3.0</v>
      </c>
      <c r="D18" s="25" t="str">
        <f t="shared" si="1"/>
        <v>SEG.</v>
      </c>
      <c r="E18" s="13">
        <f t="shared" si="2"/>
        <v>1</v>
      </c>
      <c r="F18" s="87">
        <v>44531.0</v>
      </c>
      <c r="G18" s="31"/>
      <c r="H18" s="32">
        <v>400.0</v>
      </c>
      <c r="I18" s="71" t="s">
        <v>17</v>
      </c>
      <c r="J18" s="76" t="s">
        <v>466</v>
      </c>
      <c r="K18" s="31"/>
      <c r="L18" s="31"/>
      <c r="M18" s="31"/>
      <c r="N18" s="31"/>
      <c r="O18" s="31"/>
      <c r="P18" s="31"/>
      <c r="Q18" s="31"/>
    </row>
    <row r="19">
      <c r="A19" s="11" t="s">
        <v>5</v>
      </c>
      <c r="B19" s="179" t="s">
        <v>21</v>
      </c>
      <c r="C19" s="62">
        <v>3.0</v>
      </c>
      <c r="D19" s="25" t="str">
        <f t="shared" si="1"/>
        <v>SEG.</v>
      </c>
      <c r="E19" s="13">
        <f t="shared" si="2"/>
        <v>1</v>
      </c>
      <c r="F19" s="26"/>
      <c r="G19" s="56"/>
      <c r="H19" s="63">
        <v>76.34</v>
      </c>
      <c r="I19" s="33" t="s">
        <v>252</v>
      </c>
      <c r="J19" s="173" t="s">
        <v>22</v>
      </c>
      <c r="K19" s="56"/>
      <c r="L19" s="56"/>
      <c r="M19" s="56"/>
      <c r="N19" s="56"/>
      <c r="O19" s="56"/>
      <c r="P19" s="56"/>
      <c r="Q19" s="56"/>
    </row>
    <row r="20">
      <c r="A20" s="11" t="s">
        <v>5</v>
      </c>
      <c r="B20" s="83" t="s">
        <v>633</v>
      </c>
      <c r="C20" s="80">
        <v>4.0</v>
      </c>
      <c r="D20" s="81" t="str">
        <f t="shared" si="1"/>
        <v>TER.</v>
      </c>
      <c r="E20" s="13">
        <f t="shared" si="2"/>
        <v>1</v>
      </c>
      <c r="F20" s="35"/>
      <c r="G20" s="70"/>
      <c r="H20" s="36">
        <v>16.0</v>
      </c>
      <c r="I20" s="152" t="s">
        <v>17</v>
      </c>
      <c r="J20" s="103" t="s">
        <v>634</v>
      </c>
      <c r="K20" s="106"/>
      <c r="L20" s="106"/>
      <c r="M20" s="106"/>
      <c r="N20" s="106"/>
      <c r="O20" s="84"/>
      <c r="P20" s="84"/>
      <c r="Q20" s="84"/>
    </row>
    <row r="21">
      <c r="A21" s="11" t="s">
        <v>5</v>
      </c>
      <c r="B21" s="179" t="s">
        <v>21</v>
      </c>
      <c r="C21" s="62">
        <v>4.0</v>
      </c>
      <c r="D21" s="25" t="str">
        <f t="shared" si="1"/>
        <v>TER.</v>
      </c>
      <c r="E21" s="13">
        <f t="shared" si="2"/>
        <v>1</v>
      </c>
      <c r="F21" s="26"/>
      <c r="G21" s="56"/>
      <c r="H21" s="63">
        <v>77.82</v>
      </c>
      <c r="I21" s="33" t="s">
        <v>252</v>
      </c>
      <c r="J21" s="173" t="s">
        <v>22</v>
      </c>
      <c r="K21" s="56"/>
      <c r="L21" s="56"/>
      <c r="M21" s="56"/>
      <c r="N21" s="56"/>
      <c r="O21" s="56"/>
      <c r="P21" s="56"/>
      <c r="Q21" s="56"/>
    </row>
    <row r="22">
      <c r="A22" s="11" t="s">
        <v>5</v>
      </c>
      <c r="B22" s="44" t="s">
        <v>491</v>
      </c>
      <c r="C22" s="13">
        <v>4.0</v>
      </c>
      <c r="D22" s="14" t="str">
        <f t="shared" si="1"/>
        <v>TER.</v>
      </c>
      <c r="E22" s="13">
        <f t="shared" si="2"/>
        <v>1</v>
      </c>
      <c r="F22" s="43"/>
      <c r="G22" s="46">
        <v>2500.0</v>
      </c>
      <c r="H22" s="46"/>
      <c r="I22" s="47" t="s">
        <v>17</v>
      </c>
      <c r="J22" s="21" t="s">
        <v>38</v>
      </c>
      <c r="K22" s="39"/>
      <c r="L22" s="39"/>
      <c r="M22" s="39"/>
      <c r="N22" s="39"/>
      <c r="O22" s="39"/>
      <c r="P22" s="39"/>
      <c r="Q22" s="39"/>
    </row>
    <row r="23">
      <c r="A23" s="11" t="s">
        <v>25</v>
      </c>
      <c r="B23" s="39" t="s">
        <v>26</v>
      </c>
      <c r="C23" s="66">
        <v>4.0</v>
      </c>
      <c r="D23" s="14" t="str">
        <f t="shared" si="1"/>
        <v>TER.</v>
      </c>
      <c r="E23" s="13">
        <f t="shared" si="2"/>
        <v>1</v>
      </c>
      <c r="F23" s="87"/>
      <c r="G23" s="45"/>
      <c r="H23" s="46">
        <v>1650.0</v>
      </c>
      <c r="I23" s="149" t="s">
        <v>17</v>
      </c>
      <c r="J23" s="42"/>
      <c r="K23" s="68"/>
      <c r="L23" s="68"/>
      <c r="M23" s="68"/>
      <c r="N23" s="68"/>
      <c r="O23" s="68"/>
      <c r="P23" s="68"/>
      <c r="Q23" s="68"/>
    </row>
    <row r="24">
      <c r="A24" s="11" t="s">
        <v>25</v>
      </c>
      <c r="B24" s="61" t="s">
        <v>27</v>
      </c>
      <c r="C24" s="148">
        <v>4.0</v>
      </c>
      <c r="D24" s="25" t="str">
        <f t="shared" si="1"/>
        <v>TER.</v>
      </c>
      <c r="E24" s="13">
        <f t="shared" si="2"/>
        <v>1</v>
      </c>
      <c r="F24" s="87"/>
      <c r="G24" s="63">
        <v>1650.0</v>
      </c>
      <c r="H24" s="56"/>
      <c r="I24" s="37" t="s">
        <v>13</v>
      </c>
      <c r="J24" s="40"/>
      <c r="K24" s="59"/>
      <c r="L24" s="59"/>
      <c r="M24" s="59"/>
      <c r="N24" s="59"/>
      <c r="O24" s="59"/>
      <c r="P24" s="59"/>
      <c r="Q24" s="59"/>
    </row>
    <row r="25">
      <c r="A25" s="11" t="s">
        <v>5</v>
      </c>
      <c r="B25" s="179" t="s">
        <v>21</v>
      </c>
      <c r="C25" s="62">
        <v>6.0</v>
      </c>
      <c r="D25" s="25" t="str">
        <f t="shared" si="1"/>
        <v>QUI.</v>
      </c>
      <c r="E25" s="13">
        <f t="shared" si="2"/>
        <v>1</v>
      </c>
      <c r="F25" s="26"/>
      <c r="G25" s="56"/>
      <c r="H25" s="63">
        <v>112.48</v>
      </c>
      <c r="I25" s="33" t="s">
        <v>252</v>
      </c>
      <c r="J25" s="173" t="s">
        <v>22</v>
      </c>
      <c r="K25" s="56"/>
      <c r="L25" s="56"/>
      <c r="M25" s="56"/>
      <c r="N25" s="56"/>
      <c r="O25" s="56"/>
      <c r="P25" s="56"/>
      <c r="Q25" s="56"/>
    </row>
    <row r="26">
      <c r="A26" s="172" t="s">
        <v>5</v>
      </c>
      <c r="B26" s="24" t="s">
        <v>635</v>
      </c>
      <c r="C26" s="62">
        <v>6.0</v>
      </c>
      <c r="D26" s="25" t="str">
        <f t="shared" si="1"/>
        <v>QUI.</v>
      </c>
      <c r="E26" s="143">
        <f t="shared" si="2"/>
        <v>1</v>
      </c>
      <c r="F26" s="26"/>
      <c r="G26" s="56"/>
      <c r="H26" s="88">
        <v>840.0</v>
      </c>
      <c r="I26" s="23" t="s">
        <v>17</v>
      </c>
      <c r="J26" s="173" t="s">
        <v>632</v>
      </c>
      <c r="K26" s="56"/>
      <c r="L26" s="56"/>
      <c r="M26" s="56"/>
      <c r="N26" s="56"/>
      <c r="O26" s="56"/>
      <c r="P26" s="56"/>
      <c r="Q26" s="56"/>
    </row>
    <row r="27">
      <c r="A27" s="11" t="s">
        <v>5</v>
      </c>
      <c r="B27" s="83" t="s">
        <v>350</v>
      </c>
      <c r="C27" s="13">
        <v>7.0</v>
      </c>
      <c r="D27" s="14" t="str">
        <f t="shared" si="1"/>
        <v>SEX.</v>
      </c>
      <c r="E27" s="13">
        <f t="shared" si="2"/>
        <v>1</v>
      </c>
      <c r="F27" s="35"/>
      <c r="G27" s="36">
        <v>500.0</v>
      </c>
      <c r="H27" s="70"/>
      <c r="I27" s="78" t="s">
        <v>17</v>
      </c>
      <c r="J27" s="21" t="s">
        <v>390</v>
      </c>
      <c r="K27" s="84"/>
      <c r="L27" s="84"/>
      <c r="M27" s="84"/>
      <c r="N27" s="84"/>
      <c r="O27" s="84"/>
      <c r="P27" s="84"/>
      <c r="Q27" s="84"/>
    </row>
    <row r="28">
      <c r="A28" s="11" t="s">
        <v>5</v>
      </c>
      <c r="B28" s="83" t="s">
        <v>352</v>
      </c>
      <c r="C28" s="13">
        <v>7.0</v>
      </c>
      <c r="D28" s="14" t="str">
        <f t="shared" si="1"/>
        <v>SEX.</v>
      </c>
      <c r="E28" s="13">
        <f t="shared" si="2"/>
        <v>1</v>
      </c>
      <c r="F28" s="35"/>
      <c r="G28" s="36"/>
      <c r="H28" s="36">
        <v>500.0</v>
      </c>
      <c r="I28" s="78" t="s">
        <v>17</v>
      </c>
      <c r="J28" s="21" t="s">
        <v>391</v>
      </c>
      <c r="K28" s="84"/>
      <c r="L28" s="84"/>
      <c r="M28" s="84"/>
      <c r="N28" s="84"/>
      <c r="O28" s="84"/>
      <c r="P28" s="84"/>
      <c r="Q28" s="84"/>
    </row>
    <row r="29">
      <c r="A29" s="78" t="s">
        <v>5</v>
      </c>
      <c r="B29" s="79" t="s">
        <v>295</v>
      </c>
      <c r="C29" s="80">
        <v>7.0</v>
      </c>
      <c r="D29" s="14" t="str">
        <f t="shared" si="1"/>
        <v>SEX.</v>
      </c>
      <c r="E29" s="207">
        <f t="shared" si="2"/>
        <v>1</v>
      </c>
      <c r="F29" s="81"/>
      <c r="G29" s="36">
        <v>493.82</v>
      </c>
      <c r="H29" s="70"/>
      <c r="I29" s="78" t="s">
        <v>13</v>
      </c>
      <c r="J29" s="199" t="s">
        <v>296</v>
      </c>
      <c r="K29" s="84"/>
      <c r="L29" s="84"/>
      <c r="M29" s="84"/>
      <c r="N29" s="84"/>
      <c r="O29" s="84"/>
      <c r="P29" s="84"/>
      <c r="Q29" s="84"/>
    </row>
    <row r="30">
      <c r="A30" s="97" t="s">
        <v>25</v>
      </c>
      <c r="B30" s="72" t="s">
        <v>26</v>
      </c>
      <c r="C30" s="73">
        <v>7.0</v>
      </c>
      <c r="D30" s="14" t="str">
        <f t="shared" si="1"/>
        <v>SEX.</v>
      </c>
      <c r="E30" s="193">
        <f t="shared" si="2"/>
        <v>1</v>
      </c>
      <c r="F30" s="30"/>
      <c r="G30" s="31"/>
      <c r="H30" s="32">
        <v>493.82</v>
      </c>
      <c r="I30" s="154" t="s">
        <v>13</v>
      </c>
      <c r="J30" s="157"/>
      <c r="K30" s="77"/>
      <c r="L30" s="77"/>
      <c r="M30" s="77"/>
      <c r="N30" s="77"/>
      <c r="O30" s="77"/>
      <c r="P30" s="77"/>
      <c r="Q30" s="77"/>
    </row>
    <row r="31">
      <c r="A31" s="102" t="s">
        <v>25</v>
      </c>
      <c r="B31" s="79" t="s">
        <v>27</v>
      </c>
      <c r="C31" s="150">
        <v>7.0</v>
      </c>
      <c r="D31" s="14" t="str">
        <f t="shared" si="1"/>
        <v>SEX.</v>
      </c>
      <c r="E31" s="207">
        <f t="shared" si="2"/>
        <v>1</v>
      </c>
      <c r="F31" s="35"/>
      <c r="G31" s="36">
        <v>493.82</v>
      </c>
      <c r="H31" s="70"/>
      <c r="I31" s="152" t="s">
        <v>17</v>
      </c>
      <c r="J31" s="197"/>
      <c r="K31" s="84"/>
      <c r="L31" s="84"/>
      <c r="M31" s="84"/>
      <c r="N31" s="84"/>
      <c r="O31" s="84"/>
      <c r="P31" s="84"/>
      <c r="Q31" s="84"/>
    </row>
    <row r="32">
      <c r="A32" s="71" t="s">
        <v>5</v>
      </c>
      <c r="B32" s="72" t="s">
        <v>297</v>
      </c>
      <c r="C32" s="73">
        <v>7.0</v>
      </c>
      <c r="D32" s="14" t="str">
        <f t="shared" si="1"/>
        <v>SEX.</v>
      </c>
      <c r="E32" s="193">
        <f t="shared" si="2"/>
        <v>1</v>
      </c>
      <c r="F32" s="30"/>
      <c r="G32" s="31"/>
      <c r="H32" s="32">
        <v>493.82</v>
      </c>
      <c r="I32" s="71" t="s">
        <v>17</v>
      </c>
      <c r="J32" s="72" t="s">
        <v>101</v>
      </c>
      <c r="K32" s="77"/>
      <c r="L32" s="77"/>
      <c r="M32" s="77"/>
      <c r="N32" s="77"/>
      <c r="O32" s="77"/>
      <c r="P32" s="77"/>
      <c r="Q32" s="77"/>
    </row>
    <row r="33">
      <c r="A33" s="11" t="s">
        <v>5</v>
      </c>
      <c r="B33" s="44" t="s">
        <v>39</v>
      </c>
      <c r="C33" s="13">
        <v>8.0</v>
      </c>
      <c r="D33" s="14" t="str">
        <f t="shared" si="1"/>
        <v>SÁB.</v>
      </c>
      <c r="E33" s="13">
        <f t="shared" si="2"/>
        <v>1</v>
      </c>
      <c r="F33" s="87">
        <v>44564.0</v>
      </c>
      <c r="G33" s="45"/>
      <c r="H33" s="46">
        <f>sum(H34:H46)</f>
        <v>1416.98</v>
      </c>
      <c r="I33" s="47" t="s">
        <v>17</v>
      </c>
      <c r="J33" s="21"/>
      <c r="K33" s="39"/>
      <c r="L33" s="39"/>
      <c r="M33" s="39"/>
      <c r="N33" s="39"/>
      <c r="O33" s="39"/>
      <c r="P33" s="39"/>
      <c r="Q33" s="39"/>
    </row>
    <row r="34" outlineLevel="1">
      <c r="A34" s="102" t="s">
        <v>40</v>
      </c>
      <c r="B34" s="79" t="s">
        <v>636</v>
      </c>
      <c r="C34" s="194"/>
      <c r="D34" s="195"/>
      <c r="E34" s="207">
        <f t="shared" si="2"/>
        <v>1</v>
      </c>
      <c r="F34" s="196">
        <v>44511.0</v>
      </c>
      <c r="G34" s="70"/>
      <c r="H34" s="151">
        <v>223.38</v>
      </c>
      <c r="I34" s="197"/>
      <c r="J34" s="79" t="s">
        <v>591</v>
      </c>
      <c r="K34" s="84"/>
      <c r="L34" s="84"/>
      <c r="M34" s="84"/>
      <c r="N34" s="84"/>
      <c r="O34" s="84"/>
      <c r="P34" s="84"/>
      <c r="Q34" s="84"/>
    </row>
    <row r="35" outlineLevel="1">
      <c r="A35" s="11" t="s">
        <v>40</v>
      </c>
      <c r="B35" s="76" t="s">
        <v>239</v>
      </c>
      <c r="C35" s="155"/>
      <c r="D35" s="156"/>
      <c r="E35" s="13">
        <f t="shared" si="2"/>
        <v>1</v>
      </c>
      <c r="F35" s="54">
        <v>44531.0</v>
      </c>
      <c r="G35" s="31"/>
      <c r="H35" s="32">
        <v>29.9</v>
      </c>
      <c r="I35" s="157"/>
      <c r="J35" s="83" t="s">
        <v>243</v>
      </c>
      <c r="K35" s="77"/>
      <c r="L35" s="77"/>
      <c r="M35" s="77"/>
      <c r="N35" s="77"/>
      <c r="O35" s="77"/>
      <c r="P35" s="77"/>
      <c r="Q35" s="77"/>
    </row>
    <row r="36" outlineLevel="1">
      <c r="A36" s="11" t="s">
        <v>40</v>
      </c>
      <c r="B36" s="76" t="s">
        <v>637</v>
      </c>
      <c r="C36" s="155"/>
      <c r="D36" s="156"/>
      <c r="E36" s="193">
        <f t="shared" si="2"/>
        <v>1</v>
      </c>
      <c r="F36" s="54">
        <v>44538.0</v>
      </c>
      <c r="G36" s="31"/>
      <c r="H36" s="32">
        <v>20.87</v>
      </c>
      <c r="I36" s="157"/>
      <c r="J36" s="83" t="s">
        <v>638</v>
      </c>
      <c r="K36" s="77"/>
      <c r="L36" s="77"/>
      <c r="M36" s="77"/>
      <c r="N36" s="77"/>
      <c r="O36" s="77"/>
      <c r="P36" s="77"/>
      <c r="Q36" s="77"/>
    </row>
    <row r="37" outlineLevel="1">
      <c r="A37" s="11" t="s">
        <v>40</v>
      </c>
      <c r="B37" s="76" t="s">
        <v>639</v>
      </c>
      <c r="C37" s="155"/>
      <c r="D37" s="156"/>
      <c r="E37" s="193">
        <f t="shared" si="2"/>
        <v>1</v>
      </c>
      <c r="F37" s="54">
        <v>44538.0</v>
      </c>
      <c r="G37" s="31"/>
      <c r="H37" s="32">
        <v>51.98</v>
      </c>
      <c r="I37" s="157"/>
      <c r="J37" s="83" t="s">
        <v>640</v>
      </c>
      <c r="K37" s="77"/>
      <c r="L37" s="77"/>
      <c r="M37" s="77"/>
      <c r="N37" s="77"/>
      <c r="O37" s="77"/>
      <c r="P37" s="77"/>
      <c r="Q37" s="77"/>
    </row>
    <row r="38" outlineLevel="1">
      <c r="A38" s="11" t="s">
        <v>40</v>
      </c>
      <c r="B38" s="76" t="s">
        <v>554</v>
      </c>
      <c r="C38" s="155"/>
      <c r="D38" s="156"/>
      <c r="E38" s="193">
        <f t="shared" si="2"/>
        <v>1</v>
      </c>
      <c r="F38" s="54">
        <v>44538.0</v>
      </c>
      <c r="G38" s="31"/>
      <c r="H38" s="32">
        <v>43.61</v>
      </c>
      <c r="I38" s="157"/>
      <c r="J38" s="72" t="s">
        <v>393</v>
      </c>
      <c r="K38" s="77"/>
      <c r="L38" s="77"/>
      <c r="M38" s="77"/>
      <c r="N38" s="77"/>
      <c r="O38" s="77"/>
      <c r="P38" s="77"/>
      <c r="Q38" s="77"/>
    </row>
    <row r="39" outlineLevel="1">
      <c r="A39" s="11" t="s">
        <v>40</v>
      </c>
      <c r="B39" s="76" t="s">
        <v>641</v>
      </c>
      <c r="C39" s="155"/>
      <c r="D39" s="156"/>
      <c r="E39" s="193">
        <f t="shared" si="2"/>
        <v>1</v>
      </c>
      <c r="F39" s="54">
        <v>44538.0</v>
      </c>
      <c r="G39" s="31"/>
      <c r="H39" s="32">
        <v>51.39</v>
      </c>
      <c r="I39" s="157"/>
      <c r="J39" s="72" t="s">
        <v>393</v>
      </c>
      <c r="K39" s="77"/>
      <c r="L39" s="77"/>
      <c r="M39" s="77"/>
      <c r="N39" s="77"/>
      <c r="O39" s="77"/>
      <c r="P39" s="77"/>
      <c r="Q39" s="77"/>
    </row>
    <row r="40" outlineLevel="1">
      <c r="A40" s="11" t="s">
        <v>40</v>
      </c>
      <c r="B40" s="76" t="s">
        <v>642</v>
      </c>
      <c r="C40" s="155"/>
      <c r="D40" s="156"/>
      <c r="E40" s="193">
        <f t="shared" si="2"/>
        <v>1</v>
      </c>
      <c r="F40" s="54">
        <v>44538.0</v>
      </c>
      <c r="G40" s="31"/>
      <c r="H40" s="32">
        <v>18.6</v>
      </c>
      <c r="I40" s="157"/>
      <c r="J40" s="76" t="s">
        <v>243</v>
      </c>
      <c r="K40" s="77"/>
      <c r="L40" s="77"/>
      <c r="M40" s="77"/>
      <c r="N40" s="77"/>
      <c r="O40" s="77"/>
      <c r="P40" s="77"/>
      <c r="Q40" s="77"/>
    </row>
    <row r="41" outlineLevel="1">
      <c r="A41" s="11" t="s">
        <v>40</v>
      </c>
      <c r="B41" s="76" t="s">
        <v>643</v>
      </c>
      <c r="C41" s="155"/>
      <c r="D41" s="156"/>
      <c r="E41" s="193">
        <f t="shared" si="2"/>
        <v>1</v>
      </c>
      <c r="F41" s="54">
        <v>44543.0</v>
      </c>
      <c r="G41" s="31"/>
      <c r="H41" s="32">
        <v>100.0</v>
      </c>
      <c r="I41" s="157"/>
      <c r="J41" s="76" t="s">
        <v>644</v>
      </c>
      <c r="K41" s="77"/>
      <c r="L41" s="77"/>
      <c r="M41" s="77"/>
      <c r="N41" s="77"/>
      <c r="O41" s="77"/>
      <c r="P41" s="77"/>
      <c r="Q41" s="77"/>
    </row>
    <row r="42" outlineLevel="1">
      <c r="A42" s="97" t="s">
        <v>40</v>
      </c>
      <c r="B42" s="76" t="s">
        <v>645</v>
      </c>
      <c r="C42" s="155"/>
      <c r="D42" s="156"/>
      <c r="E42" s="193">
        <f t="shared" si="2"/>
        <v>1</v>
      </c>
      <c r="F42" s="54">
        <v>44543.0</v>
      </c>
      <c r="G42" s="31"/>
      <c r="H42" s="32">
        <v>794.49</v>
      </c>
      <c r="I42" s="157"/>
      <c r="J42" s="222" t="s">
        <v>638</v>
      </c>
      <c r="K42" s="77"/>
      <c r="L42" s="77"/>
      <c r="M42" s="77"/>
      <c r="N42" s="77"/>
      <c r="O42" s="77"/>
      <c r="P42" s="77"/>
      <c r="Q42" s="77"/>
    </row>
    <row r="43" outlineLevel="1">
      <c r="A43" s="11" t="s">
        <v>40</v>
      </c>
      <c r="B43" s="76" t="s">
        <v>637</v>
      </c>
      <c r="C43" s="155"/>
      <c r="D43" s="156"/>
      <c r="E43" s="193">
        <f t="shared" si="2"/>
        <v>1</v>
      </c>
      <c r="F43" s="54">
        <v>44544.0</v>
      </c>
      <c r="G43" s="31"/>
      <c r="H43" s="32">
        <v>46.7</v>
      </c>
      <c r="I43" s="157"/>
      <c r="J43" s="83" t="s">
        <v>638</v>
      </c>
      <c r="K43" s="77"/>
      <c r="L43" s="77"/>
      <c r="M43" s="77"/>
      <c r="N43" s="77"/>
      <c r="O43" s="77"/>
      <c r="P43" s="77"/>
      <c r="Q43" s="77"/>
    </row>
    <row r="44" outlineLevel="1">
      <c r="A44" s="11" t="s">
        <v>40</v>
      </c>
      <c r="B44" s="76" t="s">
        <v>646</v>
      </c>
      <c r="C44" s="155"/>
      <c r="D44" s="156"/>
      <c r="E44" s="193">
        <f t="shared" si="2"/>
        <v>1</v>
      </c>
      <c r="F44" s="54">
        <v>44545.0</v>
      </c>
      <c r="G44" s="31"/>
      <c r="H44" s="32">
        <v>11.04</v>
      </c>
      <c r="I44" s="157"/>
      <c r="J44" s="72" t="s">
        <v>393</v>
      </c>
      <c r="K44" s="77"/>
      <c r="L44" s="77"/>
      <c r="M44" s="77"/>
      <c r="N44" s="77"/>
      <c r="O44" s="77"/>
      <c r="P44" s="77"/>
      <c r="Q44" s="77"/>
    </row>
    <row r="45" outlineLevel="1">
      <c r="A45" s="97" t="s">
        <v>40</v>
      </c>
      <c r="B45" s="98" t="s">
        <v>47</v>
      </c>
      <c r="C45" s="155"/>
      <c r="D45" s="156"/>
      <c r="E45" s="193">
        <f t="shared" si="2"/>
        <v>1</v>
      </c>
      <c r="F45" s="217">
        <v>44546.0</v>
      </c>
      <c r="G45" s="31"/>
      <c r="H45" s="153">
        <v>15.02</v>
      </c>
      <c r="I45" s="157"/>
      <c r="J45" s="72" t="s">
        <v>48</v>
      </c>
      <c r="K45" s="77"/>
      <c r="L45" s="77"/>
      <c r="M45" s="77"/>
      <c r="N45" s="77"/>
      <c r="O45" s="77"/>
      <c r="P45" s="77"/>
      <c r="Q45" s="77"/>
    </row>
    <row r="46" outlineLevel="1">
      <c r="A46" s="11" t="s">
        <v>40</v>
      </c>
      <c r="B46" s="98" t="s">
        <v>164</v>
      </c>
      <c r="C46" s="13"/>
      <c r="D46" s="13"/>
      <c r="E46" s="13">
        <v>2.0</v>
      </c>
      <c r="F46" s="54">
        <v>44557.0</v>
      </c>
      <c r="G46" s="16"/>
      <c r="H46" s="32">
        <v>10.0</v>
      </c>
      <c r="I46" s="21"/>
      <c r="J46" s="21" t="s">
        <v>165</v>
      </c>
      <c r="K46" s="216"/>
      <c r="L46" s="216"/>
      <c r="M46" s="216"/>
      <c r="N46" s="216"/>
      <c r="O46" s="216"/>
      <c r="P46" s="216"/>
      <c r="Q46" s="216"/>
    </row>
    <row r="47">
      <c r="A47" s="11" t="s">
        <v>5</v>
      </c>
      <c r="B47" s="90" t="s">
        <v>59</v>
      </c>
      <c r="C47" s="13">
        <v>8.0</v>
      </c>
      <c r="D47" s="14" t="str">
        <f t="shared" ref="D47:D54" si="3">UPPER(TEXT(WEEKDAY(DATEVALUE(CONCATENATE(C47,"/",$C$3,"/",$A$1))),"DDD"))</f>
        <v>SÁB.</v>
      </c>
      <c r="E47" s="13">
        <f t="shared" ref="E47:E103" si="4">$C$3</f>
        <v>1</v>
      </c>
      <c r="F47" s="87">
        <v>44564.0</v>
      </c>
      <c r="G47" s="56"/>
      <c r="H47" s="88">
        <v>495.76</v>
      </c>
      <c r="I47" s="58" t="s">
        <v>17</v>
      </c>
      <c r="J47" s="21" t="s">
        <v>60</v>
      </c>
      <c r="K47" s="59"/>
      <c r="L47" s="59"/>
      <c r="M47" s="59"/>
      <c r="N47" s="59"/>
      <c r="O47" s="59"/>
      <c r="P47" s="59"/>
      <c r="Q47" s="59"/>
    </row>
    <row r="48">
      <c r="A48" s="11" t="s">
        <v>5</v>
      </c>
      <c r="B48" s="39" t="s">
        <v>61</v>
      </c>
      <c r="C48" s="13">
        <v>8.0</v>
      </c>
      <c r="D48" s="14" t="str">
        <f t="shared" si="3"/>
        <v>SÁB.</v>
      </c>
      <c r="E48" s="13">
        <f t="shared" si="4"/>
        <v>1</v>
      </c>
      <c r="F48" s="87">
        <v>44564.0</v>
      </c>
      <c r="G48" s="45"/>
      <c r="H48" s="46">
        <v>117.09</v>
      </c>
      <c r="I48" s="58" t="s">
        <v>17</v>
      </c>
      <c r="J48" s="21" t="s">
        <v>62</v>
      </c>
      <c r="K48" s="39"/>
      <c r="L48" s="39"/>
      <c r="M48" s="39"/>
      <c r="N48" s="39"/>
      <c r="O48" s="39"/>
      <c r="P48" s="39"/>
      <c r="Q48" s="39"/>
    </row>
    <row r="49">
      <c r="A49" s="11" t="s">
        <v>5</v>
      </c>
      <c r="B49" s="83" t="s">
        <v>442</v>
      </c>
      <c r="C49" s="207">
        <v>8.0</v>
      </c>
      <c r="D49" s="81" t="str">
        <f t="shared" si="3"/>
        <v>SÁB.</v>
      </c>
      <c r="E49" s="207">
        <f t="shared" si="4"/>
        <v>1</v>
      </c>
      <c r="F49" s="87">
        <v>44564.0</v>
      </c>
      <c r="G49" s="70"/>
      <c r="H49" s="36">
        <v>39.9</v>
      </c>
      <c r="I49" s="47" t="s">
        <v>17</v>
      </c>
      <c r="J49" s="103" t="s">
        <v>443</v>
      </c>
      <c r="K49" s="99"/>
      <c r="L49" s="99"/>
      <c r="M49" s="99"/>
      <c r="N49" s="99"/>
      <c r="O49" s="99"/>
      <c r="P49" s="99"/>
      <c r="Q49" s="99"/>
    </row>
    <row r="50">
      <c r="A50" s="11" t="s">
        <v>5</v>
      </c>
      <c r="B50" s="103" t="s">
        <v>334</v>
      </c>
      <c r="C50" s="13">
        <v>8.0</v>
      </c>
      <c r="D50" s="14" t="str">
        <f t="shared" si="3"/>
        <v>SÁB.</v>
      </c>
      <c r="E50" s="13">
        <f t="shared" si="4"/>
        <v>1</v>
      </c>
      <c r="F50" s="54"/>
      <c r="G50" s="70"/>
      <c r="H50" s="86">
        <v>16.36</v>
      </c>
      <c r="I50" s="105" t="s">
        <v>17</v>
      </c>
      <c r="J50" s="21" t="s">
        <v>131</v>
      </c>
      <c r="K50" s="84"/>
      <c r="L50" s="84"/>
      <c r="M50" s="84"/>
      <c r="N50" s="84"/>
      <c r="O50" s="84"/>
      <c r="P50" s="84"/>
      <c r="Q50" s="84"/>
    </row>
    <row r="51">
      <c r="A51" s="215" t="s">
        <v>5</v>
      </c>
      <c r="B51" s="141" t="s">
        <v>236</v>
      </c>
      <c r="C51" s="80">
        <v>8.0</v>
      </c>
      <c r="D51" s="81" t="str">
        <f t="shared" si="3"/>
        <v>SÁB.</v>
      </c>
      <c r="E51" s="13">
        <f t="shared" si="4"/>
        <v>1</v>
      </c>
      <c r="F51" s="35"/>
      <c r="G51" s="70"/>
      <c r="H51" s="86">
        <v>42.36</v>
      </c>
      <c r="I51" s="105" t="s">
        <v>252</v>
      </c>
      <c r="J51" s="199" t="s">
        <v>20</v>
      </c>
      <c r="K51" s="70"/>
      <c r="L51" s="70"/>
      <c r="M51" s="70"/>
      <c r="N51" s="70"/>
      <c r="O51" s="70"/>
      <c r="P51" s="70"/>
      <c r="Q51" s="70"/>
    </row>
    <row r="52">
      <c r="A52" s="11" t="s">
        <v>5</v>
      </c>
      <c r="B52" s="34" t="s">
        <v>444</v>
      </c>
      <c r="C52" s="13">
        <v>10.0</v>
      </c>
      <c r="D52" s="14" t="str">
        <f t="shared" si="3"/>
        <v>SEG.</v>
      </c>
      <c r="E52" s="13">
        <f t="shared" si="4"/>
        <v>1</v>
      </c>
      <c r="F52" s="87">
        <v>44564.0</v>
      </c>
      <c r="G52" s="56"/>
      <c r="H52" s="63">
        <v>643.0</v>
      </c>
      <c r="I52" s="58" t="s">
        <v>17</v>
      </c>
      <c r="J52" s="21" t="s">
        <v>67</v>
      </c>
      <c r="K52" s="59"/>
      <c r="L52" s="59"/>
      <c r="M52" s="59"/>
      <c r="N52" s="59"/>
      <c r="O52" s="59"/>
      <c r="P52" s="59"/>
      <c r="Q52" s="59"/>
    </row>
    <row r="53">
      <c r="A53" s="11" t="s">
        <v>5</v>
      </c>
      <c r="B53" s="179" t="s">
        <v>21</v>
      </c>
      <c r="C53" s="62">
        <v>10.0</v>
      </c>
      <c r="D53" s="25" t="str">
        <f t="shared" si="3"/>
        <v>SEG.</v>
      </c>
      <c r="E53" s="13">
        <f t="shared" si="4"/>
        <v>1</v>
      </c>
      <c r="F53" s="26"/>
      <c r="G53" s="56"/>
      <c r="H53" s="63">
        <v>227.35</v>
      </c>
      <c r="I53" s="33" t="s">
        <v>249</v>
      </c>
      <c r="J53" s="173" t="s">
        <v>22</v>
      </c>
      <c r="K53" s="56"/>
      <c r="L53" s="56"/>
      <c r="M53" s="56"/>
      <c r="N53" s="56"/>
      <c r="O53" s="56"/>
      <c r="P53" s="56"/>
      <c r="Q53" s="56"/>
    </row>
    <row r="54">
      <c r="A54" s="11" t="s">
        <v>5</v>
      </c>
      <c r="B54" s="177" t="s">
        <v>84</v>
      </c>
      <c r="C54" s="148">
        <v>11.0</v>
      </c>
      <c r="D54" s="25" t="str">
        <f t="shared" si="3"/>
        <v>TER.</v>
      </c>
      <c r="E54" s="13">
        <f t="shared" si="4"/>
        <v>1</v>
      </c>
      <c r="F54" s="87">
        <v>44565.0</v>
      </c>
      <c r="G54" s="56"/>
      <c r="H54" s="101">
        <f>SUM(H55:H69)</f>
        <v>1365.25</v>
      </c>
      <c r="I54" s="23" t="s">
        <v>17</v>
      </c>
      <c r="J54" s="40"/>
      <c r="K54" s="56"/>
      <c r="L54" s="56"/>
      <c r="M54" s="56"/>
      <c r="N54" s="56"/>
      <c r="O54" s="56"/>
      <c r="P54" s="56"/>
      <c r="Q54" s="56"/>
    </row>
    <row r="55" outlineLevel="1">
      <c r="A55" s="11" t="s">
        <v>40</v>
      </c>
      <c r="B55" s="83" t="s">
        <v>601</v>
      </c>
      <c r="C55" s="194"/>
      <c r="D55" s="195"/>
      <c r="E55" s="193">
        <f t="shared" si="4"/>
        <v>1</v>
      </c>
      <c r="F55" s="196">
        <v>44540.0</v>
      </c>
      <c r="G55" s="70"/>
      <c r="H55" s="36">
        <v>16.24</v>
      </c>
      <c r="I55" s="70"/>
      <c r="J55" s="83" t="s">
        <v>88</v>
      </c>
      <c r="K55" s="84"/>
      <c r="L55" s="84"/>
      <c r="M55" s="84"/>
      <c r="N55" s="84"/>
      <c r="O55" s="84"/>
      <c r="P55" s="84"/>
      <c r="Q55" s="84"/>
    </row>
    <row r="56" outlineLevel="1">
      <c r="A56" s="11" t="s">
        <v>40</v>
      </c>
      <c r="B56" s="44" t="s">
        <v>372</v>
      </c>
      <c r="C56" s="13"/>
      <c r="D56" s="14"/>
      <c r="E56" s="13">
        <f t="shared" si="4"/>
        <v>1</v>
      </c>
      <c r="F56" s="196">
        <v>44540.0</v>
      </c>
      <c r="G56" s="45"/>
      <c r="H56" s="46">
        <v>88.9</v>
      </c>
      <c r="I56" s="58"/>
      <c r="J56" s="21" t="s">
        <v>215</v>
      </c>
      <c r="K56" s="21"/>
      <c r="L56" s="21"/>
      <c r="M56" s="21"/>
      <c r="N56" s="21"/>
      <c r="O56" s="39"/>
      <c r="P56" s="39"/>
      <c r="Q56" s="39"/>
    </row>
    <row r="57" outlineLevel="1">
      <c r="A57" s="11" t="s">
        <v>40</v>
      </c>
      <c r="B57" s="76" t="s">
        <v>520</v>
      </c>
      <c r="C57" s="73"/>
      <c r="D57" s="74"/>
      <c r="E57" s="193">
        <f t="shared" si="4"/>
        <v>1</v>
      </c>
      <c r="F57" s="196">
        <v>44544.0</v>
      </c>
      <c r="G57" s="31"/>
      <c r="H57" s="32">
        <v>33.99</v>
      </c>
      <c r="I57" s="71"/>
      <c r="J57" s="76" t="s">
        <v>647</v>
      </c>
      <c r="K57" s="77"/>
      <c r="L57" s="77"/>
      <c r="M57" s="77"/>
      <c r="N57" s="77"/>
      <c r="O57" s="77"/>
      <c r="P57" s="77"/>
      <c r="Q57" s="77"/>
    </row>
    <row r="58" outlineLevel="1">
      <c r="A58" s="11" t="s">
        <v>40</v>
      </c>
      <c r="B58" s="76" t="s">
        <v>596</v>
      </c>
      <c r="C58" s="155"/>
      <c r="D58" s="156"/>
      <c r="E58" s="193">
        <f t="shared" si="4"/>
        <v>1</v>
      </c>
      <c r="F58" s="54">
        <v>44548.0</v>
      </c>
      <c r="G58" s="31"/>
      <c r="H58" s="32">
        <v>149.99</v>
      </c>
      <c r="I58" s="23"/>
      <c r="J58" s="79" t="s">
        <v>399</v>
      </c>
      <c r="K58" s="77"/>
      <c r="L58" s="77"/>
      <c r="M58" s="77"/>
      <c r="N58" s="77"/>
      <c r="O58" s="77"/>
      <c r="P58" s="77"/>
      <c r="Q58" s="77"/>
    </row>
    <row r="59" outlineLevel="1">
      <c r="A59" s="11" t="s">
        <v>40</v>
      </c>
      <c r="B59" s="179" t="s">
        <v>21</v>
      </c>
      <c r="C59" s="62"/>
      <c r="D59" s="25"/>
      <c r="E59" s="193">
        <f t="shared" si="4"/>
        <v>1</v>
      </c>
      <c r="F59" s="54">
        <v>44554.0</v>
      </c>
      <c r="G59" s="56"/>
      <c r="H59" s="63">
        <v>379.6</v>
      </c>
      <c r="I59" s="33"/>
      <c r="J59" s="220" t="s">
        <v>648</v>
      </c>
      <c r="K59" s="56"/>
      <c r="L59" s="56"/>
      <c r="M59" s="56"/>
      <c r="N59" s="56"/>
      <c r="O59" s="56"/>
      <c r="P59" s="56"/>
      <c r="Q59" s="56"/>
    </row>
    <row r="60" outlineLevel="1">
      <c r="A60" s="11" t="s">
        <v>40</v>
      </c>
      <c r="B60" s="76" t="s">
        <v>649</v>
      </c>
      <c r="C60" s="155"/>
      <c r="D60" s="156"/>
      <c r="E60" s="193">
        <f t="shared" si="4"/>
        <v>1</v>
      </c>
      <c r="F60" s="54">
        <v>44554.0</v>
      </c>
      <c r="G60" s="31"/>
      <c r="H60" s="32">
        <v>50.0</v>
      </c>
      <c r="I60" s="31"/>
      <c r="J60" s="76" t="s">
        <v>650</v>
      </c>
      <c r="K60" s="77"/>
      <c r="L60" s="77"/>
      <c r="M60" s="77"/>
      <c r="N60" s="77"/>
      <c r="O60" s="77"/>
      <c r="P60" s="77"/>
      <c r="Q60" s="77"/>
    </row>
    <row r="61" outlineLevel="1">
      <c r="A61" s="11" t="s">
        <v>40</v>
      </c>
      <c r="B61" s="76" t="s">
        <v>649</v>
      </c>
      <c r="C61" s="155"/>
      <c r="D61" s="156"/>
      <c r="E61" s="193">
        <f t="shared" si="4"/>
        <v>1</v>
      </c>
      <c r="F61" s="54">
        <v>44554.0</v>
      </c>
      <c r="G61" s="31"/>
      <c r="H61" s="32">
        <v>50.0</v>
      </c>
      <c r="I61" s="31"/>
      <c r="J61" s="76" t="s">
        <v>650</v>
      </c>
      <c r="K61" s="77"/>
      <c r="L61" s="77"/>
      <c r="M61" s="77"/>
      <c r="N61" s="77"/>
      <c r="O61" s="77"/>
      <c r="P61" s="77"/>
      <c r="Q61" s="77"/>
    </row>
    <row r="62" outlineLevel="1">
      <c r="A62" s="11" t="s">
        <v>40</v>
      </c>
      <c r="B62" s="79" t="s">
        <v>649</v>
      </c>
      <c r="C62" s="194"/>
      <c r="D62" s="195"/>
      <c r="E62" s="210">
        <f t="shared" si="4"/>
        <v>1</v>
      </c>
      <c r="F62" s="211">
        <v>44554.0</v>
      </c>
      <c r="G62" s="70"/>
      <c r="H62" s="151">
        <v>50.0</v>
      </c>
      <c r="I62" s="70"/>
      <c r="J62" s="83" t="s">
        <v>650</v>
      </c>
      <c r="K62" s="84"/>
      <c r="L62" s="84"/>
      <c r="M62" s="84"/>
      <c r="N62" s="84"/>
      <c r="O62" s="84"/>
      <c r="P62" s="84"/>
      <c r="Q62" s="84"/>
    </row>
    <row r="63" outlineLevel="1">
      <c r="A63" s="11" t="s">
        <v>40</v>
      </c>
      <c r="B63" s="44" t="s">
        <v>35</v>
      </c>
      <c r="C63" s="13"/>
      <c r="D63" s="14"/>
      <c r="E63" s="13">
        <f t="shared" si="4"/>
        <v>1</v>
      </c>
      <c r="F63" s="211">
        <v>44554.0</v>
      </c>
      <c r="G63" s="46"/>
      <c r="H63" s="46">
        <v>116.48</v>
      </c>
      <c r="I63" s="47"/>
      <c r="J63" s="79" t="s">
        <v>648</v>
      </c>
      <c r="K63" s="39"/>
      <c r="L63" s="39"/>
      <c r="M63" s="39"/>
      <c r="N63" s="39"/>
      <c r="O63" s="39"/>
      <c r="P63" s="39"/>
      <c r="Q63" s="39"/>
    </row>
    <row r="64" outlineLevel="1">
      <c r="A64" s="11" t="s">
        <v>40</v>
      </c>
      <c r="B64" s="76" t="s">
        <v>563</v>
      </c>
      <c r="C64" s="155"/>
      <c r="D64" s="156"/>
      <c r="E64" s="193">
        <f t="shared" si="4"/>
        <v>1</v>
      </c>
      <c r="F64" s="54">
        <v>44555.0</v>
      </c>
      <c r="G64" s="31"/>
      <c r="H64" s="32">
        <v>31.9</v>
      </c>
      <c r="I64" s="31"/>
      <c r="J64" s="83" t="s">
        <v>88</v>
      </c>
      <c r="K64" s="77"/>
      <c r="L64" s="77"/>
      <c r="M64" s="77"/>
      <c r="N64" s="77"/>
      <c r="O64" s="77"/>
      <c r="P64" s="77"/>
      <c r="Q64" s="77"/>
    </row>
    <row r="65" outlineLevel="1">
      <c r="A65" s="11" t="s">
        <v>40</v>
      </c>
      <c r="B65" s="79" t="s">
        <v>87</v>
      </c>
      <c r="C65" s="194"/>
      <c r="D65" s="195"/>
      <c r="E65" s="193">
        <f t="shared" si="4"/>
        <v>1</v>
      </c>
      <c r="F65" s="196">
        <v>44556.0</v>
      </c>
      <c r="G65" s="70"/>
      <c r="H65" s="151">
        <v>9.9</v>
      </c>
      <c r="I65" s="70"/>
      <c r="J65" s="83" t="s">
        <v>88</v>
      </c>
      <c r="K65" s="84"/>
      <c r="L65" s="84"/>
      <c r="M65" s="84"/>
      <c r="N65" s="84"/>
      <c r="O65" s="84"/>
      <c r="P65" s="84"/>
      <c r="Q65" s="84"/>
    </row>
    <row r="66" outlineLevel="1">
      <c r="A66" s="11" t="s">
        <v>40</v>
      </c>
      <c r="B66" s="44" t="s">
        <v>651</v>
      </c>
      <c r="C66" s="187"/>
      <c r="D66" s="108"/>
      <c r="E66" s="193">
        <f t="shared" si="4"/>
        <v>1</v>
      </c>
      <c r="F66" s="100">
        <v>44559.0</v>
      </c>
      <c r="G66" s="45"/>
      <c r="H66" s="46">
        <v>262.36</v>
      </c>
      <c r="I66" s="45"/>
      <c r="J66" s="44" t="s">
        <v>652</v>
      </c>
      <c r="K66" s="68"/>
      <c r="L66" s="68"/>
      <c r="M66" s="68"/>
      <c r="N66" s="68"/>
      <c r="O66" s="68"/>
      <c r="P66" s="68"/>
      <c r="Q66" s="68"/>
    </row>
    <row r="67" outlineLevel="1">
      <c r="A67" s="11" t="s">
        <v>40</v>
      </c>
      <c r="B67" s="83" t="s">
        <v>514</v>
      </c>
      <c r="C67" s="194"/>
      <c r="D67" s="195"/>
      <c r="E67" s="193">
        <f t="shared" si="4"/>
        <v>1</v>
      </c>
      <c r="F67" s="196">
        <v>44560.0</v>
      </c>
      <c r="G67" s="70"/>
      <c r="H67" s="36">
        <v>44.9</v>
      </c>
      <c r="I67" s="70"/>
      <c r="J67" s="79" t="s">
        <v>513</v>
      </c>
      <c r="K67" s="84"/>
      <c r="L67" s="84"/>
      <c r="M67" s="84"/>
      <c r="N67" s="84"/>
      <c r="O67" s="84"/>
      <c r="P67" s="84"/>
      <c r="Q67" s="84"/>
    </row>
    <row r="68" outlineLevel="1">
      <c r="A68" s="11" t="s">
        <v>40</v>
      </c>
      <c r="B68" s="83" t="s">
        <v>653</v>
      </c>
      <c r="C68" s="80"/>
      <c r="D68" s="81"/>
      <c r="E68" s="13">
        <f t="shared" si="4"/>
        <v>1</v>
      </c>
      <c r="F68" s="196">
        <v>44561.0</v>
      </c>
      <c r="G68" s="70"/>
      <c r="H68" s="36">
        <v>36.0</v>
      </c>
      <c r="I68" s="152"/>
      <c r="J68" s="103" t="s">
        <v>654</v>
      </c>
      <c r="K68" s="106"/>
      <c r="L68" s="106"/>
      <c r="M68" s="106"/>
      <c r="N68" s="106"/>
      <c r="O68" s="84"/>
      <c r="P68" s="84"/>
      <c r="Q68" s="84"/>
    </row>
    <row r="69" outlineLevel="1">
      <c r="A69" s="11" t="s">
        <v>40</v>
      </c>
      <c r="B69" s="76" t="s">
        <v>515</v>
      </c>
      <c r="C69" s="155"/>
      <c r="D69" s="156"/>
      <c r="E69" s="193">
        <f t="shared" si="4"/>
        <v>1</v>
      </c>
      <c r="F69" s="54">
        <v>44562.0</v>
      </c>
      <c r="G69" s="31"/>
      <c r="H69" s="32">
        <v>44.99</v>
      </c>
      <c r="I69" s="31"/>
      <c r="J69" s="76" t="s">
        <v>516</v>
      </c>
      <c r="K69" s="77"/>
      <c r="L69" s="77"/>
      <c r="M69" s="77"/>
      <c r="N69" s="77"/>
      <c r="O69" s="77"/>
      <c r="P69" s="77"/>
      <c r="Q69" s="77"/>
    </row>
    <row r="70">
      <c r="A70" s="102" t="s">
        <v>5</v>
      </c>
      <c r="B70" s="198" t="s">
        <v>518</v>
      </c>
      <c r="C70" s="80">
        <v>11.0</v>
      </c>
      <c r="D70" s="81" t="str">
        <f t="shared" ref="D70:D103" si="5">UPPER(TEXT(WEEKDAY(DATEVALUE(CONCATENATE(C70,"/",$C$3,"/",$A$1))),"DDD"))</f>
        <v>TER.</v>
      </c>
      <c r="E70" s="207">
        <f t="shared" si="4"/>
        <v>1</v>
      </c>
      <c r="F70" s="35"/>
      <c r="G70" s="70"/>
      <c r="H70" s="36">
        <v>68.62</v>
      </c>
      <c r="I70" s="105" t="s">
        <v>252</v>
      </c>
      <c r="J70" s="199" t="s">
        <v>22</v>
      </c>
      <c r="K70" s="70"/>
      <c r="L70" s="70"/>
      <c r="M70" s="70"/>
      <c r="N70" s="70"/>
      <c r="O70" s="70"/>
      <c r="P70" s="70"/>
      <c r="Q70" s="70"/>
    </row>
    <row r="71">
      <c r="A71" s="11" t="s">
        <v>5</v>
      </c>
      <c r="B71" s="103" t="s">
        <v>655</v>
      </c>
      <c r="C71" s="13">
        <v>11.0</v>
      </c>
      <c r="D71" s="14" t="str">
        <f t="shared" si="5"/>
        <v>TER.</v>
      </c>
      <c r="E71" s="13">
        <f t="shared" si="4"/>
        <v>1</v>
      </c>
      <c r="F71" s="54"/>
      <c r="G71" s="70"/>
      <c r="H71" s="86">
        <v>16.9</v>
      </c>
      <c r="I71" s="105" t="s">
        <v>17</v>
      </c>
      <c r="J71" s="21" t="s">
        <v>131</v>
      </c>
      <c r="K71" s="84"/>
      <c r="L71" s="84"/>
      <c r="M71" s="84"/>
      <c r="N71" s="84"/>
      <c r="O71" s="84"/>
      <c r="P71" s="84"/>
      <c r="Q71" s="84"/>
    </row>
    <row r="72">
      <c r="A72" s="89" t="s">
        <v>5</v>
      </c>
      <c r="B72" s="90" t="s">
        <v>93</v>
      </c>
      <c r="C72" s="13">
        <v>14.0</v>
      </c>
      <c r="D72" s="14" t="str">
        <f t="shared" si="5"/>
        <v>SEX.</v>
      </c>
      <c r="E72" s="13">
        <f t="shared" si="4"/>
        <v>1</v>
      </c>
      <c r="F72" s="87">
        <v>44566.0</v>
      </c>
      <c r="G72" s="92"/>
      <c r="H72" s="88">
        <v>1644.03</v>
      </c>
      <c r="I72" s="18" t="s">
        <v>13</v>
      </c>
      <c r="J72" s="21" t="s">
        <v>94</v>
      </c>
      <c r="K72" s="93"/>
      <c r="L72" s="93"/>
      <c r="M72" s="93"/>
      <c r="N72" s="93"/>
      <c r="O72" s="93"/>
      <c r="P72" s="93"/>
      <c r="Q72" s="93"/>
    </row>
    <row r="73">
      <c r="A73" s="102" t="s">
        <v>5</v>
      </c>
      <c r="B73" s="198" t="s">
        <v>518</v>
      </c>
      <c r="C73" s="80">
        <v>14.0</v>
      </c>
      <c r="D73" s="81" t="str">
        <f t="shared" si="5"/>
        <v>SEX.</v>
      </c>
      <c r="E73" s="207">
        <f t="shared" si="4"/>
        <v>1</v>
      </c>
      <c r="F73" s="35"/>
      <c r="G73" s="70"/>
      <c r="H73" s="36">
        <v>26.27</v>
      </c>
      <c r="I73" s="105" t="s">
        <v>252</v>
      </c>
      <c r="J73" s="199" t="s">
        <v>22</v>
      </c>
      <c r="K73" s="70"/>
      <c r="L73" s="70"/>
      <c r="M73" s="70"/>
      <c r="N73" s="70"/>
      <c r="O73" s="70"/>
      <c r="P73" s="70"/>
      <c r="Q73" s="70"/>
    </row>
    <row r="74">
      <c r="A74" s="11" t="s">
        <v>5</v>
      </c>
      <c r="B74" s="178" t="s">
        <v>656</v>
      </c>
      <c r="C74" s="66">
        <v>15.0</v>
      </c>
      <c r="D74" s="14" t="str">
        <f t="shared" si="5"/>
        <v>SÁB.</v>
      </c>
      <c r="E74" s="144">
        <f t="shared" si="4"/>
        <v>1</v>
      </c>
      <c r="F74" s="43"/>
      <c r="G74" s="46">
        <v>2813.98</v>
      </c>
      <c r="H74" s="45"/>
      <c r="I74" s="65" t="s">
        <v>261</v>
      </c>
      <c r="J74" s="42" t="s">
        <v>64</v>
      </c>
      <c r="K74" s="45"/>
      <c r="L74" s="45"/>
      <c r="M74" s="45"/>
      <c r="N74" s="45"/>
      <c r="O74" s="45"/>
      <c r="P74" s="45"/>
      <c r="Q74" s="45"/>
    </row>
    <row r="75">
      <c r="A75" s="11" t="s">
        <v>25</v>
      </c>
      <c r="B75" s="39" t="s">
        <v>26</v>
      </c>
      <c r="C75" s="66">
        <v>15.0</v>
      </c>
      <c r="D75" s="14" t="str">
        <f t="shared" si="5"/>
        <v>SÁB.</v>
      </c>
      <c r="E75" s="13">
        <f t="shared" si="4"/>
        <v>1</v>
      </c>
      <c r="F75" s="87"/>
      <c r="G75" s="45"/>
      <c r="H75" s="46">
        <v>2813.98</v>
      </c>
      <c r="I75" s="67" t="s">
        <v>261</v>
      </c>
      <c r="J75" s="42"/>
      <c r="K75" s="68"/>
      <c r="L75" s="68"/>
      <c r="M75" s="68"/>
      <c r="N75" s="68"/>
      <c r="O75" s="68"/>
      <c r="P75" s="68"/>
      <c r="Q75" s="68"/>
    </row>
    <row r="76">
      <c r="A76" s="11" t="s">
        <v>25</v>
      </c>
      <c r="B76" s="61" t="s">
        <v>27</v>
      </c>
      <c r="C76" s="148">
        <v>15.0</v>
      </c>
      <c r="D76" s="25" t="str">
        <f t="shared" si="5"/>
        <v>SÁB.</v>
      </c>
      <c r="E76" s="13">
        <f t="shared" si="4"/>
        <v>1</v>
      </c>
      <c r="F76" s="87"/>
      <c r="G76" s="63">
        <v>2813.98</v>
      </c>
      <c r="H76" s="56"/>
      <c r="I76" s="64" t="s">
        <v>17</v>
      </c>
      <c r="J76" s="40"/>
      <c r="K76" s="59"/>
      <c r="L76" s="59"/>
      <c r="M76" s="59"/>
      <c r="N76" s="59"/>
      <c r="O76" s="59"/>
      <c r="P76" s="59"/>
      <c r="Q76" s="59"/>
    </row>
    <row r="77">
      <c r="A77" s="11" t="s">
        <v>25</v>
      </c>
      <c r="B77" s="177" t="s">
        <v>26</v>
      </c>
      <c r="C77" s="148">
        <v>15.0</v>
      </c>
      <c r="D77" s="25" t="str">
        <f t="shared" si="5"/>
        <v>SÁB.</v>
      </c>
      <c r="E77" s="184">
        <f t="shared" si="4"/>
        <v>1</v>
      </c>
      <c r="F77" s="26"/>
      <c r="G77" s="56"/>
      <c r="H77" s="63">
        <v>350.0</v>
      </c>
      <c r="I77" s="64" t="s">
        <v>17</v>
      </c>
      <c r="J77" s="218"/>
      <c r="K77" s="56"/>
      <c r="L77" s="56"/>
      <c r="M77" s="56"/>
      <c r="N77" s="56"/>
      <c r="O77" s="56"/>
      <c r="P77" s="56"/>
      <c r="Q77" s="56"/>
    </row>
    <row r="78">
      <c r="A78" s="11" t="s">
        <v>25</v>
      </c>
      <c r="B78" s="185" t="s">
        <v>27</v>
      </c>
      <c r="C78" s="66">
        <v>15.0</v>
      </c>
      <c r="D78" s="14" t="str">
        <f t="shared" si="5"/>
        <v>SÁB.</v>
      </c>
      <c r="E78" s="144">
        <f t="shared" si="4"/>
        <v>1</v>
      </c>
      <c r="F78" s="43"/>
      <c r="G78" s="46">
        <v>350.0</v>
      </c>
      <c r="H78" s="45"/>
      <c r="I78" s="67" t="s">
        <v>13</v>
      </c>
      <c r="J78" s="188"/>
      <c r="K78" s="45"/>
      <c r="L78" s="45"/>
      <c r="M78" s="45"/>
      <c r="N78" s="45"/>
      <c r="O78" s="45"/>
      <c r="P78" s="45"/>
      <c r="Q78" s="45"/>
    </row>
    <row r="79">
      <c r="A79" s="11" t="s">
        <v>5</v>
      </c>
      <c r="B79" s="39" t="s">
        <v>102</v>
      </c>
      <c r="C79" s="13">
        <v>15.0</v>
      </c>
      <c r="D79" s="14" t="str">
        <f t="shared" si="5"/>
        <v>SÁB.</v>
      </c>
      <c r="E79" s="13">
        <f t="shared" si="4"/>
        <v>1</v>
      </c>
      <c r="F79" s="87">
        <v>44564.0</v>
      </c>
      <c r="G79" s="45"/>
      <c r="H79" s="46">
        <v>182.43</v>
      </c>
      <c r="I79" s="58" t="s">
        <v>17</v>
      </c>
      <c r="J79" s="21" t="s">
        <v>75</v>
      </c>
      <c r="K79" s="39"/>
      <c r="L79" s="39"/>
      <c r="M79" s="39"/>
      <c r="N79" s="39"/>
      <c r="O79" s="39"/>
      <c r="P79" s="39"/>
      <c r="Q79" s="39"/>
    </row>
    <row r="80">
      <c r="A80" s="11" t="s">
        <v>5</v>
      </c>
      <c r="B80" s="61" t="s">
        <v>103</v>
      </c>
      <c r="C80" s="13">
        <v>15.0</v>
      </c>
      <c r="D80" s="14" t="str">
        <f t="shared" si="5"/>
        <v>SÁB.</v>
      </c>
      <c r="E80" s="13">
        <f t="shared" si="4"/>
        <v>1</v>
      </c>
      <c r="F80" s="87">
        <v>44564.0</v>
      </c>
      <c r="G80" s="56"/>
      <c r="H80" s="63">
        <v>182.43</v>
      </c>
      <c r="I80" s="58" t="s">
        <v>17</v>
      </c>
      <c r="J80" s="21" t="s">
        <v>75</v>
      </c>
      <c r="K80" s="61"/>
      <c r="L80" s="61"/>
      <c r="M80" s="61"/>
      <c r="N80" s="61"/>
      <c r="O80" s="61"/>
      <c r="P80" s="61"/>
      <c r="Q80" s="61"/>
    </row>
    <row r="81">
      <c r="A81" s="11" t="s">
        <v>5</v>
      </c>
      <c r="B81" s="39" t="s">
        <v>104</v>
      </c>
      <c r="C81" s="13">
        <v>15.0</v>
      </c>
      <c r="D81" s="14" t="str">
        <f t="shared" si="5"/>
        <v>SÁB.</v>
      </c>
      <c r="E81" s="13">
        <f t="shared" si="4"/>
        <v>1</v>
      </c>
      <c r="F81" s="87">
        <v>44564.0</v>
      </c>
      <c r="G81" s="45"/>
      <c r="H81" s="46">
        <v>230.66</v>
      </c>
      <c r="I81" s="58" t="s">
        <v>17</v>
      </c>
      <c r="J81" s="21" t="s">
        <v>75</v>
      </c>
      <c r="K81" s="39"/>
      <c r="L81" s="39"/>
      <c r="M81" s="39"/>
      <c r="N81" s="39"/>
      <c r="O81" s="39"/>
      <c r="P81" s="39"/>
      <c r="Q81" s="39"/>
    </row>
    <row r="82">
      <c r="A82" s="11" t="s">
        <v>5</v>
      </c>
      <c r="B82" s="44" t="s">
        <v>657</v>
      </c>
      <c r="C82" s="13">
        <v>17.0</v>
      </c>
      <c r="D82" s="14" t="str">
        <f t="shared" si="5"/>
        <v>SEG.</v>
      </c>
      <c r="E82" s="13">
        <f t="shared" si="4"/>
        <v>1</v>
      </c>
      <c r="F82" s="43"/>
      <c r="G82" s="45"/>
      <c r="H82" s="46">
        <v>8.0</v>
      </c>
      <c r="I82" s="47" t="s">
        <v>17</v>
      </c>
      <c r="J82" s="44" t="s">
        <v>29</v>
      </c>
      <c r="K82" s="39"/>
      <c r="L82" s="39"/>
      <c r="M82" s="39"/>
      <c r="N82" s="39"/>
      <c r="O82" s="39"/>
      <c r="P82" s="39"/>
      <c r="Q82" s="39"/>
    </row>
    <row r="83">
      <c r="A83" s="11" t="s">
        <v>5</v>
      </c>
      <c r="B83" s="103" t="s">
        <v>543</v>
      </c>
      <c r="C83" s="13">
        <v>17.0</v>
      </c>
      <c r="D83" s="14" t="str">
        <f t="shared" si="5"/>
        <v>SEG.</v>
      </c>
      <c r="E83" s="13">
        <f t="shared" si="4"/>
        <v>1</v>
      </c>
      <c r="F83" s="54"/>
      <c r="G83" s="70"/>
      <c r="H83" s="86">
        <v>138.99</v>
      </c>
      <c r="I83" s="105" t="s">
        <v>17</v>
      </c>
      <c r="J83" s="21" t="s">
        <v>658</v>
      </c>
      <c r="K83" s="84"/>
      <c r="L83" s="84"/>
      <c r="M83" s="84"/>
      <c r="N83" s="84"/>
      <c r="O83" s="84"/>
      <c r="P83" s="84"/>
      <c r="Q83" s="84"/>
    </row>
    <row r="84">
      <c r="A84" s="11" t="s">
        <v>5</v>
      </c>
      <c r="B84" s="42" t="s">
        <v>109</v>
      </c>
      <c r="C84" s="13">
        <v>18.0</v>
      </c>
      <c r="D84" s="14" t="str">
        <f t="shared" si="5"/>
        <v>TER.</v>
      </c>
      <c r="E84" s="13">
        <f t="shared" si="4"/>
        <v>1</v>
      </c>
      <c r="F84" s="14"/>
      <c r="G84" s="53">
        <v>2500.0</v>
      </c>
      <c r="H84" s="53"/>
      <c r="I84" s="58" t="s">
        <v>15</v>
      </c>
      <c r="J84" s="44" t="s">
        <v>411</v>
      </c>
      <c r="K84" s="42"/>
      <c r="L84" s="96"/>
      <c r="M84" s="21"/>
      <c r="N84" s="21"/>
      <c r="O84" s="39"/>
      <c r="P84" s="39"/>
      <c r="Q84" s="39"/>
    </row>
    <row r="85">
      <c r="A85" s="97" t="s">
        <v>5</v>
      </c>
      <c r="B85" s="76" t="s">
        <v>114</v>
      </c>
      <c r="C85" s="193">
        <v>18.0</v>
      </c>
      <c r="D85" s="74" t="str">
        <f t="shared" si="5"/>
        <v>TER.</v>
      </c>
      <c r="E85" s="193">
        <f t="shared" si="4"/>
        <v>1</v>
      </c>
      <c r="F85" s="30"/>
      <c r="G85" s="31"/>
      <c r="H85" s="153">
        <v>2500.0</v>
      </c>
      <c r="I85" s="58" t="s">
        <v>15</v>
      </c>
      <c r="J85" s="76" t="s">
        <v>115</v>
      </c>
      <c r="K85" s="77"/>
      <c r="L85" s="77"/>
      <c r="M85" s="77"/>
      <c r="N85" s="77"/>
      <c r="O85" s="77"/>
      <c r="P85" s="77"/>
      <c r="Q85" s="77"/>
    </row>
    <row r="86">
      <c r="A86" s="11" t="s">
        <v>5</v>
      </c>
      <c r="B86" s="179" t="s">
        <v>21</v>
      </c>
      <c r="C86" s="62">
        <v>19.0</v>
      </c>
      <c r="D86" s="25" t="str">
        <f t="shared" si="5"/>
        <v>QUA.</v>
      </c>
      <c r="E86" s="13">
        <f t="shared" si="4"/>
        <v>1</v>
      </c>
      <c r="F86" s="26"/>
      <c r="G86" s="56"/>
      <c r="H86" s="63">
        <v>130.0</v>
      </c>
      <c r="I86" s="33" t="s">
        <v>252</v>
      </c>
      <c r="J86" s="173" t="s">
        <v>22</v>
      </c>
      <c r="K86" s="56"/>
      <c r="L86" s="56"/>
      <c r="M86" s="56"/>
      <c r="N86" s="56"/>
      <c r="O86" s="56"/>
      <c r="P86" s="56"/>
      <c r="Q86" s="56"/>
    </row>
    <row r="87">
      <c r="A87" s="11" t="s">
        <v>5</v>
      </c>
      <c r="B87" s="179" t="s">
        <v>21</v>
      </c>
      <c r="C87" s="62">
        <v>19.0</v>
      </c>
      <c r="D87" s="25" t="str">
        <f t="shared" si="5"/>
        <v>QUA.</v>
      </c>
      <c r="E87" s="13">
        <f t="shared" si="4"/>
        <v>1</v>
      </c>
      <c r="F87" s="26"/>
      <c r="G87" s="56"/>
      <c r="H87" s="63">
        <v>60.0</v>
      </c>
      <c r="I87" s="33" t="s">
        <v>249</v>
      </c>
      <c r="J87" s="173" t="s">
        <v>22</v>
      </c>
      <c r="K87" s="56"/>
      <c r="L87" s="56"/>
      <c r="M87" s="56"/>
      <c r="N87" s="56"/>
      <c r="O87" s="56"/>
      <c r="P87" s="56"/>
      <c r="Q87" s="56"/>
    </row>
    <row r="88">
      <c r="A88" s="11" t="s">
        <v>5</v>
      </c>
      <c r="B88" s="44" t="s">
        <v>659</v>
      </c>
      <c r="C88" s="13">
        <v>19.0</v>
      </c>
      <c r="D88" s="14" t="str">
        <f t="shared" si="5"/>
        <v>QUA.</v>
      </c>
      <c r="E88" s="13">
        <f t="shared" si="4"/>
        <v>1</v>
      </c>
      <c r="F88" s="85"/>
      <c r="G88" s="45"/>
      <c r="H88" s="46">
        <v>16.58</v>
      </c>
      <c r="I88" s="58" t="s">
        <v>17</v>
      </c>
      <c r="J88" s="21" t="s">
        <v>20</v>
      </c>
      <c r="K88" s="21"/>
      <c r="L88" s="21"/>
      <c r="M88" s="21"/>
      <c r="N88" s="21"/>
      <c r="O88" s="39"/>
      <c r="P88" s="39"/>
      <c r="Q88" s="39"/>
    </row>
    <row r="89">
      <c r="A89" s="11" t="s">
        <v>5</v>
      </c>
      <c r="B89" s="39" t="s">
        <v>125</v>
      </c>
      <c r="C89" s="13">
        <v>20.0</v>
      </c>
      <c r="D89" s="14" t="str">
        <f t="shared" si="5"/>
        <v>QUI.</v>
      </c>
      <c r="E89" s="13">
        <f t="shared" si="4"/>
        <v>1</v>
      </c>
      <c r="F89" s="87">
        <v>44564.0</v>
      </c>
      <c r="G89" s="45"/>
      <c r="H89" s="46">
        <v>373.41</v>
      </c>
      <c r="I89" s="58" t="s">
        <v>17</v>
      </c>
      <c r="J89" s="21" t="s">
        <v>126</v>
      </c>
      <c r="K89" s="39"/>
      <c r="L89" s="39"/>
      <c r="M89" s="39"/>
      <c r="N89" s="39"/>
      <c r="O89" s="39"/>
      <c r="P89" s="39"/>
      <c r="Q89" s="39"/>
    </row>
    <row r="90">
      <c r="A90" s="102" t="s">
        <v>5</v>
      </c>
      <c r="B90" s="83" t="s">
        <v>660</v>
      </c>
      <c r="C90" s="80">
        <v>21.0</v>
      </c>
      <c r="D90" s="81" t="str">
        <f t="shared" si="5"/>
        <v>SEX.</v>
      </c>
      <c r="E90" s="207">
        <f t="shared" si="4"/>
        <v>1</v>
      </c>
      <c r="F90" s="35"/>
      <c r="G90" s="70"/>
      <c r="H90" s="36">
        <v>49.9</v>
      </c>
      <c r="I90" s="78" t="s">
        <v>17</v>
      </c>
      <c r="J90" s="199" t="s">
        <v>20</v>
      </c>
      <c r="K90" s="197"/>
      <c r="L90" s="197"/>
      <c r="M90" s="197"/>
      <c r="N90" s="197"/>
      <c r="O90" s="84"/>
      <c r="P90" s="84"/>
      <c r="Q90" s="84"/>
    </row>
    <row r="91">
      <c r="A91" s="11" t="s">
        <v>5</v>
      </c>
      <c r="B91" s="76" t="s">
        <v>661</v>
      </c>
      <c r="C91" s="80">
        <v>23.0</v>
      </c>
      <c r="D91" s="81" t="str">
        <f t="shared" si="5"/>
        <v>DOM.</v>
      </c>
      <c r="E91" s="193">
        <f t="shared" si="4"/>
        <v>1</v>
      </c>
      <c r="F91" s="54"/>
      <c r="G91" s="31"/>
      <c r="H91" s="32">
        <v>244.06</v>
      </c>
      <c r="I91" s="180" t="s">
        <v>17</v>
      </c>
      <c r="J91" s="83" t="s">
        <v>31</v>
      </c>
      <c r="K91" s="77"/>
      <c r="L91" s="77"/>
      <c r="M91" s="77"/>
      <c r="N91" s="77"/>
      <c r="O91" s="77"/>
      <c r="P91" s="77"/>
      <c r="Q91" s="77"/>
    </row>
    <row r="92">
      <c r="A92" s="11" t="s">
        <v>5</v>
      </c>
      <c r="B92" s="90" t="s">
        <v>91</v>
      </c>
      <c r="C92" s="13">
        <v>23.0</v>
      </c>
      <c r="D92" s="14" t="str">
        <f t="shared" si="5"/>
        <v>DOM.</v>
      </c>
      <c r="E92" s="13">
        <f t="shared" si="4"/>
        <v>1</v>
      </c>
      <c r="F92" s="26"/>
      <c r="G92" s="56"/>
      <c r="H92" s="88">
        <v>940.94</v>
      </c>
      <c r="I92" s="58" t="s">
        <v>17</v>
      </c>
      <c r="J92" s="21" t="s">
        <v>92</v>
      </c>
      <c r="K92" s="55"/>
      <c r="L92" s="55"/>
      <c r="M92" s="55"/>
      <c r="N92" s="55"/>
      <c r="O92" s="55"/>
      <c r="P92" s="55"/>
      <c r="Q92" s="55"/>
    </row>
    <row r="93">
      <c r="A93" s="11" t="s">
        <v>5</v>
      </c>
      <c r="B93" s="34" t="s">
        <v>373</v>
      </c>
      <c r="C93" s="13">
        <v>24.0</v>
      </c>
      <c r="D93" s="14" t="str">
        <f t="shared" si="5"/>
        <v>SEG.</v>
      </c>
      <c r="E93" s="13">
        <f t="shared" si="4"/>
        <v>1</v>
      </c>
      <c r="F93" s="94"/>
      <c r="G93" s="56"/>
      <c r="H93" s="63">
        <v>0.0</v>
      </c>
      <c r="I93" s="58" t="s">
        <v>17</v>
      </c>
      <c r="J93" s="21" t="s">
        <v>128</v>
      </c>
      <c r="K93" s="61"/>
      <c r="L93" s="61"/>
      <c r="M93" s="61"/>
      <c r="N93" s="61"/>
      <c r="O93" s="61"/>
      <c r="P93" s="61"/>
      <c r="Q93" s="61"/>
    </row>
    <row r="94">
      <c r="A94" s="11" t="s">
        <v>5</v>
      </c>
      <c r="B94" s="39" t="s">
        <v>134</v>
      </c>
      <c r="C94" s="13">
        <v>24.0</v>
      </c>
      <c r="D94" s="14" t="str">
        <f t="shared" si="5"/>
        <v>SEG.</v>
      </c>
      <c r="E94" s="13">
        <f t="shared" si="4"/>
        <v>1</v>
      </c>
      <c r="F94" s="43"/>
      <c r="G94" s="45"/>
      <c r="H94" s="46">
        <v>270.84</v>
      </c>
      <c r="I94" s="60" t="s">
        <v>13</v>
      </c>
      <c r="J94" s="21" t="s">
        <v>135</v>
      </c>
      <c r="K94" s="39"/>
      <c r="L94" s="39"/>
      <c r="M94" s="39"/>
      <c r="N94" s="39"/>
      <c r="O94" s="39"/>
      <c r="P94" s="39"/>
      <c r="Q94" s="39"/>
    </row>
    <row r="95">
      <c r="A95" s="11" t="s">
        <v>5</v>
      </c>
      <c r="B95" s="44" t="s">
        <v>662</v>
      </c>
      <c r="C95" s="13">
        <v>25.0</v>
      </c>
      <c r="D95" s="14" t="str">
        <f t="shared" si="5"/>
        <v>TER.</v>
      </c>
      <c r="E95" s="13">
        <f t="shared" si="4"/>
        <v>1</v>
      </c>
      <c r="F95" s="85"/>
      <c r="G95" s="45"/>
      <c r="H95" s="46">
        <v>19.69</v>
      </c>
      <c r="I95" s="58" t="s">
        <v>17</v>
      </c>
      <c r="J95" s="21" t="s">
        <v>20</v>
      </c>
      <c r="K95" s="21"/>
      <c r="L95" s="21"/>
      <c r="M95" s="21"/>
      <c r="N95" s="21"/>
      <c r="O95" s="39"/>
      <c r="P95" s="39"/>
      <c r="Q95" s="39"/>
    </row>
    <row r="96">
      <c r="A96" s="11" t="s">
        <v>5</v>
      </c>
      <c r="B96" s="40" t="s">
        <v>248</v>
      </c>
      <c r="C96" s="62">
        <v>28.0</v>
      </c>
      <c r="D96" s="25" t="str">
        <f t="shared" si="5"/>
        <v>SEX.</v>
      </c>
      <c r="E96" s="13">
        <f t="shared" si="4"/>
        <v>1</v>
      </c>
      <c r="F96" s="26"/>
      <c r="G96" s="63">
        <v>330.0</v>
      </c>
      <c r="H96" s="101"/>
      <c r="I96" s="60" t="s">
        <v>249</v>
      </c>
      <c r="J96" s="90" t="s">
        <v>253</v>
      </c>
      <c r="K96" s="59"/>
      <c r="L96" s="59"/>
      <c r="M96" s="59"/>
      <c r="N96" s="59"/>
      <c r="O96" s="59"/>
      <c r="P96" s="59"/>
      <c r="Q96" s="59"/>
    </row>
    <row r="97">
      <c r="A97" s="11" t="s">
        <v>5</v>
      </c>
      <c r="B97" s="42" t="s">
        <v>251</v>
      </c>
      <c r="C97" s="66">
        <v>28.0</v>
      </c>
      <c r="D97" s="14" t="str">
        <f t="shared" si="5"/>
        <v>SEX.</v>
      </c>
      <c r="E97" s="13">
        <f t="shared" si="4"/>
        <v>1</v>
      </c>
      <c r="F97" s="43"/>
      <c r="G97" s="46">
        <v>700.0</v>
      </c>
      <c r="H97" s="53"/>
      <c r="I97" s="65" t="s">
        <v>252</v>
      </c>
      <c r="J97" s="42" t="s">
        <v>253</v>
      </c>
      <c r="K97" s="68"/>
      <c r="L97" s="68"/>
      <c r="M97" s="68"/>
      <c r="N97" s="68"/>
      <c r="O97" s="68"/>
      <c r="P97" s="68"/>
      <c r="Q97" s="68"/>
    </row>
    <row r="98">
      <c r="A98" s="11" t="s">
        <v>5</v>
      </c>
      <c r="B98" s="79" t="s">
        <v>73</v>
      </c>
      <c r="C98" s="80">
        <v>29.0</v>
      </c>
      <c r="D98" s="81" t="str">
        <f t="shared" si="5"/>
        <v>SÁB.</v>
      </c>
      <c r="E98" s="13">
        <f t="shared" si="4"/>
        <v>1</v>
      </c>
      <c r="F98" s="35"/>
      <c r="G98" s="70"/>
      <c r="H98" s="36">
        <v>35.4</v>
      </c>
      <c r="I98" s="152" t="s">
        <v>17</v>
      </c>
      <c r="J98" s="199" t="s">
        <v>20</v>
      </c>
      <c r="K98" s="106"/>
      <c r="L98" s="106"/>
      <c r="M98" s="106"/>
      <c r="N98" s="106"/>
      <c r="O98" s="84"/>
      <c r="P98" s="84"/>
      <c r="Q98" s="84"/>
    </row>
    <row r="99">
      <c r="A99" s="11" t="s">
        <v>5</v>
      </c>
      <c r="B99" s="179" t="s">
        <v>663</v>
      </c>
      <c r="C99" s="62">
        <v>30.0</v>
      </c>
      <c r="D99" s="14" t="str">
        <f t="shared" si="5"/>
        <v>DOM.</v>
      </c>
      <c r="E99" s="13">
        <f t="shared" si="4"/>
        <v>1</v>
      </c>
      <c r="F99" s="26"/>
      <c r="G99" s="56"/>
      <c r="H99" s="63">
        <v>38.61</v>
      </c>
      <c r="I99" s="33" t="s">
        <v>17</v>
      </c>
      <c r="J99" s="90" t="s">
        <v>438</v>
      </c>
      <c r="K99" s="56"/>
      <c r="L99" s="56"/>
      <c r="M99" s="56"/>
      <c r="N99" s="56"/>
      <c r="O99" s="56"/>
      <c r="P99" s="56"/>
      <c r="Q99" s="56"/>
    </row>
    <row r="100">
      <c r="A100" s="11" t="s">
        <v>5</v>
      </c>
      <c r="B100" s="69" t="s">
        <v>260</v>
      </c>
      <c r="C100" s="13">
        <v>31.0</v>
      </c>
      <c r="D100" s="14" t="str">
        <f t="shared" si="5"/>
        <v>SEG.</v>
      </c>
      <c r="E100" s="13">
        <f t="shared" si="4"/>
        <v>1</v>
      </c>
      <c r="F100" s="54"/>
      <c r="G100" s="36">
        <v>2156.92</v>
      </c>
      <c r="H100" s="70"/>
      <c r="I100" s="47" t="s">
        <v>261</v>
      </c>
      <c r="J100" s="21" t="s">
        <v>64</v>
      </c>
      <c r="K100" s="70"/>
      <c r="L100" s="70"/>
      <c r="M100" s="70"/>
      <c r="N100" s="70"/>
      <c r="O100" s="70"/>
      <c r="P100" s="70"/>
      <c r="Q100" s="70"/>
    </row>
    <row r="101">
      <c r="A101" s="11" t="s">
        <v>25</v>
      </c>
      <c r="B101" s="61" t="s">
        <v>26</v>
      </c>
      <c r="C101" s="13">
        <v>31.0</v>
      </c>
      <c r="D101" s="25" t="str">
        <f t="shared" si="5"/>
        <v>SEG.</v>
      </c>
      <c r="E101" s="13">
        <f t="shared" si="4"/>
        <v>1</v>
      </c>
      <c r="F101" s="26"/>
      <c r="G101" s="56"/>
      <c r="H101" s="36">
        <v>2156.92</v>
      </c>
      <c r="I101" s="64" t="s">
        <v>261</v>
      </c>
      <c r="J101" s="40"/>
      <c r="K101" s="59"/>
      <c r="L101" s="59"/>
      <c r="M101" s="59"/>
      <c r="N101" s="59"/>
      <c r="O101" s="59"/>
      <c r="P101" s="59"/>
      <c r="Q101" s="59"/>
    </row>
    <row r="102">
      <c r="A102" s="11" t="s">
        <v>25</v>
      </c>
      <c r="B102" s="39" t="s">
        <v>27</v>
      </c>
      <c r="C102" s="13">
        <v>31.0</v>
      </c>
      <c r="D102" s="14" t="str">
        <f t="shared" si="5"/>
        <v>SEG.</v>
      </c>
      <c r="E102" s="13">
        <f t="shared" si="4"/>
        <v>1</v>
      </c>
      <c r="F102" s="43"/>
      <c r="G102" s="36">
        <v>2156.92</v>
      </c>
      <c r="H102" s="45"/>
      <c r="I102" s="67" t="s">
        <v>17</v>
      </c>
      <c r="J102" s="42"/>
      <c r="K102" s="68"/>
      <c r="L102" s="68"/>
      <c r="M102" s="68"/>
      <c r="N102" s="68"/>
      <c r="O102" s="68"/>
      <c r="P102" s="68"/>
      <c r="Q102" s="68"/>
    </row>
    <row r="103">
      <c r="A103" s="11" t="s">
        <v>5</v>
      </c>
      <c r="B103" s="99" t="s">
        <v>119</v>
      </c>
      <c r="C103" s="13">
        <v>31.0</v>
      </c>
      <c r="D103" s="14" t="str">
        <f t="shared" si="5"/>
        <v>SEG.</v>
      </c>
      <c r="E103" s="13">
        <f t="shared" si="4"/>
        <v>1</v>
      </c>
      <c r="F103" s="35"/>
      <c r="G103" s="36">
        <v>0.01</v>
      </c>
      <c r="H103" s="70"/>
      <c r="I103" s="47" t="s">
        <v>13</v>
      </c>
      <c r="J103" s="21" t="s">
        <v>120</v>
      </c>
      <c r="K103" s="84"/>
      <c r="L103" s="84"/>
      <c r="M103" s="84"/>
      <c r="N103" s="84"/>
      <c r="O103" s="84"/>
      <c r="P103" s="84"/>
      <c r="Q103" s="84"/>
    </row>
    <row r="104">
      <c r="A104" s="11"/>
      <c r="B104" s="59"/>
      <c r="C104" s="26"/>
      <c r="D104" s="107"/>
      <c r="E104" s="26"/>
      <c r="F104" s="26"/>
      <c r="G104" s="56"/>
      <c r="H104" s="56"/>
      <c r="I104" s="47"/>
      <c r="J104" s="21"/>
      <c r="K104" s="59"/>
      <c r="L104" s="59"/>
      <c r="M104" s="59"/>
      <c r="N104" s="59"/>
      <c r="O104" s="59"/>
      <c r="P104" s="59"/>
      <c r="Q104" s="59"/>
    </row>
    <row r="105">
      <c r="A105" s="11"/>
      <c r="B105" s="68"/>
      <c r="C105" s="43"/>
      <c r="D105" s="108"/>
      <c r="E105" s="43"/>
      <c r="F105" s="43"/>
      <c r="G105" s="45"/>
      <c r="H105" s="45"/>
      <c r="I105" s="47"/>
      <c r="J105" s="21"/>
      <c r="K105" s="68"/>
      <c r="L105" s="68"/>
      <c r="M105" s="68"/>
      <c r="N105" s="68"/>
      <c r="O105" s="68"/>
      <c r="P105" s="68"/>
      <c r="Q105" s="68"/>
    </row>
    <row r="106">
      <c r="A106" s="109"/>
      <c r="B106" s="110"/>
      <c r="C106" s="111"/>
      <c r="D106" s="112"/>
      <c r="E106" s="111"/>
      <c r="F106" s="111"/>
      <c r="G106" s="113"/>
      <c r="H106" s="113"/>
      <c r="I106" s="114"/>
      <c r="J106" s="21"/>
      <c r="K106" s="110"/>
      <c r="L106" s="110"/>
      <c r="M106" s="110"/>
      <c r="N106" s="110"/>
      <c r="O106" s="110"/>
      <c r="P106" s="110"/>
      <c r="Q106" s="110"/>
    </row>
    <row r="107" ht="15.75" customHeight="1">
      <c r="A107" s="115"/>
      <c r="B107" s="116" t="s">
        <v>142</v>
      </c>
      <c r="C107" s="117"/>
      <c r="D107" s="118"/>
      <c r="E107" s="119"/>
      <c r="F107" s="119"/>
      <c r="G107" s="120">
        <f>SUMIF(A3:A106,"PAGO",G3:G106)</f>
        <v>19514.11</v>
      </c>
      <c r="H107" s="120">
        <f>SUMIF(A3:A106,"PAGO",H3:H106)</f>
        <v>15136.56</v>
      </c>
      <c r="I107" s="121"/>
      <c r="J107" s="117"/>
      <c r="K107" s="120">
        <f t="shared" ref="K107:K108" si="6">G107-H107</f>
        <v>4377.55</v>
      </c>
      <c r="L107" s="120"/>
      <c r="M107" s="120"/>
      <c r="N107" s="120"/>
      <c r="O107" s="120"/>
      <c r="P107" s="120"/>
      <c r="Q107" s="120"/>
    </row>
    <row r="108" ht="15.75" customHeight="1">
      <c r="A108" s="115"/>
      <c r="B108" s="122" t="s">
        <v>143</v>
      </c>
      <c r="C108" s="117"/>
      <c r="D108" s="123"/>
      <c r="E108" s="124"/>
      <c r="F108" s="124"/>
      <c r="G108" s="125">
        <f>SUMIF(A3:A106,"PAGO",G3:G106) + SUMIF(A3:A106,"PREVISTO",G3:G106)</f>
        <v>19514.11</v>
      </c>
      <c r="H108" s="125">
        <f>SUMIF(A3:A106,"PAGO",H3:H106) + SUMIF(A3:A106,"PREVISTO",H3:H106)</f>
        <v>15136.56</v>
      </c>
      <c r="I108" s="121"/>
      <c r="J108" s="122" t="s">
        <v>144</v>
      </c>
      <c r="K108" s="125">
        <f t="shared" si="6"/>
        <v>4377.55</v>
      </c>
      <c r="L108" s="125"/>
      <c r="M108" s="125"/>
      <c r="N108" s="125"/>
      <c r="O108" s="125"/>
      <c r="P108" s="125"/>
      <c r="Q108" s="125"/>
    </row>
    <row r="109">
      <c r="A109" s="126"/>
      <c r="B109" s="127"/>
      <c r="C109" s="93"/>
      <c r="D109" s="128"/>
      <c r="E109" s="129"/>
      <c r="F109" s="129"/>
      <c r="G109" s="130"/>
      <c r="H109" s="130"/>
      <c r="I109" s="131"/>
      <c r="J109" s="132" t="s">
        <v>13</v>
      </c>
      <c r="K109" s="133">
        <f t="shared" ref="K109:K115" si="7">(SUMIFS($G$3:$G$106,$I$3:$I$106,J109,$A$3:$A$106,"PAGO") + SUMIFS($G$3:$G$106,$I$3:$I$106,J109,$A$3:$A$106,"CONTAS")) - (SUMIFS($H$3:$H$106,$I$3:$I$106,J109,$A$3:$A$106,"PAGO") + SUMIFS($H$3:$H$106,$I$3:$I$106,J109,$A$3:$A$106,"CONTAS"))</f>
        <v>111.42</v>
      </c>
      <c r="L109" s="133"/>
      <c r="M109" s="133"/>
      <c r="N109" s="133"/>
      <c r="O109" s="133"/>
      <c r="P109" s="133"/>
      <c r="Q109" s="133"/>
    </row>
    <row r="110">
      <c r="A110" s="134"/>
      <c r="B110" s="135"/>
      <c r="C110" s="93"/>
      <c r="D110" s="128"/>
      <c r="E110" s="129"/>
      <c r="F110" s="129"/>
      <c r="G110" s="130"/>
      <c r="H110" s="130"/>
      <c r="I110" s="131"/>
      <c r="J110" s="132" t="s">
        <v>15</v>
      </c>
      <c r="K110" s="133">
        <f t="shared" si="7"/>
        <v>2.9</v>
      </c>
      <c r="L110" s="133"/>
      <c r="M110" s="133"/>
      <c r="N110" s="133"/>
      <c r="O110" s="133"/>
      <c r="P110" s="133"/>
      <c r="Q110" s="133"/>
    </row>
    <row r="111">
      <c r="A111" s="134"/>
      <c r="B111" s="136"/>
      <c r="C111" s="137"/>
      <c r="D111" s="128"/>
      <c r="E111" s="129"/>
      <c r="F111" s="129"/>
      <c r="G111" s="130"/>
      <c r="H111" s="130"/>
      <c r="I111" s="131"/>
      <c r="J111" s="132" t="s">
        <v>17</v>
      </c>
      <c r="K111" s="133">
        <f t="shared" si="7"/>
        <v>3222.42</v>
      </c>
      <c r="L111" s="133"/>
      <c r="M111" s="133"/>
      <c r="N111" s="133"/>
      <c r="O111" s="133"/>
      <c r="P111" s="133"/>
      <c r="Q111" s="133"/>
    </row>
    <row r="112">
      <c r="A112" s="134"/>
      <c r="B112" s="93"/>
      <c r="C112" s="137"/>
      <c r="D112" s="138"/>
      <c r="E112" s="139"/>
      <c r="F112" s="139"/>
      <c r="G112" s="140"/>
      <c r="H112" s="140"/>
      <c r="I112" s="131"/>
      <c r="J112" s="132" t="s">
        <v>18</v>
      </c>
      <c r="K112" s="133">
        <f t="shared" si="7"/>
        <v>9.52</v>
      </c>
      <c r="L112" s="133"/>
      <c r="M112" s="133"/>
      <c r="N112" s="133"/>
      <c r="O112" s="133"/>
      <c r="P112" s="133"/>
      <c r="Q112" s="133"/>
    </row>
    <row r="113">
      <c r="A113" s="134"/>
      <c r="B113" s="137"/>
      <c r="C113" s="93"/>
      <c r="D113" s="138"/>
      <c r="E113" s="139"/>
      <c r="F113" s="139"/>
      <c r="G113" s="140"/>
      <c r="H113" s="140"/>
      <c r="I113" s="131"/>
      <c r="J113" s="183" t="s">
        <v>261</v>
      </c>
      <c r="K113" s="133">
        <f t="shared" si="7"/>
        <v>0</v>
      </c>
      <c r="L113" s="93"/>
      <c r="M113" s="93"/>
      <c r="N113" s="93"/>
      <c r="O113" s="93"/>
      <c r="P113" s="93"/>
      <c r="Q113" s="93"/>
    </row>
    <row r="114">
      <c r="A114" s="134"/>
      <c r="B114" s="137"/>
      <c r="C114" s="93"/>
      <c r="D114" s="138"/>
      <c r="E114" s="139"/>
      <c r="F114" s="139"/>
      <c r="G114" s="140"/>
      <c r="H114" s="140"/>
      <c r="I114" s="131"/>
      <c r="J114" s="182" t="s">
        <v>252</v>
      </c>
      <c r="K114" s="133">
        <f t="shared" si="7"/>
        <v>700.07</v>
      </c>
      <c r="L114" s="93"/>
      <c r="M114" s="93"/>
      <c r="N114" s="93"/>
      <c r="O114" s="93"/>
      <c r="P114" s="93"/>
      <c r="Q114" s="93"/>
    </row>
    <row r="115">
      <c r="A115" s="134"/>
      <c r="B115" s="137"/>
      <c r="C115" s="93"/>
      <c r="D115" s="138"/>
      <c r="E115" s="139"/>
      <c r="F115" s="139"/>
      <c r="G115" s="140"/>
      <c r="H115" s="140"/>
      <c r="I115" s="131"/>
      <c r="J115" s="182" t="s">
        <v>249</v>
      </c>
      <c r="K115" s="133">
        <f t="shared" si="7"/>
        <v>331.22</v>
      </c>
      <c r="L115" s="93"/>
      <c r="M115" s="93"/>
      <c r="N115" s="93"/>
      <c r="O115" s="93"/>
      <c r="P115" s="93"/>
      <c r="Q115" s="93"/>
    </row>
    <row r="116">
      <c r="A116" s="134"/>
      <c r="B116" s="137"/>
      <c r="C116" s="93"/>
      <c r="D116" s="138"/>
      <c r="E116" s="139"/>
      <c r="F116" s="139"/>
      <c r="G116" s="140"/>
      <c r="H116" s="140"/>
      <c r="I116" s="131"/>
      <c r="J116" s="219"/>
      <c r="K116" s="93"/>
      <c r="L116" s="93"/>
      <c r="M116" s="93"/>
      <c r="N116" s="93"/>
      <c r="O116" s="93"/>
      <c r="P116" s="93"/>
      <c r="Q116" s="93"/>
    </row>
  </sheetData>
  <customSheetViews>
    <customSheetView guid="{5F890A4C-8AFA-4126-80E7-AF0191C5590F}" filter="1" showAutoFilter="1">
      <autoFilter ref="$A$2:$K$3"/>
    </customSheetView>
    <customSheetView guid="{F6E0E906-D63E-467F-B486-84E6C0126E80}" filter="1" showAutoFilter="1">
      <autoFilter ref="$A$2:$K$3"/>
    </customSheetView>
    <customSheetView guid="{8E320149-1ED8-4245-AE83-2AF08A85D2EE}" filter="1" showAutoFilter="1">
      <autoFilter ref="$A$2:$K$3"/>
    </customSheetView>
    <customSheetView guid="{FF238D65-B29E-47B3-BB76-09A78DB37DDE}" filter="1" showAutoFilter="1">
      <autoFilter ref="$A$2:$K$3"/>
    </customSheetView>
    <customSheetView guid="{55ED7845-B94B-4003-AD57-D4008EE7E009}" filter="1" showAutoFilter="1">
      <autoFilter ref="$A$2:$K$17"/>
    </customSheetView>
  </customSheetViews>
  <conditionalFormatting sqref="A3:Q106">
    <cfRule type="expression" dxfId="0" priority="1">
      <formula>ISEVEN(ROW())</formula>
    </cfRule>
  </conditionalFormatting>
  <conditionalFormatting sqref="A3:Q106">
    <cfRule type="expression" dxfId="1" priority="2">
      <formula>ISODD(ROW())</formula>
    </cfRule>
  </conditionalFormatting>
  <dataValidations>
    <dataValidation type="list" allowBlank="1" sqref="A3:A105">
      <formula1>listas!$A$1:$A$17</formula1>
    </dataValidation>
    <dataValidation type="list" allowBlank="1" sqref="I3:I44 I47:I105">
      <formula1>listas!$B$1:$B$21</formula1>
    </dataValidation>
  </dataValidations>
  <drawing r:id="rId2"/>
  <legacyDrawing r:id="rId3"/>
  <tableParts count="2">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2.0</v>
      </c>
      <c r="D3" s="14"/>
      <c r="E3" s="15"/>
      <c r="F3" s="15"/>
      <c r="G3" s="16"/>
      <c r="H3" s="17"/>
      <c r="I3" s="18"/>
      <c r="J3" s="19"/>
      <c r="K3" s="20"/>
      <c r="L3" s="20"/>
      <c r="M3" s="20"/>
      <c r="N3" s="20"/>
      <c r="O3" s="20"/>
      <c r="P3" s="20"/>
      <c r="Q3" s="20"/>
    </row>
    <row r="4">
      <c r="A4" s="11" t="s">
        <v>5</v>
      </c>
      <c r="B4" s="21" t="s">
        <v>145</v>
      </c>
      <c r="C4" s="13">
        <v>1.0</v>
      </c>
      <c r="D4" s="14" t="str">
        <f t="shared" ref="D4:D26" si="1">UPPER(TEXT(WEEKDAY(DATEVALUE(CONCATENATE(C4,"/",$C$3,"/",$A$1))),"DDD"))</f>
        <v>TER.</v>
      </c>
      <c r="E4" s="13">
        <f t="shared" ref="E4:E52" si="2">$C$3</f>
        <v>2</v>
      </c>
      <c r="F4" s="15"/>
      <c r="G4" s="16">
        <f>'janeiro 2022'!K109</f>
        <v>111.42</v>
      </c>
      <c r="H4" s="17"/>
      <c r="I4" s="18" t="s">
        <v>13</v>
      </c>
      <c r="J4" s="21" t="s">
        <v>14</v>
      </c>
      <c r="K4" s="22"/>
      <c r="L4" s="22"/>
      <c r="M4" s="22"/>
      <c r="N4" s="22"/>
      <c r="O4" s="22"/>
      <c r="P4" s="22"/>
      <c r="Q4" s="22"/>
    </row>
    <row r="5">
      <c r="A5" s="11" t="s">
        <v>5</v>
      </c>
      <c r="B5" s="21" t="s">
        <v>145</v>
      </c>
      <c r="C5" s="13">
        <v>1.0</v>
      </c>
      <c r="D5" s="14" t="str">
        <f t="shared" si="1"/>
        <v>TER.</v>
      </c>
      <c r="E5" s="13">
        <f t="shared" si="2"/>
        <v>2</v>
      </c>
      <c r="F5" s="15"/>
      <c r="G5" s="16">
        <f>'janeiro 2022'!K110</f>
        <v>2.9</v>
      </c>
      <c r="H5" s="17"/>
      <c r="I5" s="18" t="s">
        <v>15</v>
      </c>
      <c r="J5" s="21" t="s">
        <v>14</v>
      </c>
      <c r="K5" s="22"/>
      <c r="L5" s="22"/>
      <c r="M5" s="22"/>
      <c r="N5" s="22"/>
      <c r="O5" s="22"/>
      <c r="P5" s="22"/>
      <c r="Q5" s="22"/>
    </row>
    <row r="6">
      <c r="A6" s="11" t="s">
        <v>5</v>
      </c>
      <c r="B6" s="21" t="s">
        <v>145</v>
      </c>
      <c r="C6" s="13">
        <v>1.0</v>
      </c>
      <c r="D6" s="14" t="str">
        <f t="shared" si="1"/>
        <v>TER.</v>
      </c>
      <c r="E6" s="13">
        <f t="shared" si="2"/>
        <v>2</v>
      </c>
      <c r="F6" s="15"/>
      <c r="G6" s="16">
        <f>'janeiro 2022'!K111</f>
        <v>3222.42</v>
      </c>
      <c r="H6" s="17"/>
      <c r="I6" s="18" t="s">
        <v>17</v>
      </c>
      <c r="J6" s="21" t="s">
        <v>14</v>
      </c>
      <c r="K6" s="22"/>
      <c r="L6" s="22"/>
      <c r="M6" s="22"/>
      <c r="N6" s="22"/>
      <c r="O6" s="22"/>
      <c r="P6" s="22"/>
      <c r="Q6" s="22"/>
    </row>
    <row r="7">
      <c r="A7" s="11" t="s">
        <v>5</v>
      </c>
      <c r="B7" s="21" t="s">
        <v>145</v>
      </c>
      <c r="C7" s="13">
        <v>1.0</v>
      </c>
      <c r="D7" s="14" t="str">
        <f t="shared" si="1"/>
        <v>TER.</v>
      </c>
      <c r="E7" s="13">
        <f t="shared" si="2"/>
        <v>2</v>
      </c>
      <c r="F7" s="15"/>
      <c r="G7" s="16">
        <f>'janeiro 2022'!K112</f>
        <v>9.52</v>
      </c>
      <c r="H7" s="17"/>
      <c r="I7" s="18" t="s">
        <v>18</v>
      </c>
      <c r="J7" s="21" t="s">
        <v>14</v>
      </c>
      <c r="K7" s="22"/>
      <c r="L7" s="22"/>
      <c r="M7" s="22"/>
      <c r="N7" s="22"/>
      <c r="O7" s="22"/>
      <c r="P7" s="22"/>
      <c r="Q7" s="22"/>
    </row>
    <row r="8">
      <c r="A8" s="11" t="s">
        <v>5</v>
      </c>
      <c r="B8" s="72" t="s">
        <v>145</v>
      </c>
      <c r="C8" s="193">
        <v>1.0</v>
      </c>
      <c r="D8" s="74" t="str">
        <f t="shared" si="1"/>
        <v>TER.</v>
      </c>
      <c r="E8" s="13">
        <f t="shared" si="2"/>
        <v>2</v>
      </c>
      <c r="F8" s="30"/>
      <c r="G8" s="16">
        <f>'janeiro 2022'!K113</f>
        <v>0</v>
      </c>
      <c r="H8" s="31"/>
      <c r="I8" s="58" t="s">
        <v>261</v>
      </c>
      <c r="J8" s="72" t="s">
        <v>14</v>
      </c>
      <c r="K8" s="77"/>
      <c r="L8" s="77"/>
      <c r="M8" s="77"/>
      <c r="N8" s="77"/>
      <c r="O8" s="77"/>
      <c r="P8" s="77"/>
      <c r="Q8" s="77"/>
    </row>
    <row r="9">
      <c r="A9" s="11" t="s">
        <v>5</v>
      </c>
      <c r="B9" s="173" t="s">
        <v>145</v>
      </c>
      <c r="C9" s="184">
        <v>1.0</v>
      </c>
      <c r="D9" s="25" t="str">
        <f t="shared" si="1"/>
        <v>TER.</v>
      </c>
      <c r="E9" s="13">
        <f t="shared" si="2"/>
        <v>2</v>
      </c>
      <c r="F9" s="26"/>
      <c r="G9" s="16">
        <f>'janeiro 2022'!K114</f>
        <v>700.07</v>
      </c>
      <c r="H9" s="56"/>
      <c r="I9" s="33" t="s">
        <v>252</v>
      </c>
      <c r="J9" s="173" t="s">
        <v>14</v>
      </c>
      <c r="K9" s="59"/>
      <c r="L9" s="59"/>
      <c r="M9" s="59"/>
      <c r="N9" s="59"/>
      <c r="O9" s="59"/>
      <c r="P9" s="59"/>
      <c r="Q9" s="59"/>
    </row>
    <row r="10">
      <c r="A10" s="11" t="s">
        <v>5</v>
      </c>
      <c r="B10" s="42" t="s">
        <v>145</v>
      </c>
      <c r="C10" s="144">
        <v>1.0</v>
      </c>
      <c r="D10" s="14" t="str">
        <f t="shared" si="1"/>
        <v>TER.</v>
      </c>
      <c r="E10" s="13">
        <f t="shared" si="2"/>
        <v>2</v>
      </c>
      <c r="F10" s="43"/>
      <c r="G10" s="16">
        <f>'janeiro 2022'!K115</f>
        <v>331.22</v>
      </c>
      <c r="H10" s="45"/>
      <c r="I10" s="41" t="s">
        <v>249</v>
      </c>
      <c r="J10" s="42" t="s">
        <v>14</v>
      </c>
      <c r="K10" s="68"/>
      <c r="L10" s="68"/>
      <c r="M10" s="68"/>
      <c r="N10" s="68"/>
      <c r="O10" s="68"/>
      <c r="P10" s="68"/>
      <c r="Q10" s="68"/>
    </row>
    <row r="11">
      <c r="A11" s="11" t="s">
        <v>5</v>
      </c>
      <c r="B11" s="103" t="s">
        <v>533</v>
      </c>
      <c r="C11" s="13">
        <v>1.0</v>
      </c>
      <c r="D11" s="14" t="str">
        <f t="shared" si="1"/>
        <v>TER.</v>
      </c>
      <c r="E11" s="13">
        <f t="shared" si="2"/>
        <v>2</v>
      </c>
      <c r="F11" s="54"/>
      <c r="G11" s="70"/>
      <c r="H11" s="86">
        <v>50.0</v>
      </c>
      <c r="I11" s="105" t="s">
        <v>17</v>
      </c>
      <c r="J11" s="21" t="s">
        <v>534</v>
      </c>
      <c r="K11" s="84"/>
      <c r="L11" s="84"/>
      <c r="M11" s="84"/>
      <c r="N11" s="84"/>
      <c r="O11" s="84"/>
      <c r="P11" s="84"/>
      <c r="Q11" s="84"/>
    </row>
    <row r="12">
      <c r="A12" s="11" t="s">
        <v>5</v>
      </c>
      <c r="B12" s="28" t="s">
        <v>148</v>
      </c>
      <c r="C12" s="80">
        <v>1.0</v>
      </c>
      <c r="D12" s="81" t="str">
        <f t="shared" si="1"/>
        <v>TER.</v>
      </c>
      <c r="E12" s="207">
        <f t="shared" si="2"/>
        <v>2</v>
      </c>
      <c r="F12" s="35"/>
      <c r="G12" s="70"/>
      <c r="H12" s="86">
        <v>52.52</v>
      </c>
      <c r="I12" s="221" t="s">
        <v>13</v>
      </c>
      <c r="J12" s="199" t="s">
        <v>149</v>
      </c>
      <c r="K12" s="28"/>
      <c r="L12" s="28"/>
      <c r="M12" s="28"/>
      <c r="N12" s="28"/>
      <c r="O12" s="28"/>
      <c r="P12" s="28"/>
      <c r="Q12" s="28"/>
    </row>
    <row r="13">
      <c r="A13" s="11" t="s">
        <v>25</v>
      </c>
      <c r="B13" s="39" t="s">
        <v>26</v>
      </c>
      <c r="C13" s="66">
        <v>2.0</v>
      </c>
      <c r="D13" s="14" t="str">
        <f t="shared" si="1"/>
        <v>QUA.</v>
      </c>
      <c r="E13" s="13">
        <f t="shared" si="2"/>
        <v>2</v>
      </c>
      <c r="F13" s="87"/>
      <c r="G13" s="45"/>
      <c r="H13" s="46">
        <v>350.0</v>
      </c>
      <c r="I13" s="149" t="s">
        <v>17</v>
      </c>
      <c r="J13" s="42"/>
      <c r="K13" s="68"/>
      <c r="L13" s="68"/>
      <c r="M13" s="68"/>
      <c r="N13" s="68"/>
      <c r="O13" s="68"/>
      <c r="P13" s="68"/>
      <c r="Q13" s="68"/>
    </row>
    <row r="14">
      <c r="A14" s="11" t="s">
        <v>25</v>
      </c>
      <c r="B14" s="61" t="s">
        <v>27</v>
      </c>
      <c r="C14" s="148">
        <v>2.0</v>
      </c>
      <c r="D14" s="25" t="str">
        <f t="shared" si="1"/>
        <v>QUA.</v>
      </c>
      <c r="E14" s="13">
        <f t="shared" si="2"/>
        <v>2</v>
      </c>
      <c r="F14" s="87"/>
      <c r="G14" s="63">
        <v>350.0</v>
      </c>
      <c r="H14" s="56"/>
      <c r="I14" s="37" t="s">
        <v>13</v>
      </c>
      <c r="J14" s="40"/>
      <c r="K14" s="59"/>
      <c r="L14" s="59"/>
      <c r="M14" s="59"/>
      <c r="N14" s="59"/>
      <c r="O14" s="59"/>
      <c r="P14" s="59"/>
      <c r="Q14" s="59"/>
    </row>
    <row r="15">
      <c r="A15" s="11" t="s">
        <v>5</v>
      </c>
      <c r="B15" s="159" t="s">
        <v>664</v>
      </c>
      <c r="C15" s="73">
        <v>3.0</v>
      </c>
      <c r="D15" s="25" t="str">
        <f t="shared" si="1"/>
        <v>QUI.</v>
      </c>
      <c r="E15" s="13">
        <f t="shared" si="2"/>
        <v>2</v>
      </c>
      <c r="F15" s="87">
        <v>44600.0</v>
      </c>
      <c r="G15" s="31"/>
      <c r="H15" s="32">
        <v>400.0</v>
      </c>
      <c r="I15" s="58" t="s">
        <v>13</v>
      </c>
      <c r="J15" s="76" t="s">
        <v>466</v>
      </c>
      <c r="K15" s="31"/>
      <c r="L15" s="31"/>
      <c r="M15" s="31"/>
      <c r="N15" s="31"/>
      <c r="O15" s="31"/>
      <c r="P15" s="31"/>
      <c r="Q15" s="31"/>
    </row>
    <row r="16">
      <c r="A16" s="11" t="s">
        <v>5</v>
      </c>
      <c r="B16" s="44" t="s">
        <v>665</v>
      </c>
      <c r="C16" s="13">
        <v>3.0</v>
      </c>
      <c r="D16" s="14" t="str">
        <f t="shared" si="1"/>
        <v>QUI.</v>
      </c>
      <c r="E16" s="13">
        <f t="shared" si="2"/>
        <v>2</v>
      </c>
      <c r="F16" s="85"/>
      <c r="G16" s="45"/>
      <c r="H16" s="46">
        <v>14.22</v>
      </c>
      <c r="I16" s="58" t="s">
        <v>17</v>
      </c>
      <c r="J16" s="21" t="s">
        <v>20</v>
      </c>
      <c r="K16" s="21"/>
      <c r="L16" s="21"/>
      <c r="M16" s="21"/>
      <c r="N16" s="21"/>
      <c r="O16" s="39"/>
      <c r="P16" s="39"/>
      <c r="Q16" s="39"/>
    </row>
    <row r="17">
      <c r="A17" s="11" t="s">
        <v>5</v>
      </c>
      <c r="B17" s="79" t="s">
        <v>73</v>
      </c>
      <c r="C17" s="80">
        <v>3.0</v>
      </c>
      <c r="D17" s="81" t="str">
        <f t="shared" si="1"/>
        <v>QUI.</v>
      </c>
      <c r="E17" s="13">
        <f t="shared" si="2"/>
        <v>2</v>
      </c>
      <c r="F17" s="35"/>
      <c r="G17" s="70"/>
      <c r="H17" s="36">
        <v>45.5</v>
      </c>
      <c r="I17" s="152" t="s">
        <v>17</v>
      </c>
      <c r="J17" s="199" t="s">
        <v>20</v>
      </c>
      <c r="K17" s="106"/>
      <c r="L17" s="106"/>
      <c r="M17" s="106"/>
      <c r="N17" s="106"/>
      <c r="O17" s="84"/>
      <c r="P17" s="84"/>
      <c r="Q17" s="84"/>
    </row>
    <row r="18">
      <c r="A18" s="11" t="s">
        <v>5</v>
      </c>
      <c r="B18" s="83" t="s">
        <v>350</v>
      </c>
      <c r="C18" s="13">
        <v>4.0</v>
      </c>
      <c r="D18" s="14" t="str">
        <f t="shared" si="1"/>
        <v>SEX.</v>
      </c>
      <c r="E18" s="13">
        <f t="shared" si="2"/>
        <v>2</v>
      </c>
      <c r="F18" s="35"/>
      <c r="G18" s="36">
        <v>500.0</v>
      </c>
      <c r="H18" s="70"/>
      <c r="I18" s="78" t="s">
        <v>17</v>
      </c>
      <c r="J18" s="21" t="s">
        <v>390</v>
      </c>
      <c r="K18" s="84"/>
      <c r="L18" s="84"/>
      <c r="M18" s="84"/>
      <c r="N18" s="84"/>
      <c r="O18" s="84"/>
      <c r="P18" s="84"/>
      <c r="Q18" s="84"/>
    </row>
    <row r="19">
      <c r="A19" s="11" t="s">
        <v>5</v>
      </c>
      <c r="B19" s="83" t="s">
        <v>352</v>
      </c>
      <c r="C19" s="13">
        <v>4.0</v>
      </c>
      <c r="D19" s="14" t="str">
        <f t="shared" si="1"/>
        <v>SEX.</v>
      </c>
      <c r="E19" s="13">
        <f t="shared" si="2"/>
        <v>2</v>
      </c>
      <c r="F19" s="35"/>
      <c r="G19" s="36"/>
      <c r="H19" s="36">
        <v>500.0</v>
      </c>
      <c r="I19" s="78" t="s">
        <v>17</v>
      </c>
      <c r="J19" s="21" t="s">
        <v>391</v>
      </c>
      <c r="K19" s="84"/>
      <c r="L19" s="84"/>
      <c r="M19" s="84"/>
      <c r="N19" s="84"/>
      <c r="O19" s="84"/>
      <c r="P19" s="84"/>
      <c r="Q19" s="84"/>
    </row>
    <row r="20">
      <c r="A20" s="11" t="s">
        <v>5</v>
      </c>
      <c r="B20" s="83" t="s">
        <v>666</v>
      </c>
      <c r="C20" s="80">
        <v>4.0</v>
      </c>
      <c r="D20" s="81" t="str">
        <f t="shared" si="1"/>
        <v>SEX.</v>
      </c>
      <c r="E20" s="13">
        <f t="shared" si="2"/>
        <v>2</v>
      </c>
      <c r="F20" s="35"/>
      <c r="G20" s="70"/>
      <c r="H20" s="36">
        <v>130.0</v>
      </c>
      <c r="I20" s="152" t="s">
        <v>17</v>
      </c>
      <c r="J20" s="199" t="s">
        <v>20</v>
      </c>
      <c r="K20" s="106"/>
      <c r="L20" s="106"/>
      <c r="M20" s="106"/>
      <c r="N20" s="106"/>
      <c r="O20" s="84"/>
      <c r="P20" s="84"/>
      <c r="Q20" s="84"/>
    </row>
    <row r="21">
      <c r="A21" s="11" t="s">
        <v>5</v>
      </c>
      <c r="B21" s="179" t="s">
        <v>21</v>
      </c>
      <c r="C21" s="62">
        <v>5.0</v>
      </c>
      <c r="D21" s="25" t="str">
        <f t="shared" si="1"/>
        <v>SÁB.</v>
      </c>
      <c r="E21" s="13">
        <f t="shared" si="2"/>
        <v>2</v>
      </c>
      <c r="F21" s="26"/>
      <c r="G21" s="56"/>
      <c r="H21" s="63">
        <v>266.73</v>
      </c>
      <c r="I21" s="33" t="s">
        <v>249</v>
      </c>
      <c r="J21" s="173" t="s">
        <v>22</v>
      </c>
      <c r="K21" s="56"/>
      <c r="L21" s="56"/>
      <c r="M21" s="56"/>
      <c r="N21" s="56"/>
      <c r="O21" s="56"/>
      <c r="P21" s="56"/>
      <c r="Q21" s="56"/>
    </row>
    <row r="22">
      <c r="A22" s="11" t="s">
        <v>5</v>
      </c>
      <c r="B22" s="44" t="s">
        <v>667</v>
      </c>
      <c r="C22" s="13">
        <v>7.0</v>
      </c>
      <c r="D22" s="14" t="str">
        <f t="shared" si="1"/>
        <v>SEG.</v>
      </c>
      <c r="E22" s="13">
        <f t="shared" si="2"/>
        <v>2</v>
      </c>
      <c r="F22" s="87"/>
      <c r="G22" s="45"/>
      <c r="H22" s="46">
        <v>42.0</v>
      </c>
      <c r="I22" s="58" t="s">
        <v>17</v>
      </c>
      <c r="J22" s="21" t="s">
        <v>668</v>
      </c>
      <c r="K22" s="39"/>
      <c r="L22" s="39"/>
      <c r="M22" s="39"/>
      <c r="N22" s="39"/>
      <c r="O22" s="39"/>
      <c r="P22" s="39"/>
      <c r="Q22" s="39"/>
    </row>
    <row r="23">
      <c r="A23" s="11" t="s">
        <v>5</v>
      </c>
      <c r="B23" s="44" t="s">
        <v>491</v>
      </c>
      <c r="C23" s="13">
        <v>7.0</v>
      </c>
      <c r="D23" s="14" t="str">
        <f t="shared" si="1"/>
        <v>SEG.</v>
      </c>
      <c r="E23" s="13">
        <f t="shared" si="2"/>
        <v>2</v>
      </c>
      <c r="F23" s="43"/>
      <c r="G23" s="46">
        <v>1300.0</v>
      </c>
      <c r="H23" s="46"/>
      <c r="I23" s="47" t="s">
        <v>17</v>
      </c>
      <c r="J23" s="21" t="s">
        <v>38</v>
      </c>
      <c r="K23" s="39"/>
      <c r="L23" s="39"/>
      <c r="M23" s="39"/>
      <c r="N23" s="39"/>
      <c r="O23" s="39"/>
      <c r="P23" s="39"/>
      <c r="Q23" s="39"/>
    </row>
    <row r="24">
      <c r="A24" s="11" t="s">
        <v>5</v>
      </c>
      <c r="B24" s="99" t="s">
        <v>119</v>
      </c>
      <c r="C24" s="13">
        <v>7.0</v>
      </c>
      <c r="D24" s="14" t="str">
        <f t="shared" si="1"/>
        <v>SEG.</v>
      </c>
      <c r="E24" s="13">
        <f t="shared" si="2"/>
        <v>2</v>
      </c>
      <c r="F24" s="35"/>
      <c r="G24" s="36">
        <v>6.25</v>
      </c>
      <c r="H24" s="70"/>
      <c r="I24" s="78" t="s">
        <v>17</v>
      </c>
      <c r="J24" s="21" t="s">
        <v>120</v>
      </c>
      <c r="K24" s="84"/>
      <c r="L24" s="84"/>
      <c r="M24" s="84"/>
      <c r="N24" s="84"/>
      <c r="O24" s="84"/>
      <c r="P24" s="84"/>
      <c r="Q24" s="84"/>
    </row>
    <row r="25">
      <c r="A25" s="102" t="s">
        <v>5</v>
      </c>
      <c r="B25" s="198" t="s">
        <v>518</v>
      </c>
      <c r="C25" s="80">
        <v>8.0</v>
      </c>
      <c r="D25" s="81" t="str">
        <f t="shared" si="1"/>
        <v>TER.</v>
      </c>
      <c r="E25" s="207">
        <f t="shared" si="2"/>
        <v>2</v>
      </c>
      <c r="F25" s="35"/>
      <c r="G25" s="70"/>
      <c r="H25" s="36">
        <v>25.21</v>
      </c>
      <c r="I25" s="105" t="s">
        <v>252</v>
      </c>
      <c r="J25" s="199" t="s">
        <v>22</v>
      </c>
      <c r="K25" s="70"/>
      <c r="L25" s="70"/>
      <c r="M25" s="70"/>
      <c r="N25" s="70"/>
      <c r="O25" s="70"/>
      <c r="P25" s="70"/>
      <c r="Q25" s="70"/>
    </row>
    <row r="26">
      <c r="A26" s="11" t="s">
        <v>5</v>
      </c>
      <c r="B26" s="44" t="s">
        <v>39</v>
      </c>
      <c r="C26" s="13">
        <v>8.0</v>
      </c>
      <c r="D26" s="14" t="str">
        <f t="shared" si="1"/>
        <v>TER.</v>
      </c>
      <c r="E26" s="13">
        <f t="shared" si="2"/>
        <v>2</v>
      </c>
      <c r="F26" s="87">
        <v>44599.0</v>
      </c>
      <c r="G26" s="45"/>
      <c r="H26" s="46">
        <f>sum(H27:H43)</f>
        <v>1319.26</v>
      </c>
      <c r="I26" s="47" t="s">
        <v>17</v>
      </c>
      <c r="J26" s="21"/>
      <c r="K26" s="39"/>
      <c r="L26" s="39"/>
      <c r="M26" s="39"/>
      <c r="N26" s="39"/>
      <c r="O26" s="39"/>
      <c r="P26" s="39"/>
      <c r="Q26" s="39"/>
    </row>
    <row r="27" outlineLevel="1">
      <c r="A27" s="11" t="s">
        <v>40</v>
      </c>
      <c r="B27" s="83" t="s">
        <v>669</v>
      </c>
      <c r="C27" s="194"/>
      <c r="D27" s="195"/>
      <c r="E27" s="207">
        <f t="shared" si="2"/>
        <v>2</v>
      </c>
      <c r="F27" s="196">
        <v>44511.0</v>
      </c>
      <c r="G27" s="70"/>
      <c r="H27" s="151">
        <v>223.38</v>
      </c>
      <c r="I27" s="197"/>
      <c r="J27" s="79" t="s">
        <v>591</v>
      </c>
      <c r="K27" s="84"/>
      <c r="L27" s="84"/>
      <c r="M27" s="84"/>
      <c r="N27" s="84"/>
      <c r="O27" s="84"/>
      <c r="P27" s="84"/>
      <c r="Q27" s="84"/>
    </row>
    <row r="28" outlineLevel="1">
      <c r="A28" s="11" t="s">
        <v>40</v>
      </c>
      <c r="B28" s="76" t="s">
        <v>646</v>
      </c>
      <c r="C28" s="155"/>
      <c r="D28" s="156"/>
      <c r="E28" s="193">
        <f t="shared" si="2"/>
        <v>2</v>
      </c>
      <c r="F28" s="54">
        <v>44561.0</v>
      </c>
      <c r="G28" s="31"/>
      <c r="H28" s="32">
        <v>29.02</v>
      </c>
      <c r="I28" s="157"/>
      <c r="J28" s="72" t="s">
        <v>393</v>
      </c>
      <c r="K28" s="77"/>
      <c r="L28" s="77"/>
      <c r="M28" s="77"/>
      <c r="N28" s="77"/>
      <c r="O28" s="77"/>
      <c r="P28" s="77"/>
      <c r="Q28" s="77"/>
    </row>
    <row r="29" outlineLevel="1">
      <c r="A29" s="11" t="s">
        <v>40</v>
      </c>
      <c r="B29" s="76" t="s">
        <v>670</v>
      </c>
      <c r="C29" s="155"/>
      <c r="D29" s="156"/>
      <c r="E29" s="193">
        <f t="shared" si="2"/>
        <v>2</v>
      </c>
      <c r="F29" s="54">
        <v>44561.0</v>
      </c>
      <c r="G29" s="31"/>
      <c r="H29" s="32">
        <v>15.58</v>
      </c>
      <c r="I29" s="157"/>
      <c r="J29" s="76" t="s">
        <v>243</v>
      </c>
      <c r="K29" s="77"/>
      <c r="L29" s="77"/>
      <c r="M29" s="77"/>
      <c r="N29" s="77"/>
      <c r="O29" s="77"/>
      <c r="P29" s="77"/>
      <c r="Q29" s="77"/>
    </row>
    <row r="30" outlineLevel="1">
      <c r="A30" s="11" t="s">
        <v>40</v>
      </c>
      <c r="B30" s="76" t="s">
        <v>671</v>
      </c>
      <c r="C30" s="155"/>
      <c r="D30" s="156"/>
      <c r="E30" s="13">
        <f t="shared" si="2"/>
        <v>2</v>
      </c>
      <c r="F30" s="54">
        <v>44565.0</v>
      </c>
      <c r="G30" s="31"/>
      <c r="H30" s="32">
        <v>50.0</v>
      </c>
      <c r="I30" s="157"/>
      <c r="J30" s="83" t="s">
        <v>672</v>
      </c>
      <c r="K30" s="77"/>
      <c r="L30" s="77"/>
      <c r="M30" s="77"/>
      <c r="N30" s="77"/>
      <c r="O30" s="77"/>
      <c r="P30" s="77"/>
      <c r="Q30" s="77"/>
    </row>
    <row r="31" outlineLevel="1">
      <c r="A31" s="11" t="s">
        <v>40</v>
      </c>
      <c r="B31" s="76" t="s">
        <v>671</v>
      </c>
      <c r="C31" s="155"/>
      <c r="D31" s="156"/>
      <c r="E31" s="13">
        <f t="shared" si="2"/>
        <v>2</v>
      </c>
      <c r="F31" s="54">
        <v>44565.0</v>
      </c>
      <c r="G31" s="31"/>
      <c r="H31" s="32">
        <v>60.0</v>
      </c>
      <c r="I31" s="157"/>
      <c r="J31" s="83" t="s">
        <v>672</v>
      </c>
      <c r="K31" s="77"/>
      <c r="L31" s="77"/>
      <c r="M31" s="77"/>
      <c r="N31" s="77"/>
      <c r="O31" s="77"/>
      <c r="P31" s="77"/>
      <c r="Q31" s="77"/>
    </row>
    <row r="32" outlineLevel="1">
      <c r="A32" s="11" t="s">
        <v>40</v>
      </c>
      <c r="B32" s="83" t="s">
        <v>673</v>
      </c>
      <c r="C32" s="194"/>
      <c r="D32" s="195"/>
      <c r="E32" s="207">
        <f t="shared" si="2"/>
        <v>2</v>
      </c>
      <c r="F32" s="211">
        <v>44565.0</v>
      </c>
      <c r="G32" s="70"/>
      <c r="H32" s="32">
        <v>70.95</v>
      </c>
      <c r="I32" s="197"/>
      <c r="J32" s="83" t="s">
        <v>674</v>
      </c>
      <c r="K32" s="84"/>
      <c r="L32" s="84"/>
      <c r="M32" s="84"/>
      <c r="N32" s="84"/>
      <c r="O32" s="84"/>
      <c r="P32" s="84"/>
      <c r="Q32" s="84"/>
    </row>
    <row r="33" outlineLevel="1">
      <c r="A33" s="11" t="s">
        <v>40</v>
      </c>
      <c r="B33" s="76" t="s">
        <v>675</v>
      </c>
      <c r="C33" s="155"/>
      <c r="D33" s="156"/>
      <c r="E33" s="193">
        <f t="shared" si="2"/>
        <v>2</v>
      </c>
      <c r="F33" s="196">
        <v>44566.0</v>
      </c>
      <c r="G33" s="31"/>
      <c r="H33" s="32">
        <v>30.55</v>
      </c>
      <c r="I33" s="157"/>
      <c r="J33" s="76" t="s">
        <v>243</v>
      </c>
      <c r="K33" s="77"/>
      <c r="L33" s="77"/>
      <c r="M33" s="77"/>
      <c r="N33" s="77"/>
      <c r="O33" s="77"/>
      <c r="P33" s="77"/>
      <c r="Q33" s="77"/>
    </row>
    <row r="34" outlineLevel="1">
      <c r="A34" s="11" t="s">
        <v>40</v>
      </c>
      <c r="B34" s="76" t="s">
        <v>676</v>
      </c>
      <c r="C34" s="155"/>
      <c r="D34" s="156"/>
      <c r="E34" s="193">
        <f t="shared" si="2"/>
        <v>2</v>
      </c>
      <c r="F34" s="196">
        <v>44573.0</v>
      </c>
      <c r="G34" s="31"/>
      <c r="H34" s="32">
        <v>153.12</v>
      </c>
      <c r="I34" s="157"/>
      <c r="J34" s="76" t="s">
        <v>677</v>
      </c>
      <c r="K34" s="77"/>
      <c r="L34" s="77"/>
      <c r="M34" s="77"/>
      <c r="N34" s="77"/>
      <c r="O34" s="77"/>
      <c r="P34" s="77"/>
      <c r="Q34" s="77"/>
    </row>
    <row r="35" outlineLevel="1">
      <c r="A35" s="11" t="s">
        <v>40</v>
      </c>
      <c r="B35" s="76" t="s">
        <v>678</v>
      </c>
      <c r="C35" s="155"/>
      <c r="D35" s="156"/>
      <c r="E35" s="193">
        <f t="shared" si="2"/>
        <v>2</v>
      </c>
      <c r="F35" s="196">
        <v>44575.0</v>
      </c>
      <c r="G35" s="31"/>
      <c r="H35" s="32">
        <v>172.5</v>
      </c>
      <c r="I35" s="157"/>
      <c r="J35" s="76" t="s">
        <v>679</v>
      </c>
      <c r="K35" s="77"/>
      <c r="L35" s="77"/>
      <c r="M35" s="77"/>
      <c r="N35" s="77"/>
      <c r="O35" s="77"/>
      <c r="P35" s="77"/>
      <c r="Q35" s="77"/>
    </row>
    <row r="36" outlineLevel="1">
      <c r="A36" s="11" t="s">
        <v>40</v>
      </c>
      <c r="B36" s="76" t="s">
        <v>680</v>
      </c>
      <c r="C36" s="155"/>
      <c r="D36" s="156"/>
      <c r="E36" s="193">
        <f t="shared" si="2"/>
        <v>2</v>
      </c>
      <c r="F36" s="196">
        <v>44578.0</v>
      </c>
      <c r="G36" s="31"/>
      <c r="H36" s="32">
        <v>92.05</v>
      </c>
      <c r="I36" s="157"/>
      <c r="J36" s="76" t="s">
        <v>681</v>
      </c>
      <c r="K36" s="77"/>
      <c r="L36" s="77"/>
      <c r="M36" s="77"/>
      <c r="N36" s="77"/>
      <c r="O36" s="77"/>
      <c r="P36" s="77"/>
      <c r="Q36" s="77"/>
    </row>
    <row r="37" outlineLevel="1">
      <c r="A37" s="11" t="s">
        <v>40</v>
      </c>
      <c r="B37" s="76" t="s">
        <v>637</v>
      </c>
      <c r="C37" s="155"/>
      <c r="D37" s="156"/>
      <c r="E37" s="13">
        <f t="shared" si="2"/>
        <v>2</v>
      </c>
      <c r="F37" s="196">
        <v>44578.0</v>
      </c>
      <c r="G37" s="31"/>
      <c r="H37" s="32">
        <v>164.34</v>
      </c>
      <c r="I37" s="157"/>
      <c r="J37" s="83" t="s">
        <v>638</v>
      </c>
      <c r="K37" s="77"/>
      <c r="L37" s="77"/>
      <c r="M37" s="77"/>
      <c r="N37" s="77"/>
      <c r="O37" s="77"/>
      <c r="P37" s="77"/>
      <c r="Q37" s="77"/>
    </row>
    <row r="38" outlineLevel="1">
      <c r="A38" s="11" t="s">
        <v>40</v>
      </c>
      <c r="B38" s="42" t="s">
        <v>47</v>
      </c>
      <c r="C38" s="187"/>
      <c r="D38" s="108"/>
      <c r="E38" s="144">
        <f t="shared" si="2"/>
        <v>2</v>
      </c>
      <c r="F38" s="196">
        <v>44578.0</v>
      </c>
      <c r="G38" s="45"/>
      <c r="H38" s="46">
        <v>-15.02</v>
      </c>
      <c r="I38" s="188"/>
      <c r="J38" s="42" t="s">
        <v>48</v>
      </c>
      <c r="K38" s="68"/>
      <c r="L38" s="68"/>
      <c r="M38" s="68"/>
      <c r="N38" s="68"/>
      <c r="O38" s="68"/>
      <c r="P38" s="68"/>
      <c r="Q38" s="68"/>
    </row>
    <row r="39" outlineLevel="1">
      <c r="A39" s="11" t="s">
        <v>40</v>
      </c>
      <c r="B39" s="42" t="s">
        <v>47</v>
      </c>
      <c r="C39" s="187"/>
      <c r="D39" s="108"/>
      <c r="E39" s="144">
        <f t="shared" si="2"/>
        <v>2</v>
      </c>
      <c r="F39" s="196">
        <v>44578.0</v>
      </c>
      <c r="G39" s="45"/>
      <c r="H39" s="46">
        <v>-15.02</v>
      </c>
      <c r="I39" s="188"/>
      <c r="J39" s="42" t="s">
        <v>48</v>
      </c>
      <c r="K39" s="68"/>
      <c r="L39" s="68"/>
      <c r="M39" s="68"/>
      <c r="N39" s="68"/>
      <c r="O39" s="68"/>
      <c r="P39" s="68"/>
      <c r="Q39" s="68"/>
    </row>
    <row r="40" outlineLevel="1">
      <c r="A40" s="11" t="s">
        <v>40</v>
      </c>
      <c r="B40" s="76" t="s">
        <v>637</v>
      </c>
      <c r="C40" s="155"/>
      <c r="D40" s="156"/>
      <c r="E40" s="13">
        <f t="shared" si="2"/>
        <v>2</v>
      </c>
      <c r="F40" s="196">
        <v>44580.0</v>
      </c>
      <c r="G40" s="31"/>
      <c r="H40" s="32">
        <v>120.5</v>
      </c>
      <c r="I40" s="157"/>
      <c r="J40" s="83" t="s">
        <v>638</v>
      </c>
      <c r="K40" s="77"/>
      <c r="L40" s="77"/>
      <c r="M40" s="77"/>
      <c r="N40" s="77"/>
      <c r="O40" s="77"/>
      <c r="P40" s="77"/>
      <c r="Q40" s="77"/>
    </row>
    <row r="41" outlineLevel="1">
      <c r="A41" s="11" t="s">
        <v>40</v>
      </c>
      <c r="B41" s="198" t="s">
        <v>402</v>
      </c>
      <c r="C41" s="194"/>
      <c r="D41" s="195"/>
      <c r="E41" s="13">
        <f t="shared" si="2"/>
        <v>2</v>
      </c>
      <c r="F41" s="196">
        <v>44582.0</v>
      </c>
      <c r="G41" s="70"/>
      <c r="H41" s="36">
        <v>38.5</v>
      </c>
      <c r="I41" s="78"/>
      <c r="J41" s="83" t="s">
        <v>682</v>
      </c>
      <c r="K41" s="70"/>
      <c r="L41" s="70"/>
      <c r="M41" s="70"/>
      <c r="N41" s="70"/>
      <c r="O41" s="70"/>
      <c r="P41" s="70"/>
      <c r="Q41" s="70"/>
    </row>
    <row r="42" outlineLevel="1">
      <c r="A42" s="11" t="s">
        <v>40</v>
      </c>
      <c r="B42" s="76" t="s">
        <v>637</v>
      </c>
      <c r="C42" s="155"/>
      <c r="D42" s="156"/>
      <c r="E42" s="13">
        <f t="shared" si="2"/>
        <v>2</v>
      </c>
      <c r="F42" s="196">
        <v>44589.0</v>
      </c>
      <c r="G42" s="31"/>
      <c r="H42" s="32">
        <v>70.44</v>
      </c>
      <c r="I42" s="157"/>
      <c r="J42" s="83" t="s">
        <v>638</v>
      </c>
      <c r="K42" s="77"/>
      <c r="L42" s="77"/>
      <c r="M42" s="77"/>
      <c r="N42" s="77"/>
      <c r="O42" s="77"/>
      <c r="P42" s="77"/>
      <c r="Q42" s="77"/>
    </row>
    <row r="43" outlineLevel="1">
      <c r="A43" s="11" t="s">
        <v>40</v>
      </c>
      <c r="B43" s="69" t="s">
        <v>683</v>
      </c>
      <c r="C43" s="194"/>
      <c r="D43" s="195"/>
      <c r="E43" s="207">
        <f t="shared" si="2"/>
        <v>2</v>
      </c>
      <c r="F43" s="196">
        <v>44589.0</v>
      </c>
      <c r="G43" s="70"/>
      <c r="H43" s="36">
        <v>58.37</v>
      </c>
      <c r="I43" s="197"/>
      <c r="J43" s="223" t="s">
        <v>638</v>
      </c>
      <c r="K43" s="70"/>
      <c r="L43" s="70"/>
      <c r="M43" s="70"/>
      <c r="N43" s="70"/>
      <c r="O43" s="70"/>
      <c r="P43" s="70"/>
      <c r="Q43" s="70"/>
    </row>
    <row r="44">
      <c r="A44" s="11" t="s">
        <v>5</v>
      </c>
      <c r="B44" s="90" t="s">
        <v>59</v>
      </c>
      <c r="C44" s="13">
        <v>8.0</v>
      </c>
      <c r="D44" s="14" t="str">
        <f t="shared" ref="D44:D50" si="3">UPPER(TEXT(WEEKDAY(DATEVALUE(CONCATENATE(C44,"/",$C$3,"/",$A$1))),"DDD"))</f>
        <v>TER.</v>
      </c>
      <c r="E44" s="13">
        <f t="shared" si="2"/>
        <v>2</v>
      </c>
      <c r="F44" s="87">
        <v>44593.0</v>
      </c>
      <c r="G44" s="56"/>
      <c r="H44" s="88">
        <v>495.76</v>
      </c>
      <c r="I44" s="58" t="s">
        <v>17</v>
      </c>
      <c r="J44" s="21" t="s">
        <v>60</v>
      </c>
      <c r="K44" s="59"/>
      <c r="L44" s="59"/>
      <c r="M44" s="59"/>
      <c r="N44" s="59"/>
      <c r="O44" s="59"/>
      <c r="P44" s="59"/>
      <c r="Q44" s="59"/>
    </row>
    <row r="45">
      <c r="A45" s="11" t="s">
        <v>5</v>
      </c>
      <c r="B45" s="39" t="s">
        <v>61</v>
      </c>
      <c r="C45" s="13">
        <v>8.0</v>
      </c>
      <c r="D45" s="14" t="str">
        <f t="shared" si="3"/>
        <v>TER.</v>
      </c>
      <c r="E45" s="13">
        <f t="shared" si="2"/>
        <v>2</v>
      </c>
      <c r="F45" s="87">
        <v>44593.0</v>
      </c>
      <c r="G45" s="45"/>
      <c r="H45" s="46">
        <v>117.09</v>
      </c>
      <c r="I45" s="58" t="s">
        <v>17</v>
      </c>
      <c r="J45" s="21" t="s">
        <v>62</v>
      </c>
      <c r="K45" s="39"/>
      <c r="L45" s="39"/>
      <c r="M45" s="39"/>
      <c r="N45" s="39"/>
      <c r="O45" s="39"/>
      <c r="P45" s="39"/>
      <c r="Q45" s="39"/>
    </row>
    <row r="46">
      <c r="A46" s="11" t="s">
        <v>5</v>
      </c>
      <c r="B46" s="83" t="s">
        <v>442</v>
      </c>
      <c r="C46" s="207">
        <v>8.0</v>
      </c>
      <c r="D46" s="81" t="str">
        <f t="shared" si="3"/>
        <v>TER.</v>
      </c>
      <c r="E46" s="207">
        <f t="shared" si="2"/>
        <v>2</v>
      </c>
      <c r="F46" s="87">
        <v>44593.0</v>
      </c>
      <c r="G46" s="70"/>
      <c r="H46" s="36">
        <v>39.9</v>
      </c>
      <c r="I46" s="47" t="s">
        <v>17</v>
      </c>
      <c r="J46" s="103" t="s">
        <v>443</v>
      </c>
      <c r="K46" s="99"/>
      <c r="L46" s="99"/>
      <c r="M46" s="99"/>
      <c r="N46" s="99"/>
      <c r="O46" s="99"/>
      <c r="P46" s="99"/>
      <c r="Q46" s="99"/>
    </row>
    <row r="47">
      <c r="A47" s="71" t="s">
        <v>5</v>
      </c>
      <c r="B47" s="29" t="s">
        <v>518</v>
      </c>
      <c r="C47" s="73">
        <v>9.0</v>
      </c>
      <c r="D47" s="74" t="str">
        <f t="shared" si="3"/>
        <v>QUA.</v>
      </c>
      <c r="E47" s="193">
        <f t="shared" si="2"/>
        <v>2</v>
      </c>
      <c r="F47" s="30"/>
      <c r="G47" s="31"/>
      <c r="H47" s="32">
        <v>36.23</v>
      </c>
      <c r="I47" s="71" t="s">
        <v>252</v>
      </c>
      <c r="J47" s="72" t="s">
        <v>22</v>
      </c>
      <c r="K47" s="31"/>
      <c r="L47" s="31"/>
      <c r="M47" s="31"/>
      <c r="N47" s="31"/>
      <c r="O47" s="31"/>
      <c r="P47" s="31"/>
      <c r="Q47" s="31"/>
    </row>
    <row r="48">
      <c r="A48" s="11" t="s">
        <v>5</v>
      </c>
      <c r="B48" s="34" t="s">
        <v>444</v>
      </c>
      <c r="C48" s="13">
        <v>10.0</v>
      </c>
      <c r="D48" s="14" t="str">
        <f t="shared" si="3"/>
        <v>QUI.</v>
      </c>
      <c r="E48" s="13">
        <f t="shared" si="2"/>
        <v>2</v>
      </c>
      <c r="F48" s="87">
        <v>44593.0</v>
      </c>
      <c r="G48" s="56"/>
      <c r="H48" s="63">
        <v>1022.0</v>
      </c>
      <c r="I48" s="58" t="s">
        <v>17</v>
      </c>
      <c r="J48" s="21" t="s">
        <v>67</v>
      </c>
      <c r="K48" s="59"/>
      <c r="L48" s="59"/>
      <c r="M48" s="59"/>
      <c r="N48" s="59"/>
      <c r="O48" s="59"/>
      <c r="P48" s="59"/>
      <c r="Q48" s="59"/>
    </row>
    <row r="49">
      <c r="A49" s="11" t="s">
        <v>5</v>
      </c>
      <c r="B49" s="44" t="s">
        <v>684</v>
      </c>
      <c r="C49" s="13">
        <v>10.0</v>
      </c>
      <c r="D49" s="14" t="str">
        <f t="shared" si="3"/>
        <v>QUI.</v>
      </c>
      <c r="E49" s="13">
        <f t="shared" si="2"/>
        <v>2</v>
      </c>
      <c r="F49" s="87"/>
      <c r="G49" s="45"/>
      <c r="H49" s="46">
        <v>73.61</v>
      </c>
      <c r="I49" s="58" t="s">
        <v>17</v>
      </c>
      <c r="J49" s="21" t="s">
        <v>668</v>
      </c>
      <c r="K49" s="39"/>
      <c r="L49" s="39"/>
      <c r="M49" s="39"/>
      <c r="N49" s="39"/>
      <c r="O49" s="39"/>
      <c r="P49" s="39"/>
      <c r="Q49" s="39"/>
    </row>
    <row r="50">
      <c r="A50" s="11" t="s">
        <v>5</v>
      </c>
      <c r="B50" s="177" t="s">
        <v>84</v>
      </c>
      <c r="C50" s="148">
        <v>11.0</v>
      </c>
      <c r="D50" s="25" t="str">
        <f t="shared" si="3"/>
        <v>SEX.</v>
      </c>
      <c r="E50" s="13">
        <f t="shared" si="2"/>
        <v>2</v>
      </c>
      <c r="F50" s="87">
        <v>44596.0</v>
      </c>
      <c r="G50" s="56"/>
      <c r="H50" s="101">
        <f>SUM(H51:H60)</f>
        <v>663.74</v>
      </c>
      <c r="I50" s="23" t="s">
        <v>17</v>
      </c>
      <c r="J50" s="40"/>
      <c r="K50" s="56"/>
      <c r="L50" s="56"/>
      <c r="M50" s="56"/>
      <c r="N50" s="56"/>
      <c r="O50" s="56"/>
      <c r="P50" s="56"/>
      <c r="Q50" s="56"/>
    </row>
    <row r="51" outlineLevel="1">
      <c r="A51" s="11" t="s">
        <v>40</v>
      </c>
      <c r="B51" s="72" t="s">
        <v>117</v>
      </c>
      <c r="C51" s="73"/>
      <c r="D51" s="74"/>
      <c r="E51" s="193">
        <f t="shared" si="2"/>
        <v>2</v>
      </c>
      <c r="F51" s="87">
        <v>44566.0</v>
      </c>
      <c r="G51" s="31"/>
      <c r="H51" s="153">
        <v>20.0</v>
      </c>
      <c r="I51" s="71"/>
      <c r="J51" s="72" t="s">
        <v>118</v>
      </c>
      <c r="K51" s="157"/>
      <c r="L51" s="157"/>
      <c r="M51" s="157"/>
      <c r="N51" s="157"/>
      <c r="O51" s="77"/>
      <c r="P51" s="77"/>
      <c r="Q51" s="77"/>
    </row>
    <row r="52" outlineLevel="1">
      <c r="A52" s="11" t="s">
        <v>40</v>
      </c>
      <c r="B52" s="76" t="s">
        <v>685</v>
      </c>
      <c r="C52" s="155"/>
      <c r="D52" s="156"/>
      <c r="E52" s="193">
        <f t="shared" si="2"/>
        <v>2</v>
      </c>
      <c r="F52" s="87">
        <v>44567.0</v>
      </c>
      <c r="G52" s="31"/>
      <c r="H52" s="32">
        <v>194.52</v>
      </c>
      <c r="I52" s="23"/>
      <c r="J52" s="79" t="s">
        <v>399</v>
      </c>
      <c r="K52" s="77"/>
      <c r="L52" s="77"/>
      <c r="M52" s="77"/>
      <c r="N52" s="77"/>
      <c r="O52" s="77"/>
      <c r="P52" s="77"/>
      <c r="Q52" s="77"/>
    </row>
    <row r="53" outlineLevel="1">
      <c r="A53" s="11" t="s">
        <v>40</v>
      </c>
      <c r="B53" s="76" t="s">
        <v>686</v>
      </c>
      <c r="C53" s="13"/>
      <c r="D53" s="13"/>
      <c r="E53" s="13">
        <v>2.0</v>
      </c>
      <c r="F53" s="87">
        <v>44569.0</v>
      </c>
      <c r="G53" s="16"/>
      <c r="H53" s="32">
        <v>31.97</v>
      </c>
      <c r="I53" s="23"/>
      <c r="J53" s="21" t="s">
        <v>224</v>
      </c>
      <c r="K53" s="216"/>
      <c r="L53" s="216"/>
      <c r="M53" s="216"/>
      <c r="N53" s="216"/>
      <c r="O53" s="216"/>
      <c r="P53" s="216"/>
      <c r="Q53" s="216"/>
    </row>
    <row r="54" outlineLevel="1">
      <c r="A54" s="11" t="s">
        <v>40</v>
      </c>
      <c r="B54" s="83" t="s">
        <v>601</v>
      </c>
      <c r="C54" s="194"/>
      <c r="D54" s="195"/>
      <c r="E54" s="193">
        <f t="shared" ref="E54:E110" si="4">$C$3</f>
        <v>2</v>
      </c>
      <c r="F54" s="196">
        <v>44571.0</v>
      </c>
      <c r="G54" s="70"/>
      <c r="H54" s="36">
        <v>16.24</v>
      </c>
      <c r="I54" s="70"/>
      <c r="J54" s="83" t="s">
        <v>88</v>
      </c>
      <c r="K54" s="84"/>
      <c r="L54" s="84"/>
      <c r="M54" s="84"/>
      <c r="N54" s="84"/>
      <c r="O54" s="84"/>
      <c r="P54" s="84"/>
      <c r="Q54" s="84"/>
    </row>
    <row r="55" outlineLevel="1">
      <c r="A55" s="11" t="s">
        <v>40</v>
      </c>
      <c r="B55" s="79" t="s">
        <v>514</v>
      </c>
      <c r="C55" s="194"/>
      <c r="D55" s="195"/>
      <c r="E55" s="210">
        <f t="shared" si="4"/>
        <v>2</v>
      </c>
      <c r="F55" s="196">
        <v>44575.0</v>
      </c>
      <c r="G55" s="70"/>
      <c r="H55" s="36">
        <v>34.9</v>
      </c>
      <c r="I55" s="70"/>
      <c r="J55" s="79" t="s">
        <v>513</v>
      </c>
      <c r="K55" s="84"/>
      <c r="L55" s="84"/>
      <c r="M55" s="84"/>
      <c r="N55" s="84"/>
      <c r="O55" s="84"/>
      <c r="P55" s="84"/>
      <c r="Q55" s="84"/>
    </row>
    <row r="56" outlineLevel="1">
      <c r="A56" s="11" t="s">
        <v>40</v>
      </c>
      <c r="B56" s="79" t="s">
        <v>514</v>
      </c>
      <c r="C56" s="194"/>
      <c r="D56" s="195"/>
      <c r="E56" s="210">
        <f t="shared" si="4"/>
        <v>2</v>
      </c>
      <c r="F56" s="196">
        <v>44579.0</v>
      </c>
      <c r="G56" s="70"/>
      <c r="H56" s="36">
        <v>16.99</v>
      </c>
      <c r="I56" s="70"/>
      <c r="J56" s="79" t="s">
        <v>513</v>
      </c>
      <c r="K56" s="84"/>
      <c r="L56" s="84"/>
      <c r="M56" s="84"/>
      <c r="N56" s="84"/>
      <c r="O56" s="84"/>
      <c r="P56" s="84"/>
      <c r="Q56" s="84"/>
    </row>
    <row r="57" outlineLevel="1">
      <c r="A57" s="11" t="s">
        <v>40</v>
      </c>
      <c r="B57" s="76" t="s">
        <v>563</v>
      </c>
      <c r="C57" s="155"/>
      <c r="D57" s="156"/>
      <c r="E57" s="193">
        <f t="shared" si="4"/>
        <v>2</v>
      </c>
      <c r="F57" s="196">
        <v>44586.0</v>
      </c>
      <c r="G57" s="31"/>
      <c r="H57" s="32">
        <v>31.9</v>
      </c>
      <c r="I57" s="31"/>
      <c r="J57" s="83" t="s">
        <v>88</v>
      </c>
      <c r="K57" s="77"/>
      <c r="L57" s="77"/>
      <c r="M57" s="77"/>
      <c r="N57" s="77"/>
      <c r="O57" s="77"/>
      <c r="P57" s="77"/>
      <c r="Q57" s="77"/>
    </row>
    <row r="58" outlineLevel="1">
      <c r="A58" s="11" t="s">
        <v>40</v>
      </c>
      <c r="B58" s="79" t="s">
        <v>87</v>
      </c>
      <c r="C58" s="194"/>
      <c r="D58" s="195"/>
      <c r="E58" s="193">
        <f t="shared" si="4"/>
        <v>2</v>
      </c>
      <c r="F58" s="196">
        <v>44587.0</v>
      </c>
      <c r="G58" s="70"/>
      <c r="H58" s="151">
        <v>9.9</v>
      </c>
      <c r="I58" s="70"/>
      <c r="J58" s="83" t="s">
        <v>88</v>
      </c>
      <c r="K58" s="84"/>
      <c r="L58" s="84"/>
      <c r="M58" s="84"/>
      <c r="N58" s="84"/>
      <c r="O58" s="84"/>
      <c r="P58" s="84"/>
      <c r="Q58" s="84"/>
    </row>
    <row r="59" outlineLevel="1">
      <c r="A59" s="11" t="s">
        <v>40</v>
      </c>
      <c r="B59" s="44" t="s">
        <v>687</v>
      </c>
      <c r="C59" s="187"/>
      <c r="D59" s="108"/>
      <c r="E59" s="193">
        <f t="shared" si="4"/>
        <v>2</v>
      </c>
      <c r="F59" s="196">
        <v>44590.0</v>
      </c>
      <c r="G59" s="45"/>
      <c r="H59" s="46">
        <v>262.33</v>
      </c>
      <c r="I59" s="45"/>
      <c r="J59" s="44" t="s">
        <v>652</v>
      </c>
      <c r="K59" s="68"/>
      <c r="L59" s="68"/>
      <c r="M59" s="68"/>
      <c r="N59" s="68"/>
      <c r="O59" s="68"/>
      <c r="P59" s="68"/>
      <c r="Q59" s="68"/>
    </row>
    <row r="60" outlineLevel="1">
      <c r="A60" s="11" t="s">
        <v>40</v>
      </c>
      <c r="B60" s="76" t="s">
        <v>515</v>
      </c>
      <c r="C60" s="155"/>
      <c r="D60" s="156"/>
      <c r="E60" s="193">
        <f t="shared" si="4"/>
        <v>2</v>
      </c>
      <c r="F60" s="54">
        <v>44593.0</v>
      </c>
      <c r="G60" s="31"/>
      <c r="H60" s="32">
        <v>44.99</v>
      </c>
      <c r="I60" s="31"/>
      <c r="J60" s="76" t="s">
        <v>516</v>
      </c>
      <c r="K60" s="77"/>
      <c r="L60" s="77"/>
      <c r="M60" s="77"/>
      <c r="N60" s="77"/>
      <c r="O60" s="77"/>
      <c r="P60" s="77"/>
      <c r="Q60" s="77"/>
    </row>
    <row r="61">
      <c r="A61" s="71" t="s">
        <v>5</v>
      </c>
      <c r="B61" s="29" t="s">
        <v>518</v>
      </c>
      <c r="C61" s="73">
        <v>11.0</v>
      </c>
      <c r="D61" s="74" t="str">
        <f t="shared" ref="D61:D110" si="5">UPPER(TEXT(WEEKDAY(DATEVALUE(CONCATENATE(C61,"/",$C$3,"/",$A$1))),"DDD"))</f>
        <v>SEX.</v>
      </c>
      <c r="E61" s="193">
        <f t="shared" si="4"/>
        <v>2</v>
      </c>
      <c r="F61" s="30"/>
      <c r="G61" s="31"/>
      <c r="H61" s="32">
        <v>50.5</v>
      </c>
      <c r="I61" s="71" t="s">
        <v>252</v>
      </c>
      <c r="J61" s="72" t="s">
        <v>22</v>
      </c>
      <c r="K61" s="31"/>
      <c r="L61" s="31"/>
      <c r="M61" s="31"/>
      <c r="N61" s="31"/>
      <c r="O61" s="31"/>
      <c r="P61" s="31"/>
      <c r="Q61" s="31"/>
    </row>
    <row r="62">
      <c r="A62" s="71" t="s">
        <v>5</v>
      </c>
      <c r="B62" s="159" t="s">
        <v>688</v>
      </c>
      <c r="C62" s="73">
        <v>12.0</v>
      </c>
      <c r="D62" s="74" t="str">
        <f t="shared" si="5"/>
        <v>SÁB.</v>
      </c>
      <c r="E62" s="193">
        <f t="shared" si="4"/>
        <v>2</v>
      </c>
      <c r="F62" s="30"/>
      <c r="G62" s="31"/>
      <c r="H62" s="32">
        <v>28.3</v>
      </c>
      <c r="I62" s="58" t="s">
        <v>17</v>
      </c>
      <c r="J62" s="76" t="s">
        <v>689</v>
      </c>
      <c r="K62" s="31"/>
      <c r="L62" s="31"/>
      <c r="M62" s="31"/>
      <c r="N62" s="31"/>
      <c r="O62" s="31"/>
      <c r="P62" s="31"/>
      <c r="Q62" s="31"/>
    </row>
    <row r="63">
      <c r="A63" s="192" t="s">
        <v>5</v>
      </c>
      <c r="B63" s="185" t="s">
        <v>138</v>
      </c>
      <c r="C63" s="66">
        <v>13.0</v>
      </c>
      <c r="D63" s="14" t="str">
        <f t="shared" si="5"/>
        <v>DOM.</v>
      </c>
      <c r="E63" s="13">
        <f t="shared" si="4"/>
        <v>2</v>
      </c>
      <c r="F63" s="43"/>
      <c r="G63" s="45"/>
      <c r="H63" s="46">
        <v>29.9</v>
      </c>
      <c r="I63" s="41" t="s">
        <v>252</v>
      </c>
      <c r="J63" s="42" t="s">
        <v>20</v>
      </c>
      <c r="K63" s="45"/>
      <c r="L63" s="45"/>
      <c r="M63" s="45"/>
      <c r="N63" s="45"/>
      <c r="O63" s="45"/>
      <c r="P63" s="45"/>
      <c r="Q63" s="45"/>
    </row>
    <row r="64">
      <c r="A64" s="192" t="s">
        <v>5</v>
      </c>
      <c r="B64" s="177" t="s">
        <v>21</v>
      </c>
      <c r="C64" s="62">
        <v>13.0</v>
      </c>
      <c r="D64" s="25" t="str">
        <f t="shared" si="5"/>
        <v>DOM.</v>
      </c>
      <c r="E64" s="13">
        <f t="shared" si="4"/>
        <v>2</v>
      </c>
      <c r="F64" s="26"/>
      <c r="G64" s="56"/>
      <c r="H64" s="63">
        <v>118.78</v>
      </c>
      <c r="I64" s="33" t="s">
        <v>252</v>
      </c>
      <c r="J64" s="173" t="s">
        <v>22</v>
      </c>
      <c r="K64" s="56"/>
      <c r="L64" s="56"/>
      <c r="M64" s="56"/>
      <c r="N64" s="56"/>
      <c r="O64" s="56"/>
      <c r="P64" s="56"/>
      <c r="Q64" s="56"/>
    </row>
    <row r="65">
      <c r="A65" s="11" t="s">
        <v>5</v>
      </c>
      <c r="B65" s="178" t="s">
        <v>609</v>
      </c>
      <c r="C65" s="66">
        <v>15.0</v>
      </c>
      <c r="D65" s="14" t="str">
        <f t="shared" si="5"/>
        <v>TER.</v>
      </c>
      <c r="E65" s="144">
        <f t="shared" si="4"/>
        <v>2</v>
      </c>
      <c r="F65" s="43"/>
      <c r="G65" s="46">
        <v>4948.56</v>
      </c>
      <c r="H65" s="45"/>
      <c r="I65" s="65" t="s">
        <v>261</v>
      </c>
      <c r="J65" s="42" t="s">
        <v>64</v>
      </c>
      <c r="K65" s="45"/>
      <c r="L65" s="45"/>
      <c r="M65" s="45"/>
      <c r="N65" s="45"/>
      <c r="O65" s="45"/>
      <c r="P65" s="45"/>
      <c r="Q65" s="45"/>
    </row>
    <row r="66">
      <c r="A66" s="11" t="s">
        <v>25</v>
      </c>
      <c r="B66" s="39" t="s">
        <v>26</v>
      </c>
      <c r="C66" s="66">
        <v>15.0</v>
      </c>
      <c r="D66" s="14" t="str">
        <f t="shared" si="5"/>
        <v>TER.</v>
      </c>
      <c r="E66" s="13">
        <f t="shared" si="4"/>
        <v>2</v>
      </c>
      <c r="F66" s="87"/>
      <c r="G66" s="45"/>
      <c r="H66" s="46">
        <v>4948.56</v>
      </c>
      <c r="I66" s="67" t="s">
        <v>261</v>
      </c>
      <c r="J66" s="42"/>
      <c r="K66" s="68"/>
      <c r="L66" s="68"/>
      <c r="M66" s="68"/>
      <c r="N66" s="68"/>
      <c r="O66" s="68"/>
      <c r="P66" s="68"/>
      <c r="Q66" s="68"/>
    </row>
    <row r="67">
      <c r="A67" s="11" t="s">
        <v>25</v>
      </c>
      <c r="B67" s="61" t="s">
        <v>27</v>
      </c>
      <c r="C67" s="148">
        <v>15.0</v>
      </c>
      <c r="D67" s="25" t="str">
        <f t="shared" si="5"/>
        <v>TER.</v>
      </c>
      <c r="E67" s="13">
        <f t="shared" si="4"/>
        <v>2</v>
      </c>
      <c r="F67" s="87"/>
      <c r="G67" s="63">
        <v>4948.56</v>
      </c>
      <c r="H67" s="56"/>
      <c r="I67" s="37" t="s">
        <v>15</v>
      </c>
      <c r="J67" s="40"/>
      <c r="K67" s="59"/>
      <c r="L67" s="59"/>
      <c r="M67" s="59"/>
      <c r="N67" s="59"/>
      <c r="O67" s="59"/>
      <c r="P67" s="59"/>
      <c r="Q67" s="59"/>
    </row>
    <row r="68">
      <c r="A68" s="11" t="s">
        <v>25</v>
      </c>
      <c r="B68" s="177" t="s">
        <v>26</v>
      </c>
      <c r="C68" s="148">
        <v>15.0</v>
      </c>
      <c r="D68" s="25" t="str">
        <f t="shared" si="5"/>
        <v>TER.</v>
      </c>
      <c r="E68" s="184">
        <f t="shared" si="4"/>
        <v>2</v>
      </c>
      <c r="F68" s="26"/>
      <c r="G68" s="56"/>
      <c r="H68" s="63">
        <v>350.0</v>
      </c>
      <c r="I68" s="37" t="s">
        <v>15</v>
      </c>
      <c r="J68" s="218"/>
      <c r="K68" s="56"/>
      <c r="L68" s="56"/>
      <c r="M68" s="56"/>
      <c r="N68" s="56"/>
      <c r="O68" s="56"/>
      <c r="P68" s="56"/>
      <c r="Q68" s="56"/>
    </row>
    <row r="69">
      <c r="A69" s="11" t="s">
        <v>25</v>
      </c>
      <c r="B69" s="185" t="s">
        <v>27</v>
      </c>
      <c r="C69" s="66">
        <v>15.0</v>
      </c>
      <c r="D69" s="14" t="str">
        <f t="shared" si="5"/>
        <v>TER.</v>
      </c>
      <c r="E69" s="144">
        <f t="shared" si="4"/>
        <v>2</v>
      </c>
      <c r="F69" s="43"/>
      <c r="G69" s="46">
        <v>350.0</v>
      </c>
      <c r="H69" s="45"/>
      <c r="I69" s="67" t="s">
        <v>13</v>
      </c>
      <c r="J69" s="188"/>
      <c r="K69" s="45"/>
      <c r="L69" s="45"/>
      <c r="M69" s="45"/>
      <c r="N69" s="45"/>
      <c r="O69" s="45"/>
      <c r="P69" s="45"/>
      <c r="Q69" s="45"/>
    </row>
    <row r="70">
      <c r="A70" s="11" t="s">
        <v>5</v>
      </c>
      <c r="B70" s="39" t="s">
        <v>102</v>
      </c>
      <c r="C70" s="13">
        <v>15.0</v>
      </c>
      <c r="D70" s="14" t="str">
        <f t="shared" si="5"/>
        <v>TER.</v>
      </c>
      <c r="E70" s="13">
        <f t="shared" si="4"/>
        <v>2</v>
      </c>
      <c r="F70" s="87"/>
      <c r="G70" s="45"/>
      <c r="H70" s="46">
        <v>182.43</v>
      </c>
      <c r="I70" s="58" t="s">
        <v>15</v>
      </c>
      <c r="J70" s="21" t="s">
        <v>75</v>
      </c>
      <c r="K70" s="39"/>
      <c r="L70" s="39"/>
      <c r="M70" s="39"/>
      <c r="N70" s="39"/>
      <c r="O70" s="39"/>
      <c r="P70" s="39"/>
      <c r="Q70" s="39"/>
    </row>
    <row r="71">
      <c r="A71" s="11" t="s">
        <v>5</v>
      </c>
      <c r="B71" s="61" t="s">
        <v>103</v>
      </c>
      <c r="C71" s="13">
        <v>15.0</v>
      </c>
      <c r="D71" s="14" t="str">
        <f t="shared" si="5"/>
        <v>TER.</v>
      </c>
      <c r="E71" s="13">
        <f t="shared" si="4"/>
        <v>2</v>
      </c>
      <c r="F71" s="87"/>
      <c r="G71" s="56"/>
      <c r="H71" s="63">
        <v>182.43</v>
      </c>
      <c r="I71" s="58" t="s">
        <v>15</v>
      </c>
      <c r="J71" s="21" t="s">
        <v>75</v>
      </c>
      <c r="K71" s="61"/>
      <c r="L71" s="61"/>
      <c r="M71" s="61"/>
      <c r="N71" s="61"/>
      <c r="O71" s="61"/>
      <c r="P71" s="61"/>
      <c r="Q71" s="61"/>
    </row>
    <row r="72">
      <c r="A72" s="11" t="s">
        <v>5</v>
      </c>
      <c r="B72" s="39" t="s">
        <v>104</v>
      </c>
      <c r="C72" s="13">
        <v>15.0</v>
      </c>
      <c r="D72" s="14" t="str">
        <f t="shared" si="5"/>
        <v>TER.</v>
      </c>
      <c r="E72" s="13">
        <f t="shared" si="4"/>
        <v>2</v>
      </c>
      <c r="F72" s="87"/>
      <c r="G72" s="45"/>
      <c r="H72" s="46">
        <v>230.66</v>
      </c>
      <c r="I72" s="58" t="s">
        <v>15</v>
      </c>
      <c r="J72" s="21" t="s">
        <v>75</v>
      </c>
      <c r="K72" s="39"/>
      <c r="L72" s="39"/>
      <c r="M72" s="39"/>
      <c r="N72" s="39"/>
      <c r="O72" s="39"/>
      <c r="P72" s="39"/>
      <c r="Q72" s="39"/>
    </row>
    <row r="73">
      <c r="A73" s="11" t="s">
        <v>5</v>
      </c>
      <c r="B73" s="76" t="s">
        <v>520</v>
      </c>
      <c r="C73" s="73">
        <v>15.0</v>
      </c>
      <c r="D73" s="14" t="str">
        <f t="shared" si="5"/>
        <v>TER.</v>
      </c>
      <c r="E73" s="13">
        <f t="shared" si="4"/>
        <v>2</v>
      </c>
      <c r="F73" s="196"/>
      <c r="G73" s="31"/>
      <c r="H73" s="32">
        <v>25.94</v>
      </c>
      <c r="I73" s="58" t="s">
        <v>15</v>
      </c>
      <c r="J73" s="76" t="s">
        <v>485</v>
      </c>
      <c r="K73" s="77"/>
      <c r="L73" s="77"/>
      <c r="M73" s="77"/>
      <c r="N73" s="77"/>
      <c r="O73" s="77"/>
      <c r="P73" s="77"/>
      <c r="Q73" s="77"/>
    </row>
    <row r="74">
      <c r="A74" s="11" t="s">
        <v>595</v>
      </c>
      <c r="B74" s="42" t="s">
        <v>109</v>
      </c>
      <c r="C74" s="13">
        <v>15.0</v>
      </c>
      <c r="D74" s="14" t="str">
        <f t="shared" si="5"/>
        <v>TER.</v>
      </c>
      <c r="E74" s="13">
        <f t="shared" si="4"/>
        <v>2</v>
      </c>
      <c r="F74" s="14"/>
      <c r="G74" s="53">
        <v>2500.0</v>
      </c>
      <c r="H74" s="53"/>
      <c r="I74" s="58" t="s">
        <v>15</v>
      </c>
      <c r="J74" s="44" t="s">
        <v>411</v>
      </c>
      <c r="K74" s="42"/>
      <c r="L74" s="96"/>
      <c r="M74" s="21"/>
      <c r="N74" s="21"/>
      <c r="O74" s="39"/>
      <c r="P74" s="39"/>
      <c r="Q74" s="39"/>
    </row>
    <row r="75">
      <c r="A75" s="11" t="s">
        <v>5</v>
      </c>
      <c r="B75" s="72" t="s">
        <v>117</v>
      </c>
      <c r="C75" s="73">
        <v>15.0</v>
      </c>
      <c r="D75" s="74" t="str">
        <f t="shared" si="5"/>
        <v>TER.</v>
      </c>
      <c r="E75" s="193">
        <f t="shared" si="4"/>
        <v>2</v>
      </c>
      <c r="F75" s="30"/>
      <c r="G75" s="31"/>
      <c r="H75" s="153">
        <v>20.0</v>
      </c>
      <c r="I75" s="71" t="s">
        <v>17</v>
      </c>
      <c r="J75" s="72" t="s">
        <v>118</v>
      </c>
      <c r="K75" s="157"/>
      <c r="L75" s="157"/>
      <c r="M75" s="157"/>
      <c r="N75" s="157"/>
      <c r="O75" s="77"/>
      <c r="P75" s="77"/>
      <c r="Q75" s="77"/>
    </row>
    <row r="76">
      <c r="A76" s="11" t="s">
        <v>5</v>
      </c>
      <c r="B76" s="44" t="s">
        <v>690</v>
      </c>
      <c r="C76" s="13">
        <v>16.0</v>
      </c>
      <c r="D76" s="14" t="str">
        <f t="shared" si="5"/>
        <v>QUA.</v>
      </c>
      <c r="E76" s="13">
        <f t="shared" si="4"/>
        <v>2</v>
      </c>
      <c r="F76" s="85"/>
      <c r="G76" s="45"/>
      <c r="H76" s="46">
        <v>100.0</v>
      </c>
      <c r="I76" s="58" t="s">
        <v>15</v>
      </c>
      <c r="J76" s="21" t="s">
        <v>566</v>
      </c>
      <c r="K76" s="21"/>
      <c r="L76" s="21"/>
      <c r="M76" s="21"/>
      <c r="N76" s="21"/>
      <c r="O76" s="39"/>
      <c r="P76" s="39"/>
      <c r="Q76" s="39"/>
    </row>
    <row r="77">
      <c r="A77" s="11" t="s">
        <v>25</v>
      </c>
      <c r="B77" s="177" t="s">
        <v>26</v>
      </c>
      <c r="C77" s="148">
        <v>17.0</v>
      </c>
      <c r="D77" s="25" t="str">
        <f t="shared" si="5"/>
        <v>QUI.</v>
      </c>
      <c r="E77" s="184">
        <f t="shared" si="4"/>
        <v>2</v>
      </c>
      <c r="F77" s="26"/>
      <c r="G77" s="56"/>
      <c r="H77" s="63">
        <v>2961.04</v>
      </c>
      <c r="I77" s="37" t="s">
        <v>15</v>
      </c>
      <c r="J77" s="218"/>
      <c r="K77" s="56"/>
      <c r="L77" s="56"/>
      <c r="M77" s="56"/>
      <c r="N77" s="56"/>
      <c r="O77" s="56"/>
      <c r="P77" s="56"/>
      <c r="Q77" s="56"/>
    </row>
    <row r="78">
      <c r="A78" s="11" t="s">
        <v>25</v>
      </c>
      <c r="B78" s="185" t="s">
        <v>27</v>
      </c>
      <c r="C78" s="66">
        <v>17.0</v>
      </c>
      <c r="D78" s="14" t="str">
        <f t="shared" si="5"/>
        <v>QUI.</v>
      </c>
      <c r="E78" s="144">
        <f t="shared" si="4"/>
        <v>2</v>
      </c>
      <c r="F78" s="43"/>
      <c r="G78" s="46">
        <v>2961.04</v>
      </c>
      <c r="H78" s="45"/>
      <c r="I78" s="149" t="s">
        <v>17</v>
      </c>
      <c r="J78" s="188"/>
      <c r="K78" s="45"/>
      <c r="L78" s="45"/>
      <c r="M78" s="45"/>
      <c r="N78" s="45"/>
      <c r="O78" s="45"/>
      <c r="P78" s="45"/>
      <c r="Q78" s="45"/>
    </row>
    <row r="79">
      <c r="A79" s="11" t="s">
        <v>5</v>
      </c>
      <c r="B79" s="44" t="s">
        <v>691</v>
      </c>
      <c r="C79" s="13">
        <v>18.0</v>
      </c>
      <c r="D79" s="14" t="str">
        <f t="shared" si="5"/>
        <v>SEX.</v>
      </c>
      <c r="E79" s="13">
        <f t="shared" si="4"/>
        <v>2</v>
      </c>
      <c r="F79" s="94"/>
      <c r="G79" s="45"/>
      <c r="H79" s="46">
        <v>50.54</v>
      </c>
      <c r="I79" s="58" t="s">
        <v>17</v>
      </c>
      <c r="J79" s="21" t="s">
        <v>692</v>
      </c>
      <c r="K79" s="39"/>
      <c r="L79" s="39"/>
      <c r="M79" s="39"/>
      <c r="N79" s="39"/>
      <c r="O79" s="39"/>
      <c r="P79" s="39"/>
      <c r="Q79" s="39"/>
    </row>
    <row r="80">
      <c r="A80" s="192" t="s">
        <v>5</v>
      </c>
      <c r="B80" s="185" t="s">
        <v>138</v>
      </c>
      <c r="C80" s="66">
        <v>18.0</v>
      </c>
      <c r="D80" s="14" t="str">
        <f t="shared" si="5"/>
        <v>SEX.</v>
      </c>
      <c r="E80" s="13">
        <f t="shared" si="4"/>
        <v>2</v>
      </c>
      <c r="F80" s="43"/>
      <c r="G80" s="45"/>
      <c r="H80" s="46">
        <v>29.9</v>
      </c>
      <c r="I80" s="41" t="s">
        <v>252</v>
      </c>
      <c r="J80" s="42" t="s">
        <v>20</v>
      </c>
      <c r="K80" s="45"/>
      <c r="L80" s="45"/>
      <c r="M80" s="45"/>
      <c r="N80" s="45"/>
      <c r="O80" s="45"/>
      <c r="P80" s="45"/>
      <c r="Q80" s="45"/>
    </row>
    <row r="81">
      <c r="A81" s="192" t="s">
        <v>5</v>
      </c>
      <c r="B81" s="179" t="s">
        <v>427</v>
      </c>
      <c r="C81" s="62">
        <v>18.0</v>
      </c>
      <c r="D81" s="25" t="str">
        <f t="shared" si="5"/>
        <v>SEX.</v>
      </c>
      <c r="E81" s="13">
        <f t="shared" si="4"/>
        <v>2</v>
      </c>
      <c r="F81" s="26"/>
      <c r="G81" s="56"/>
      <c r="H81" s="63">
        <v>247.48</v>
      </c>
      <c r="I81" s="33" t="s">
        <v>252</v>
      </c>
      <c r="J81" s="173" t="s">
        <v>22</v>
      </c>
      <c r="K81" s="56"/>
      <c r="L81" s="56"/>
      <c r="M81" s="56"/>
      <c r="N81" s="56"/>
      <c r="O81" s="56"/>
      <c r="P81" s="56"/>
      <c r="Q81" s="56"/>
    </row>
    <row r="82">
      <c r="A82" s="192" t="s">
        <v>5</v>
      </c>
      <c r="B82" s="179" t="s">
        <v>21</v>
      </c>
      <c r="C82" s="62">
        <v>18.0</v>
      </c>
      <c r="D82" s="25" t="str">
        <f t="shared" si="5"/>
        <v>SEX.</v>
      </c>
      <c r="E82" s="13">
        <f t="shared" si="4"/>
        <v>2</v>
      </c>
      <c r="F82" s="26"/>
      <c r="G82" s="56"/>
      <c r="H82" s="63">
        <v>17.65</v>
      </c>
      <c r="I82" s="33" t="s">
        <v>252</v>
      </c>
      <c r="J82" s="173" t="s">
        <v>22</v>
      </c>
      <c r="K82" s="56"/>
      <c r="L82" s="56"/>
      <c r="M82" s="56"/>
      <c r="N82" s="56"/>
      <c r="O82" s="56"/>
      <c r="P82" s="56"/>
      <c r="Q82" s="56"/>
    </row>
    <row r="83">
      <c r="A83" s="11" t="s">
        <v>5</v>
      </c>
      <c r="B83" s="76" t="s">
        <v>661</v>
      </c>
      <c r="C83" s="80">
        <v>19.0</v>
      </c>
      <c r="D83" s="81" t="str">
        <f t="shared" si="5"/>
        <v>SÁB.</v>
      </c>
      <c r="E83" s="193">
        <f t="shared" si="4"/>
        <v>2</v>
      </c>
      <c r="F83" s="54"/>
      <c r="G83" s="31"/>
      <c r="H83" s="32">
        <v>237.17</v>
      </c>
      <c r="I83" s="180" t="s">
        <v>17</v>
      </c>
      <c r="J83" s="83" t="s">
        <v>31</v>
      </c>
      <c r="K83" s="77"/>
      <c r="L83" s="77"/>
      <c r="M83" s="77"/>
      <c r="N83" s="77"/>
      <c r="O83" s="77"/>
      <c r="P83" s="77"/>
      <c r="Q83" s="77"/>
    </row>
    <row r="84">
      <c r="A84" s="11" t="s">
        <v>5</v>
      </c>
      <c r="B84" s="90" t="s">
        <v>91</v>
      </c>
      <c r="C84" s="13">
        <v>19.0</v>
      </c>
      <c r="D84" s="14" t="str">
        <f t="shared" si="5"/>
        <v>SÁB.</v>
      </c>
      <c r="E84" s="13">
        <f t="shared" si="4"/>
        <v>2</v>
      </c>
      <c r="F84" s="26"/>
      <c r="G84" s="56"/>
      <c r="H84" s="88">
        <v>665.02</v>
      </c>
      <c r="I84" s="58" t="s">
        <v>17</v>
      </c>
      <c r="J84" s="21" t="s">
        <v>92</v>
      </c>
      <c r="K84" s="55"/>
      <c r="L84" s="55"/>
      <c r="M84" s="55"/>
      <c r="N84" s="55"/>
      <c r="O84" s="55"/>
      <c r="P84" s="55"/>
      <c r="Q84" s="55"/>
    </row>
    <row r="85">
      <c r="A85" s="11" t="s">
        <v>5</v>
      </c>
      <c r="B85" s="34" t="s">
        <v>693</v>
      </c>
      <c r="C85" s="13">
        <v>19.0</v>
      </c>
      <c r="D85" s="14" t="str">
        <f t="shared" si="5"/>
        <v>SÁB.</v>
      </c>
      <c r="E85" s="13">
        <f t="shared" si="4"/>
        <v>2</v>
      </c>
      <c r="F85" s="94"/>
      <c r="G85" s="56"/>
      <c r="H85" s="63">
        <v>500.0</v>
      </c>
      <c r="I85" s="58" t="s">
        <v>17</v>
      </c>
      <c r="J85" s="21" t="s">
        <v>147</v>
      </c>
      <c r="K85" s="61"/>
      <c r="L85" s="61"/>
      <c r="M85" s="61"/>
      <c r="N85" s="61"/>
      <c r="O85" s="61"/>
      <c r="P85" s="61"/>
      <c r="Q85" s="61"/>
    </row>
    <row r="86">
      <c r="A86" s="11" t="s">
        <v>5</v>
      </c>
      <c r="B86" s="103" t="s">
        <v>334</v>
      </c>
      <c r="C86" s="13">
        <v>22.0</v>
      </c>
      <c r="D86" s="14" t="str">
        <f t="shared" si="5"/>
        <v>TER.</v>
      </c>
      <c r="E86" s="13">
        <f t="shared" si="4"/>
        <v>2</v>
      </c>
      <c r="F86" s="104"/>
      <c r="G86" s="70"/>
      <c r="H86" s="86">
        <v>85.16</v>
      </c>
      <c r="I86" s="105" t="s">
        <v>17</v>
      </c>
      <c r="J86" s="21" t="s">
        <v>131</v>
      </c>
      <c r="K86" s="84"/>
      <c r="L86" s="84"/>
      <c r="M86" s="84"/>
      <c r="N86" s="84"/>
      <c r="O86" s="84"/>
      <c r="P86" s="84"/>
      <c r="Q86" s="84"/>
    </row>
    <row r="87">
      <c r="A87" s="11" t="s">
        <v>5</v>
      </c>
      <c r="B87" s="39" t="s">
        <v>125</v>
      </c>
      <c r="C87" s="13">
        <v>20.0</v>
      </c>
      <c r="D87" s="14" t="str">
        <f t="shared" si="5"/>
        <v>DOM.</v>
      </c>
      <c r="E87" s="13">
        <f t="shared" si="4"/>
        <v>2</v>
      </c>
      <c r="F87" s="87">
        <v>44607.0</v>
      </c>
      <c r="G87" s="45"/>
      <c r="H87" s="46">
        <v>373.41</v>
      </c>
      <c r="I87" s="58" t="s">
        <v>15</v>
      </c>
      <c r="J87" s="21" t="s">
        <v>126</v>
      </c>
      <c r="K87" s="39"/>
      <c r="L87" s="39"/>
      <c r="M87" s="39"/>
      <c r="N87" s="39"/>
      <c r="O87" s="39"/>
      <c r="P87" s="39"/>
      <c r="Q87" s="39"/>
    </row>
    <row r="88">
      <c r="A88" s="11" t="s">
        <v>5</v>
      </c>
      <c r="B88" s="103" t="s">
        <v>334</v>
      </c>
      <c r="C88" s="13">
        <v>20.0</v>
      </c>
      <c r="D88" s="14" t="str">
        <f t="shared" si="5"/>
        <v>DOM.</v>
      </c>
      <c r="E88" s="13">
        <f t="shared" si="4"/>
        <v>2</v>
      </c>
      <c r="F88" s="104"/>
      <c r="G88" s="70"/>
      <c r="H88" s="86">
        <v>39.9</v>
      </c>
      <c r="I88" s="105" t="s">
        <v>17</v>
      </c>
      <c r="J88" s="21" t="s">
        <v>694</v>
      </c>
      <c r="K88" s="84"/>
      <c r="L88" s="84"/>
      <c r="M88" s="84"/>
      <c r="N88" s="84"/>
      <c r="O88" s="84"/>
      <c r="P88" s="84"/>
      <c r="Q88" s="84"/>
    </row>
    <row r="89">
      <c r="A89" s="102" t="s">
        <v>5</v>
      </c>
      <c r="B89" s="103" t="s">
        <v>130</v>
      </c>
      <c r="C89" s="80">
        <v>21.0</v>
      </c>
      <c r="D89" s="81" t="str">
        <f t="shared" si="5"/>
        <v>SEG.</v>
      </c>
      <c r="E89" s="207">
        <f t="shared" si="4"/>
        <v>2</v>
      </c>
      <c r="F89" s="104"/>
      <c r="G89" s="70"/>
      <c r="H89" s="86">
        <v>5.0</v>
      </c>
      <c r="I89" s="142" t="s">
        <v>17</v>
      </c>
      <c r="J89" s="103" t="s">
        <v>695</v>
      </c>
      <c r="K89" s="84"/>
      <c r="L89" s="84"/>
      <c r="M89" s="84"/>
      <c r="N89" s="84"/>
      <c r="O89" s="84"/>
      <c r="P89" s="84"/>
      <c r="Q89" s="84"/>
    </row>
    <row r="90">
      <c r="A90" s="11" t="s">
        <v>5</v>
      </c>
      <c r="B90" s="44" t="s">
        <v>232</v>
      </c>
      <c r="C90" s="13">
        <v>21.0</v>
      </c>
      <c r="D90" s="14" t="str">
        <f t="shared" si="5"/>
        <v>SEG.</v>
      </c>
      <c r="E90" s="13">
        <f t="shared" si="4"/>
        <v>2</v>
      </c>
      <c r="F90" s="87">
        <v>44607.0</v>
      </c>
      <c r="G90" s="45"/>
      <c r="H90" s="46">
        <v>515.55</v>
      </c>
      <c r="I90" s="58" t="s">
        <v>15</v>
      </c>
      <c r="J90" s="21" t="s">
        <v>233</v>
      </c>
      <c r="K90" s="39"/>
      <c r="L90" s="39"/>
      <c r="M90" s="39"/>
      <c r="N90" s="39"/>
      <c r="O90" s="39"/>
      <c r="P90" s="39"/>
      <c r="Q90" s="39"/>
    </row>
    <row r="91">
      <c r="A91" s="11" t="s">
        <v>5</v>
      </c>
      <c r="B91" s="103" t="s">
        <v>696</v>
      </c>
      <c r="C91" s="13">
        <v>21.0</v>
      </c>
      <c r="D91" s="14" t="str">
        <f t="shared" si="5"/>
        <v>SEG.</v>
      </c>
      <c r="E91" s="13">
        <f t="shared" si="4"/>
        <v>2</v>
      </c>
      <c r="F91" s="104"/>
      <c r="G91" s="70"/>
      <c r="H91" s="86">
        <v>157.48</v>
      </c>
      <c r="I91" s="105" t="s">
        <v>17</v>
      </c>
      <c r="J91" s="21" t="s">
        <v>697</v>
      </c>
      <c r="K91" s="84"/>
      <c r="L91" s="84"/>
      <c r="M91" s="84"/>
      <c r="N91" s="84"/>
      <c r="O91" s="84"/>
      <c r="P91" s="84"/>
      <c r="Q91" s="84"/>
    </row>
    <row r="92">
      <c r="A92" s="11" t="s">
        <v>5</v>
      </c>
      <c r="B92" s="34" t="s">
        <v>373</v>
      </c>
      <c r="C92" s="13">
        <v>22.0</v>
      </c>
      <c r="D92" s="14" t="str">
        <f t="shared" si="5"/>
        <v>TER.</v>
      </c>
      <c r="E92" s="13">
        <f t="shared" si="4"/>
        <v>2</v>
      </c>
      <c r="F92" s="94"/>
      <c r="G92" s="56"/>
      <c r="H92" s="63">
        <v>0.0</v>
      </c>
      <c r="I92" s="58" t="s">
        <v>17</v>
      </c>
      <c r="J92" s="21" t="s">
        <v>128</v>
      </c>
      <c r="K92" s="61"/>
      <c r="L92" s="61"/>
      <c r="M92" s="61"/>
      <c r="N92" s="61"/>
      <c r="O92" s="61"/>
      <c r="P92" s="61"/>
      <c r="Q92" s="61"/>
    </row>
    <row r="93">
      <c r="A93" s="11" t="s">
        <v>5</v>
      </c>
      <c r="B93" s="39" t="s">
        <v>134</v>
      </c>
      <c r="C93" s="13">
        <v>22.0</v>
      </c>
      <c r="D93" s="14" t="str">
        <f t="shared" si="5"/>
        <v>TER.</v>
      </c>
      <c r="E93" s="13">
        <f t="shared" si="4"/>
        <v>2</v>
      </c>
      <c r="F93" s="43"/>
      <c r="G93" s="45"/>
      <c r="H93" s="46">
        <v>278.86</v>
      </c>
      <c r="I93" s="60" t="s">
        <v>13</v>
      </c>
      <c r="J93" s="21" t="s">
        <v>135</v>
      </c>
      <c r="K93" s="39"/>
      <c r="L93" s="39"/>
      <c r="M93" s="39"/>
      <c r="N93" s="39"/>
      <c r="O93" s="39"/>
      <c r="P93" s="39"/>
      <c r="Q93" s="39"/>
    </row>
    <row r="94">
      <c r="A94" s="11" t="s">
        <v>5</v>
      </c>
      <c r="B94" s="44" t="s">
        <v>698</v>
      </c>
      <c r="C94" s="13">
        <v>24.0</v>
      </c>
      <c r="D94" s="14" t="str">
        <f t="shared" si="5"/>
        <v>QUI.</v>
      </c>
      <c r="E94" s="13">
        <f t="shared" si="4"/>
        <v>2</v>
      </c>
      <c r="F94" s="85"/>
      <c r="G94" s="45"/>
      <c r="H94" s="46">
        <v>16.66</v>
      </c>
      <c r="I94" s="58" t="s">
        <v>17</v>
      </c>
      <c r="J94" s="21" t="s">
        <v>20</v>
      </c>
      <c r="K94" s="21"/>
      <c r="L94" s="21"/>
      <c r="M94" s="21"/>
      <c r="N94" s="21"/>
      <c r="O94" s="39"/>
      <c r="P94" s="39"/>
      <c r="Q94" s="39"/>
    </row>
    <row r="95">
      <c r="A95" s="11" t="s">
        <v>5</v>
      </c>
      <c r="B95" s="44" t="s">
        <v>699</v>
      </c>
      <c r="C95" s="13">
        <v>24.0</v>
      </c>
      <c r="D95" s="14" t="str">
        <f t="shared" si="5"/>
        <v>QUI.</v>
      </c>
      <c r="E95" s="13">
        <f t="shared" si="4"/>
        <v>2</v>
      </c>
      <c r="F95" s="85"/>
      <c r="G95" s="45"/>
      <c r="H95" s="46">
        <v>16.66</v>
      </c>
      <c r="I95" s="58" t="s">
        <v>17</v>
      </c>
      <c r="J95" s="21" t="s">
        <v>20</v>
      </c>
      <c r="K95" s="21"/>
      <c r="L95" s="21"/>
      <c r="M95" s="21"/>
      <c r="N95" s="21"/>
      <c r="O95" s="39"/>
      <c r="P95" s="39"/>
      <c r="Q95" s="39"/>
    </row>
    <row r="96">
      <c r="A96" s="11" t="s">
        <v>5</v>
      </c>
      <c r="B96" s="44" t="s">
        <v>700</v>
      </c>
      <c r="C96" s="13">
        <v>25.0</v>
      </c>
      <c r="D96" s="14" t="str">
        <f t="shared" si="5"/>
        <v>SEX.</v>
      </c>
      <c r="E96" s="13">
        <f t="shared" si="4"/>
        <v>2</v>
      </c>
      <c r="F96" s="85"/>
      <c r="G96" s="45"/>
      <c r="H96" s="46">
        <v>15.4</v>
      </c>
      <c r="I96" s="58" t="s">
        <v>17</v>
      </c>
      <c r="J96" s="21" t="s">
        <v>20</v>
      </c>
      <c r="K96" s="21"/>
      <c r="L96" s="21"/>
      <c r="M96" s="21"/>
      <c r="N96" s="21"/>
      <c r="O96" s="39"/>
      <c r="P96" s="39"/>
      <c r="Q96" s="39"/>
    </row>
    <row r="97">
      <c r="A97" s="11" t="s">
        <v>5</v>
      </c>
      <c r="B97" s="179" t="s">
        <v>21</v>
      </c>
      <c r="C97" s="62">
        <v>25.0</v>
      </c>
      <c r="D97" s="25" t="str">
        <f t="shared" si="5"/>
        <v>SEX.</v>
      </c>
      <c r="E97" s="13">
        <f t="shared" si="4"/>
        <v>2</v>
      </c>
      <c r="F97" s="26"/>
      <c r="G97" s="56"/>
      <c r="H97" s="63">
        <v>221.91</v>
      </c>
      <c r="I97" s="33" t="s">
        <v>17</v>
      </c>
      <c r="J97" s="173" t="s">
        <v>22</v>
      </c>
      <c r="K97" s="56"/>
      <c r="L97" s="56"/>
      <c r="M97" s="56"/>
      <c r="N97" s="56"/>
      <c r="O97" s="56"/>
      <c r="P97" s="56"/>
      <c r="Q97" s="56"/>
    </row>
    <row r="98">
      <c r="A98" s="11" t="s">
        <v>5</v>
      </c>
      <c r="B98" s="40" t="s">
        <v>248</v>
      </c>
      <c r="C98" s="62">
        <v>28.0</v>
      </c>
      <c r="D98" s="25" t="str">
        <f t="shared" si="5"/>
        <v>SEG.</v>
      </c>
      <c r="E98" s="13">
        <f t="shared" si="4"/>
        <v>2</v>
      </c>
      <c r="F98" s="26"/>
      <c r="G98" s="63">
        <v>330.0</v>
      </c>
      <c r="H98" s="101"/>
      <c r="I98" s="60" t="s">
        <v>249</v>
      </c>
      <c r="J98" s="90" t="s">
        <v>253</v>
      </c>
      <c r="K98" s="59"/>
      <c r="L98" s="59"/>
      <c r="M98" s="59"/>
      <c r="N98" s="59"/>
      <c r="O98" s="59"/>
      <c r="P98" s="59"/>
      <c r="Q98" s="59"/>
    </row>
    <row r="99">
      <c r="A99" s="11" t="s">
        <v>5</v>
      </c>
      <c r="B99" s="42" t="s">
        <v>251</v>
      </c>
      <c r="C99" s="62">
        <v>28.0</v>
      </c>
      <c r="D99" s="14" t="str">
        <f t="shared" si="5"/>
        <v>SEG.</v>
      </c>
      <c r="E99" s="13">
        <f t="shared" si="4"/>
        <v>2</v>
      </c>
      <c r="F99" s="43"/>
      <c r="G99" s="46">
        <v>700.0</v>
      </c>
      <c r="H99" s="53"/>
      <c r="I99" s="65" t="s">
        <v>252</v>
      </c>
      <c r="J99" s="42" t="s">
        <v>253</v>
      </c>
      <c r="K99" s="68"/>
      <c r="L99" s="68"/>
      <c r="M99" s="68"/>
      <c r="N99" s="68"/>
      <c r="O99" s="68"/>
      <c r="P99" s="68"/>
      <c r="Q99" s="68"/>
    </row>
    <row r="100">
      <c r="A100" s="11" t="s">
        <v>5</v>
      </c>
      <c r="B100" s="69" t="s">
        <v>260</v>
      </c>
      <c r="C100" s="62">
        <v>28.0</v>
      </c>
      <c r="D100" s="14" t="str">
        <f t="shared" si="5"/>
        <v>SEG.</v>
      </c>
      <c r="E100" s="13">
        <f t="shared" si="4"/>
        <v>2</v>
      </c>
      <c r="F100" s="87">
        <v>44617.0</v>
      </c>
      <c r="G100" s="36">
        <v>2563.78</v>
      </c>
      <c r="H100" s="70"/>
      <c r="I100" s="47" t="s">
        <v>261</v>
      </c>
      <c r="J100" s="21" t="s">
        <v>64</v>
      </c>
      <c r="K100" s="70"/>
      <c r="L100" s="70"/>
      <c r="M100" s="70"/>
      <c r="N100" s="70"/>
      <c r="O100" s="70"/>
      <c r="P100" s="70"/>
      <c r="Q100" s="70"/>
    </row>
    <row r="101">
      <c r="A101" s="11" t="s">
        <v>25</v>
      </c>
      <c r="B101" s="61" t="s">
        <v>26</v>
      </c>
      <c r="C101" s="62">
        <v>28.0</v>
      </c>
      <c r="D101" s="25" t="str">
        <f t="shared" si="5"/>
        <v>SEG.</v>
      </c>
      <c r="E101" s="13">
        <f t="shared" si="4"/>
        <v>2</v>
      </c>
      <c r="F101" s="26"/>
      <c r="G101" s="56"/>
      <c r="H101" s="36">
        <v>2563.78</v>
      </c>
      <c r="I101" s="64" t="s">
        <v>261</v>
      </c>
      <c r="J101" s="40"/>
      <c r="K101" s="59"/>
      <c r="L101" s="59"/>
      <c r="M101" s="59"/>
      <c r="N101" s="59"/>
      <c r="O101" s="59"/>
      <c r="P101" s="59"/>
      <c r="Q101" s="59"/>
    </row>
    <row r="102">
      <c r="A102" s="11" t="s">
        <v>25</v>
      </c>
      <c r="B102" s="39" t="s">
        <v>27</v>
      </c>
      <c r="C102" s="62">
        <v>28.0</v>
      </c>
      <c r="D102" s="14" t="str">
        <f t="shared" si="5"/>
        <v>SEG.</v>
      </c>
      <c r="E102" s="13">
        <f t="shared" si="4"/>
        <v>2</v>
      </c>
      <c r="F102" s="43"/>
      <c r="G102" s="36">
        <v>2563.78</v>
      </c>
      <c r="H102" s="45"/>
      <c r="I102" s="67" t="s">
        <v>17</v>
      </c>
      <c r="J102" s="42"/>
      <c r="K102" s="68"/>
      <c r="L102" s="68"/>
      <c r="M102" s="68"/>
      <c r="N102" s="68"/>
      <c r="O102" s="68"/>
      <c r="P102" s="68"/>
      <c r="Q102" s="68"/>
    </row>
    <row r="103">
      <c r="A103" s="102" t="s">
        <v>5</v>
      </c>
      <c r="B103" s="99" t="s">
        <v>119</v>
      </c>
      <c r="C103" s="80">
        <v>28.0</v>
      </c>
      <c r="D103" s="81" t="str">
        <f t="shared" si="5"/>
        <v>SEG.</v>
      </c>
      <c r="E103" s="207">
        <f t="shared" si="4"/>
        <v>2</v>
      </c>
      <c r="F103" s="35"/>
      <c r="G103" s="36">
        <v>0.03</v>
      </c>
      <c r="H103" s="70"/>
      <c r="I103" s="82" t="s">
        <v>13</v>
      </c>
      <c r="J103" s="199" t="s">
        <v>120</v>
      </c>
      <c r="K103" s="84"/>
      <c r="L103" s="84"/>
      <c r="M103" s="84"/>
      <c r="N103" s="84"/>
      <c r="O103" s="84"/>
      <c r="P103" s="84"/>
      <c r="Q103" s="84"/>
    </row>
    <row r="104">
      <c r="A104" s="78" t="s">
        <v>5</v>
      </c>
      <c r="B104" s="69" t="s">
        <v>541</v>
      </c>
      <c r="C104" s="150">
        <v>28.0</v>
      </c>
      <c r="D104" s="81" t="str">
        <f t="shared" si="5"/>
        <v>SEG.</v>
      </c>
      <c r="E104" s="207">
        <f t="shared" si="4"/>
        <v>2</v>
      </c>
      <c r="F104" s="35"/>
      <c r="G104" s="70"/>
      <c r="H104" s="36">
        <v>30.0</v>
      </c>
      <c r="I104" s="78" t="s">
        <v>17</v>
      </c>
      <c r="J104" s="83" t="s">
        <v>415</v>
      </c>
      <c r="K104" s="70"/>
      <c r="L104" s="70"/>
      <c r="M104" s="70"/>
      <c r="N104" s="70"/>
      <c r="O104" s="70"/>
      <c r="P104" s="70"/>
      <c r="Q104" s="70"/>
    </row>
    <row r="105">
      <c r="A105" s="78" t="s">
        <v>5</v>
      </c>
      <c r="B105" s="69" t="s">
        <v>541</v>
      </c>
      <c r="C105" s="150">
        <v>28.0</v>
      </c>
      <c r="D105" s="81" t="str">
        <f t="shared" si="5"/>
        <v>SEG.</v>
      </c>
      <c r="E105" s="207">
        <f t="shared" si="4"/>
        <v>2</v>
      </c>
      <c r="F105" s="35"/>
      <c r="G105" s="70"/>
      <c r="H105" s="36">
        <v>31.0</v>
      </c>
      <c r="I105" s="78" t="s">
        <v>17</v>
      </c>
      <c r="J105" s="83" t="s">
        <v>415</v>
      </c>
      <c r="K105" s="70"/>
      <c r="L105" s="70"/>
      <c r="M105" s="70"/>
      <c r="N105" s="70"/>
      <c r="O105" s="70"/>
      <c r="P105" s="70"/>
      <c r="Q105" s="70"/>
    </row>
    <row r="106">
      <c r="A106" s="11" t="s">
        <v>5</v>
      </c>
      <c r="B106" s="44" t="s">
        <v>525</v>
      </c>
      <c r="C106" s="13">
        <v>28.0</v>
      </c>
      <c r="D106" s="14" t="str">
        <f t="shared" si="5"/>
        <v>SEG.</v>
      </c>
      <c r="E106" s="13">
        <f t="shared" si="4"/>
        <v>2</v>
      </c>
      <c r="F106" s="85"/>
      <c r="G106" s="45"/>
      <c r="H106" s="46">
        <v>59.99</v>
      </c>
      <c r="I106" s="58" t="s">
        <v>17</v>
      </c>
      <c r="J106" s="21" t="s">
        <v>526</v>
      </c>
      <c r="K106" s="21"/>
      <c r="L106" s="21"/>
      <c r="M106" s="21"/>
      <c r="N106" s="21"/>
      <c r="O106" s="39"/>
      <c r="P106" s="39"/>
      <c r="Q106" s="39"/>
    </row>
    <row r="107">
      <c r="A107" s="11" t="s">
        <v>5</v>
      </c>
      <c r="B107" s="44" t="s">
        <v>523</v>
      </c>
      <c r="C107" s="13">
        <v>28.0</v>
      </c>
      <c r="D107" s="14" t="str">
        <f t="shared" si="5"/>
        <v>SEG.</v>
      </c>
      <c r="E107" s="13">
        <f t="shared" si="4"/>
        <v>2</v>
      </c>
      <c r="F107" s="85"/>
      <c r="G107" s="45"/>
      <c r="H107" s="46">
        <v>139.98</v>
      </c>
      <c r="I107" s="58" t="s">
        <v>17</v>
      </c>
      <c r="J107" s="21" t="s">
        <v>524</v>
      </c>
      <c r="K107" s="21"/>
      <c r="L107" s="21"/>
      <c r="M107" s="21"/>
      <c r="N107" s="21"/>
      <c r="O107" s="39"/>
      <c r="P107" s="39"/>
      <c r="Q107" s="39"/>
    </row>
    <row r="108">
      <c r="A108" s="11" t="s">
        <v>5</v>
      </c>
      <c r="B108" s="44" t="s">
        <v>521</v>
      </c>
      <c r="C108" s="13">
        <v>28.0</v>
      </c>
      <c r="D108" s="14" t="str">
        <f t="shared" si="5"/>
        <v>SEG.</v>
      </c>
      <c r="E108" s="13">
        <f t="shared" si="4"/>
        <v>2</v>
      </c>
      <c r="F108" s="85"/>
      <c r="G108" s="45"/>
      <c r="H108" s="46">
        <v>50.0</v>
      </c>
      <c r="I108" s="58" t="s">
        <v>17</v>
      </c>
      <c r="J108" s="21" t="s">
        <v>522</v>
      </c>
      <c r="K108" s="21"/>
      <c r="L108" s="21"/>
      <c r="M108" s="21"/>
      <c r="N108" s="21"/>
      <c r="O108" s="39"/>
      <c r="P108" s="39"/>
      <c r="Q108" s="39"/>
    </row>
    <row r="109">
      <c r="A109" s="11" t="s">
        <v>5</v>
      </c>
      <c r="B109" s="44" t="s">
        <v>701</v>
      </c>
      <c r="C109" s="13">
        <v>28.0</v>
      </c>
      <c r="D109" s="14" t="str">
        <f t="shared" si="5"/>
        <v>SEG.</v>
      </c>
      <c r="E109" s="13">
        <f t="shared" si="4"/>
        <v>2</v>
      </c>
      <c r="F109" s="85"/>
      <c r="G109" s="45"/>
      <c r="H109" s="46">
        <v>91.1</v>
      </c>
      <c r="I109" s="58" t="s">
        <v>17</v>
      </c>
      <c r="J109" s="21" t="s">
        <v>702</v>
      </c>
      <c r="K109" s="21"/>
      <c r="L109" s="21"/>
      <c r="M109" s="21"/>
      <c r="N109" s="21"/>
      <c r="O109" s="39"/>
      <c r="P109" s="39"/>
      <c r="Q109" s="39"/>
    </row>
    <row r="110">
      <c r="A110" s="11" t="s">
        <v>5</v>
      </c>
      <c r="B110" s="44" t="s">
        <v>529</v>
      </c>
      <c r="C110" s="13">
        <v>28.0</v>
      </c>
      <c r="D110" s="14" t="str">
        <f t="shared" si="5"/>
        <v>SEG.</v>
      </c>
      <c r="E110" s="13">
        <f t="shared" si="4"/>
        <v>2</v>
      </c>
      <c r="F110" s="85"/>
      <c r="G110" s="45"/>
      <c r="H110" s="46">
        <v>9.0</v>
      </c>
      <c r="I110" s="58" t="s">
        <v>17</v>
      </c>
      <c r="J110" s="21" t="s">
        <v>29</v>
      </c>
      <c r="K110" s="21"/>
      <c r="L110" s="21"/>
      <c r="M110" s="21"/>
      <c r="N110" s="21"/>
      <c r="O110" s="39"/>
      <c r="P110" s="39"/>
      <c r="Q110" s="39"/>
    </row>
    <row r="111">
      <c r="A111" s="11"/>
      <c r="B111" s="59"/>
      <c r="C111" s="26"/>
      <c r="D111" s="107"/>
      <c r="E111" s="26"/>
      <c r="F111" s="26"/>
      <c r="G111" s="56"/>
      <c r="H111" s="56"/>
      <c r="I111" s="47"/>
      <c r="J111" s="21"/>
      <c r="K111" s="59"/>
      <c r="L111" s="59"/>
      <c r="M111" s="59"/>
      <c r="N111" s="59"/>
      <c r="O111" s="59"/>
      <c r="P111" s="59"/>
      <c r="Q111" s="59"/>
    </row>
    <row r="112">
      <c r="A112" s="11"/>
      <c r="B112" s="68"/>
      <c r="C112" s="43"/>
      <c r="D112" s="108"/>
      <c r="E112" s="43"/>
      <c r="F112" s="43"/>
      <c r="G112" s="45"/>
      <c r="H112" s="45"/>
      <c r="I112" s="47"/>
      <c r="J112" s="21"/>
      <c r="K112" s="68"/>
      <c r="L112" s="68"/>
      <c r="M112" s="68"/>
      <c r="N112" s="68"/>
      <c r="O112" s="68"/>
      <c r="P112" s="68"/>
      <c r="Q112" s="68"/>
    </row>
    <row r="113">
      <c r="A113" s="109"/>
      <c r="B113" s="110"/>
      <c r="C113" s="111"/>
      <c r="D113" s="112"/>
      <c r="E113" s="111"/>
      <c r="F113" s="111"/>
      <c r="G113" s="113"/>
      <c r="H113" s="113"/>
      <c r="I113" s="114"/>
      <c r="J113" s="21"/>
      <c r="K113" s="110"/>
      <c r="L113" s="110"/>
      <c r="M113" s="110"/>
      <c r="N113" s="110"/>
      <c r="O113" s="110"/>
      <c r="P113" s="110"/>
      <c r="Q113" s="110"/>
    </row>
    <row r="114" ht="15.75" customHeight="1">
      <c r="A114" s="115"/>
      <c r="B114" s="116" t="s">
        <v>142</v>
      </c>
      <c r="C114" s="117"/>
      <c r="D114" s="118"/>
      <c r="E114" s="119"/>
      <c r="F114" s="119"/>
      <c r="G114" s="120">
        <f>SUMIF(A3:A113,"PAGO",G3:G113)</f>
        <v>14726.17</v>
      </c>
      <c r="H114" s="120">
        <f>SUMIF(A3:A113,"PAGO",H3:H113)</f>
        <v>10147.53</v>
      </c>
      <c r="I114" s="121"/>
      <c r="J114" s="117"/>
      <c r="K114" s="120">
        <f t="shared" ref="K114:K115" si="6">G114-H114</f>
        <v>4578.64</v>
      </c>
      <c r="L114" s="120"/>
      <c r="M114" s="120"/>
      <c r="N114" s="120"/>
      <c r="O114" s="120"/>
      <c r="P114" s="120"/>
      <c r="Q114" s="120"/>
    </row>
    <row r="115" ht="15.75" customHeight="1">
      <c r="A115" s="115"/>
      <c r="B115" s="122" t="s">
        <v>143</v>
      </c>
      <c r="C115" s="117"/>
      <c r="D115" s="123"/>
      <c r="E115" s="124"/>
      <c r="F115" s="124"/>
      <c r="G115" s="125">
        <f>SUMIF(A3:A113,"PAGO",G3:G113) + SUMIF(A3:A113,"PREVISTO",G3:G113)</f>
        <v>17226.17</v>
      </c>
      <c r="H115" s="125">
        <f>SUMIF(A3:A113,"PAGO",H3:H113) + SUMIF(A3:A113,"PREVISTO",H3:H113)</f>
        <v>10147.53</v>
      </c>
      <c r="I115" s="121"/>
      <c r="J115" s="122" t="s">
        <v>144</v>
      </c>
      <c r="K115" s="125">
        <f t="shared" si="6"/>
        <v>7078.64</v>
      </c>
      <c r="L115" s="125"/>
      <c r="M115" s="125"/>
      <c r="N115" s="125"/>
      <c r="O115" s="125"/>
      <c r="P115" s="125"/>
      <c r="Q115" s="125"/>
    </row>
    <row r="116">
      <c r="A116" s="126"/>
      <c r="B116" s="127"/>
      <c r="C116" s="93"/>
      <c r="D116" s="128"/>
      <c r="E116" s="129"/>
      <c r="F116" s="129"/>
      <c r="G116" s="130"/>
      <c r="H116" s="130"/>
      <c r="I116" s="131"/>
      <c r="J116" s="132" t="s">
        <v>13</v>
      </c>
      <c r="K116" s="133">
        <f t="shared" ref="K116:K122" si="7">(SUMIFS($G$3:$G$113,$I$3:$I$113,J116,$A$3:$A$113,"PAGO") + SUMIFS($G$3:$G$113,$I$3:$I$113,J116,$A$3:$A$113,"CONTAS")) - (SUMIFS($H$3:$H$113,$I$3:$I$113,J116,$A$3:$A$113,"PAGO") + SUMIFS($H$3:$H$113,$I$3:$I$113,J116,$A$3:$A$113,"CONTAS"))</f>
        <v>80.07</v>
      </c>
      <c r="L116" s="133"/>
      <c r="M116" s="133"/>
      <c r="N116" s="133"/>
      <c r="O116" s="133"/>
      <c r="P116" s="133"/>
      <c r="Q116" s="133"/>
    </row>
    <row r="117">
      <c r="A117" s="134"/>
      <c r="B117" s="135"/>
      <c r="C117" s="93"/>
      <c r="D117" s="128"/>
      <c r="E117" s="129"/>
      <c r="F117" s="129"/>
      <c r="G117" s="130"/>
      <c r="H117" s="130"/>
      <c r="I117" s="131"/>
      <c r="J117" s="132" t="s">
        <v>15</v>
      </c>
      <c r="K117" s="133">
        <f t="shared" si="7"/>
        <v>30</v>
      </c>
      <c r="L117" s="133"/>
      <c r="M117" s="133"/>
      <c r="N117" s="133"/>
      <c r="O117" s="133"/>
      <c r="P117" s="133"/>
      <c r="Q117" s="133"/>
    </row>
    <row r="118">
      <c r="A118" s="134"/>
      <c r="B118" s="136"/>
      <c r="C118" s="137"/>
      <c r="D118" s="128"/>
      <c r="E118" s="129"/>
      <c r="F118" s="129"/>
      <c r="G118" s="130"/>
      <c r="H118" s="130"/>
      <c r="I118" s="131"/>
      <c r="J118" s="132" t="s">
        <v>17</v>
      </c>
      <c r="K118" s="133">
        <f t="shared" si="7"/>
        <v>3220.14</v>
      </c>
      <c r="L118" s="133"/>
      <c r="M118" s="133"/>
      <c r="N118" s="133"/>
      <c r="O118" s="133"/>
      <c r="P118" s="133"/>
      <c r="Q118" s="133"/>
    </row>
    <row r="119">
      <c r="A119" s="134"/>
      <c r="B119" s="93"/>
      <c r="C119" s="137"/>
      <c r="D119" s="138"/>
      <c r="E119" s="139"/>
      <c r="F119" s="139"/>
      <c r="G119" s="140"/>
      <c r="H119" s="140"/>
      <c r="I119" s="131"/>
      <c r="J119" s="132" t="s">
        <v>18</v>
      </c>
      <c r="K119" s="133">
        <f t="shared" si="7"/>
        <v>9.52</v>
      </c>
      <c r="L119" s="133"/>
      <c r="M119" s="133"/>
      <c r="N119" s="133"/>
      <c r="O119" s="133"/>
      <c r="P119" s="133"/>
      <c r="Q119" s="133"/>
    </row>
    <row r="120">
      <c r="A120" s="134"/>
      <c r="B120" s="137"/>
      <c r="C120" s="93"/>
      <c r="D120" s="138"/>
      <c r="E120" s="139"/>
      <c r="F120" s="139"/>
      <c r="G120" s="140"/>
      <c r="H120" s="140"/>
      <c r="I120" s="131"/>
      <c r="J120" s="183" t="s">
        <v>261</v>
      </c>
      <c r="K120" s="133">
        <f t="shared" si="7"/>
        <v>0</v>
      </c>
      <c r="L120" s="93"/>
      <c r="M120" s="93"/>
      <c r="N120" s="93"/>
      <c r="O120" s="93"/>
      <c r="P120" s="93"/>
      <c r="Q120" s="93"/>
    </row>
    <row r="121">
      <c r="A121" s="134"/>
      <c r="B121" s="137"/>
      <c r="C121" s="93"/>
      <c r="D121" s="138"/>
      <c r="E121" s="139"/>
      <c r="F121" s="139"/>
      <c r="G121" s="140"/>
      <c r="H121" s="140"/>
      <c r="I121" s="131"/>
      <c r="J121" s="182" t="s">
        <v>252</v>
      </c>
      <c r="K121" s="133">
        <f t="shared" si="7"/>
        <v>844.42</v>
      </c>
      <c r="L121" s="93"/>
      <c r="M121" s="93"/>
      <c r="N121" s="93"/>
      <c r="O121" s="93"/>
      <c r="P121" s="93"/>
      <c r="Q121" s="93"/>
    </row>
    <row r="122">
      <c r="A122" s="134"/>
      <c r="B122" s="137"/>
      <c r="C122" s="93"/>
      <c r="D122" s="138"/>
      <c r="E122" s="139"/>
      <c r="F122" s="139"/>
      <c r="G122" s="140"/>
      <c r="H122" s="140"/>
      <c r="I122" s="131"/>
      <c r="J122" s="182" t="s">
        <v>249</v>
      </c>
      <c r="K122" s="133">
        <f t="shared" si="7"/>
        <v>394.49</v>
      </c>
      <c r="L122" s="93"/>
      <c r="M122" s="93"/>
      <c r="N122" s="93"/>
      <c r="O122" s="93"/>
      <c r="P122" s="93"/>
      <c r="Q122" s="93"/>
    </row>
    <row r="123">
      <c r="A123" s="134"/>
      <c r="B123" s="137"/>
      <c r="C123" s="93"/>
      <c r="D123" s="138"/>
      <c r="E123" s="139"/>
      <c r="F123" s="139"/>
      <c r="G123" s="140"/>
      <c r="H123" s="140"/>
      <c r="I123" s="131"/>
      <c r="J123" s="219"/>
      <c r="K123" s="93"/>
      <c r="L123" s="93"/>
      <c r="M123" s="93"/>
      <c r="N123" s="93"/>
      <c r="O123" s="93"/>
      <c r="P123" s="93"/>
      <c r="Q123" s="93"/>
    </row>
  </sheetData>
  <customSheetViews>
    <customSheetView guid="{55ED7845-B94B-4003-AD57-D4008EE7E009}" filter="1" showAutoFilter="1">
      <autoFilter ref="$A$2:$K$12"/>
    </customSheetView>
    <customSheetView guid="{F6E0E906-D63E-467F-B486-84E6C0126E80}" filter="1" showAutoFilter="1">
      <autoFilter ref="$A$2:$K$3"/>
    </customSheetView>
    <customSheetView guid="{8E320149-1ED8-4245-AE83-2AF08A85D2EE}" filter="1" showAutoFilter="1">
      <autoFilter ref="$A$2:$K$3"/>
    </customSheetView>
    <customSheetView guid="{FF238D65-B29E-47B3-BB76-09A78DB37DDE}" filter="1" showAutoFilter="1">
      <autoFilter ref="$A$2:$K$3"/>
    </customSheetView>
    <customSheetView guid="{5F890A4C-8AFA-4126-80E7-AF0191C5590F}" filter="1" showAutoFilter="1">
      <autoFilter ref="$A$2:$K$3"/>
    </customSheetView>
  </customSheetViews>
  <conditionalFormatting sqref="A3:Q113">
    <cfRule type="expression" dxfId="0" priority="1">
      <formula>ISEVEN(ROW())</formula>
    </cfRule>
  </conditionalFormatting>
  <conditionalFormatting sqref="A3:Q113">
    <cfRule type="expression" dxfId="1" priority="2">
      <formula>ISODD(ROW())</formula>
    </cfRule>
  </conditionalFormatting>
  <dataValidations>
    <dataValidation type="list" allowBlank="1" sqref="A3:A112">
      <formula1>listas!$A$1:$A$17</formula1>
    </dataValidation>
    <dataValidation type="list" allowBlank="1" sqref="I3:I112">
      <formula1>listas!$B$1:$B$21</formula1>
    </dataValidation>
  </dataValidations>
  <drawing r:id="rId2"/>
  <legacyDrawing r:id="rId3"/>
  <tableParts count="2">
    <tablePart r:id="rId6"/>
    <tablePart r:id="rId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3.0</v>
      </c>
      <c r="D3" s="14"/>
      <c r="E3" s="15"/>
      <c r="F3" s="15"/>
      <c r="G3" s="16"/>
      <c r="H3" s="17"/>
      <c r="I3" s="18"/>
      <c r="J3" s="19"/>
      <c r="K3" s="20"/>
      <c r="L3" s="20"/>
      <c r="M3" s="20"/>
      <c r="N3" s="20"/>
      <c r="O3" s="20"/>
      <c r="P3" s="20"/>
      <c r="Q3" s="20"/>
    </row>
    <row r="4">
      <c r="A4" s="11" t="s">
        <v>5</v>
      </c>
      <c r="B4" s="21" t="s">
        <v>145</v>
      </c>
      <c r="C4" s="13">
        <v>1.0</v>
      </c>
      <c r="D4" s="14" t="str">
        <f t="shared" ref="D4:D24" si="1">UPPER(TEXT(WEEKDAY(DATEVALUE(CONCATENATE(C4,"/",$C$3,"/",$A$1))),"DDD"))</f>
        <v>TER.</v>
      </c>
      <c r="E4" s="13">
        <f t="shared" ref="E4:E80" si="2">$C$3</f>
        <v>3</v>
      </c>
      <c r="F4" s="15"/>
      <c r="G4" s="16">
        <f>'fevereiro 2022'!K116</f>
        <v>80.07</v>
      </c>
      <c r="H4" s="17"/>
      <c r="I4" s="18" t="s">
        <v>13</v>
      </c>
      <c r="J4" s="21" t="s">
        <v>14</v>
      </c>
      <c r="K4" s="22"/>
      <c r="L4" s="22"/>
      <c r="M4" s="22"/>
      <c r="N4" s="22"/>
      <c r="O4" s="22"/>
      <c r="P4" s="22"/>
      <c r="Q4" s="22"/>
    </row>
    <row r="5">
      <c r="A5" s="11" t="s">
        <v>5</v>
      </c>
      <c r="B5" s="21" t="s">
        <v>145</v>
      </c>
      <c r="C5" s="13">
        <v>1.0</v>
      </c>
      <c r="D5" s="14" t="str">
        <f t="shared" si="1"/>
        <v>TER.</v>
      </c>
      <c r="E5" s="13">
        <f t="shared" si="2"/>
        <v>3</v>
      </c>
      <c r="F5" s="15"/>
      <c r="G5" s="16">
        <f>'fevereiro 2022'!K117</f>
        <v>30</v>
      </c>
      <c r="H5" s="17"/>
      <c r="I5" s="18" t="s">
        <v>15</v>
      </c>
      <c r="J5" s="21" t="s">
        <v>14</v>
      </c>
      <c r="K5" s="22"/>
      <c r="L5" s="22"/>
      <c r="M5" s="22"/>
      <c r="N5" s="22"/>
      <c r="O5" s="22"/>
      <c r="P5" s="22"/>
      <c r="Q5" s="22"/>
    </row>
    <row r="6">
      <c r="A6" s="11" t="s">
        <v>5</v>
      </c>
      <c r="B6" s="21" t="s">
        <v>145</v>
      </c>
      <c r="C6" s="13">
        <v>1.0</v>
      </c>
      <c r="D6" s="14" t="str">
        <f t="shared" si="1"/>
        <v>TER.</v>
      </c>
      <c r="E6" s="13">
        <f t="shared" si="2"/>
        <v>3</v>
      </c>
      <c r="F6" s="15"/>
      <c r="G6" s="16">
        <f>'fevereiro 2022'!K118</f>
        <v>3220.14</v>
      </c>
      <c r="H6" s="17"/>
      <c r="I6" s="18" t="s">
        <v>17</v>
      </c>
      <c r="J6" s="21" t="s">
        <v>14</v>
      </c>
      <c r="K6" s="22"/>
      <c r="L6" s="22"/>
      <c r="M6" s="22"/>
      <c r="N6" s="22"/>
      <c r="O6" s="22"/>
      <c r="P6" s="22"/>
      <c r="Q6" s="22"/>
    </row>
    <row r="7">
      <c r="A7" s="11" t="s">
        <v>5</v>
      </c>
      <c r="B7" s="21" t="s">
        <v>145</v>
      </c>
      <c r="C7" s="13">
        <v>1.0</v>
      </c>
      <c r="D7" s="14" t="str">
        <f t="shared" si="1"/>
        <v>TER.</v>
      </c>
      <c r="E7" s="13">
        <f t="shared" si="2"/>
        <v>3</v>
      </c>
      <c r="F7" s="15"/>
      <c r="G7" s="16">
        <f>'fevereiro 2022'!K119</f>
        <v>9.52</v>
      </c>
      <c r="H7" s="17"/>
      <c r="I7" s="18" t="s">
        <v>18</v>
      </c>
      <c r="J7" s="21" t="s">
        <v>14</v>
      </c>
      <c r="K7" s="22"/>
      <c r="L7" s="22"/>
      <c r="M7" s="22"/>
      <c r="N7" s="22"/>
      <c r="O7" s="22"/>
      <c r="P7" s="22"/>
      <c r="Q7" s="22"/>
    </row>
    <row r="8">
      <c r="A8" s="11" t="s">
        <v>5</v>
      </c>
      <c r="B8" s="72" t="s">
        <v>145</v>
      </c>
      <c r="C8" s="193">
        <v>1.0</v>
      </c>
      <c r="D8" s="74" t="str">
        <f t="shared" si="1"/>
        <v>TER.</v>
      </c>
      <c r="E8" s="13">
        <f t="shared" si="2"/>
        <v>3</v>
      </c>
      <c r="F8" s="30"/>
      <c r="G8" s="16">
        <f>'fevereiro 2022'!K120</f>
        <v>0</v>
      </c>
      <c r="H8" s="31"/>
      <c r="I8" s="58" t="s">
        <v>261</v>
      </c>
      <c r="J8" s="72" t="s">
        <v>14</v>
      </c>
      <c r="K8" s="77"/>
      <c r="L8" s="77"/>
      <c r="M8" s="77"/>
      <c r="N8" s="77"/>
      <c r="O8" s="77"/>
      <c r="P8" s="77"/>
      <c r="Q8" s="77"/>
    </row>
    <row r="9">
      <c r="A9" s="11" t="s">
        <v>5</v>
      </c>
      <c r="B9" s="173" t="s">
        <v>145</v>
      </c>
      <c r="C9" s="184">
        <v>1.0</v>
      </c>
      <c r="D9" s="25" t="str">
        <f t="shared" si="1"/>
        <v>TER.</v>
      </c>
      <c r="E9" s="13">
        <f t="shared" si="2"/>
        <v>3</v>
      </c>
      <c r="F9" s="26"/>
      <c r="G9" s="16">
        <f>'fevereiro 2022'!K121</f>
        <v>844.42</v>
      </c>
      <c r="H9" s="56"/>
      <c r="I9" s="33" t="s">
        <v>252</v>
      </c>
      <c r="J9" s="173" t="s">
        <v>14</v>
      </c>
      <c r="K9" s="59"/>
      <c r="L9" s="59"/>
      <c r="M9" s="59"/>
      <c r="N9" s="59"/>
      <c r="O9" s="59"/>
      <c r="P9" s="59"/>
      <c r="Q9" s="59"/>
    </row>
    <row r="10">
      <c r="A10" s="11" t="s">
        <v>5</v>
      </c>
      <c r="B10" s="42" t="s">
        <v>145</v>
      </c>
      <c r="C10" s="144">
        <v>1.0</v>
      </c>
      <c r="D10" s="14" t="str">
        <f t="shared" si="1"/>
        <v>TER.</v>
      </c>
      <c r="E10" s="13">
        <f t="shared" si="2"/>
        <v>3</v>
      </c>
      <c r="F10" s="43"/>
      <c r="G10" s="16">
        <f>'fevereiro 2022'!K122</f>
        <v>394.49</v>
      </c>
      <c r="H10" s="45"/>
      <c r="I10" s="41" t="s">
        <v>249</v>
      </c>
      <c r="J10" s="42" t="s">
        <v>14</v>
      </c>
      <c r="K10" s="68"/>
      <c r="L10" s="68"/>
      <c r="M10" s="68"/>
      <c r="N10" s="68"/>
      <c r="O10" s="68"/>
      <c r="P10" s="68"/>
      <c r="Q10" s="68"/>
    </row>
    <row r="11">
      <c r="A11" s="11" t="s">
        <v>5</v>
      </c>
      <c r="B11" s="103" t="s">
        <v>533</v>
      </c>
      <c r="C11" s="13">
        <v>1.0</v>
      </c>
      <c r="D11" s="14" t="str">
        <f t="shared" si="1"/>
        <v>TER.</v>
      </c>
      <c r="E11" s="13">
        <f t="shared" si="2"/>
        <v>3</v>
      </c>
      <c r="F11" s="54"/>
      <c r="G11" s="70"/>
      <c r="H11" s="86">
        <v>50.0</v>
      </c>
      <c r="I11" s="105" t="s">
        <v>17</v>
      </c>
      <c r="J11" s="21" t="s">
        <v>534</v>
      </c>
      <c r="K11" s="84"/>
      <c r="L11" s="84"/>
      <c r="M11" s="84"/>
      <c r="N11" s="84"/>
      <c r="O11" s="84"/>
      <c r="P11" s="84"/>
      <c r="Q11" s="84"/>
    </row>
    <row r="12">
      <c r="A12" s="11" t="s">
        <v>25</v>
      </c>
      <c r="B12" s="39" t="s">
        <v>26</v>
      </c>
      <c r="C12" s="66">
        <v>1.0</v>
      </c>
      <c r="D12" s="14" t="str">
        <f t="shared" si="1"/>
        <v>TER.</v>
      </c>
      <c r="E12" s="13">
        <f t="shared" si="2"/>
        <v>3</v>
      </c>
      <c r="F12" s="87"/>
      <c r="G12" s="45"/>
      <c r="H12" s="46">
        <v>350.0</v>
      </c>
      <c r="I12" s="149" t="s">
        <v>17</v>
      </c>
      <c r="J12" s="42"/>
      <c r="K12" s="68"/>
      <c r="L12" s="68"/>
      <c r="M12" s="68"/>
      <c r="N12" s="68"/>
      <c r="O12" s="68"/>
      <c r="P12" s="68"/>
      <c r="Q12" s="68"/>
    </row>
    <row r="13">
      <c r="A13" s="11" t="s">
        <v>25</v>
      </c>
      <c r="B13" s="61" t="s">
        <v>27</v>
      </c>
      <c r="C13" s="148">
        <v>1.0</v>
      </c>
      <c r="D13" s="25" t="str">
        <f t="shared" si="1"/>
        <v>TER.</v>
      </c>
      <c r="E13" s="13">
        <f t="shared" si="2"/>
        <v>3</v>
      </c>
      <c r="F13" s="87"/>
      <c r="G13" s="63">
        <v>350.0</v>
      </c>
      <c r="H13" s="56"/>
      <c r="I13" s="37" t="s">
        <v>13</v>
      </c>
      <c r="J13" s="40"/>
      <c r="K13" s="59"/>
      <c r="L13" s="59"/>
      <c r="M13" s="59"/>
      <c r="N13" s="59"/>
      <c r="O13" s="59"/>
      <c r="P13" s="59"/>
      <c r="Q13" s="59"/>
    </row>
    <row r="14">
      <c r="A14" s="192" t="s">
        <v>5</v>
      </c>
      <c r="B14" s="29" t="s">
        <v>148</v>
      </c>
      <c r="C14" s="193">
        <v>2.0</v>
      </c>
      <c r="D14" s="74" t="str">
        <f t="shared" si="1"/>
        <v>QUA.</v>
      </c>
      <c r="E14" s="193">
        <f t="shared" si="2"/>
        <v>3</v>
      </c>
      <c r="F14" s="30"/>
      <c r="G14" s="31"/>
      <c r="H14" s="153">
        <v>54.26</v>
      </c>
      <c r="I14" s="154" t="s">
        <v>13</v>
      </c>
      <c r="J14" s="72" t="s">
        <v>149</v>
      </c>
      <c r="K14" s="29"/>
      <c r="L14" s="29"/>
      <c r="M14" s="29"/>
      <c r="N14" s="29"/>
      <c r="O14" s="29"/>
      <c r="P14" s="29"/>
      <c r="Q14" s="29"/>
    </row>
    <row r="15">
      <c r="A15" s="11" t="s">
        <v>5</v>
      </c>
      <c r="B15" s="179" t="s">
        <v>21</v>
      </c>
      <c r="C15" s="62">
        <v>5.0</v>
      </c>
      <c r="D15" s="25" t="str">
        <f t="shared" si="1"/>
        <v>SÁB.</v>
      </c>
      <c r="E15" s="13">
        <f t="shared" si="2"/>
        <v>3</v>
      </c>
      <c r="F15" s="26"/>
      <c r="G15" s="56"/>
      <c r="H15" s="63">
        <v>203.92</v>
      </c>
      <c r="I15" s="33" t="s">
        <v>17</v>
      </c>
      <c r="J15" s="90" t="s">
        <v>703</v>
      </c>
      <c r="K15" s="56"/>
      <c r="L15" s="56"/>
      <c r="M15" s="56"/>
      <c r="N15" s="56"/>
      <c r="O15" s="56"/>
      <c r="P15" s="56"/>
      <c r="Q15" s="56"/>
    </row>
    <row r="16">
      <c r="A16" s="11" t="s">
        <v>5</v>
      </c>
      <c r="B16" s="159" t="s">
        <v>664</v>
      </c>
      <c r="C16" s="73">
        <v>3.0</v>
      </c>
      <c r="D16" s="25" t="str">
        <f t="shared" si="1"/>
        <v>QUI.</v>
      </c>
      <c r="E16" s="13">
        <f t="shared" si="2"/>
        <v>3</v>
      </c>
      <c r="F16" s="87">
        <v>44621.0</v>
      </c>
      <c r="G16" s="31"/>
      <c r="H16" s="32">
        <v>400.0</v>
      </c>
      <c r="I16" s="58" t="s">
        <v>17</v>
      </c>
      <c r="J16" s="76" t="s">
        <v>466</v>
      </c>
      <c r="K16" s="31"/>
      <c r="L16" s="31"/>
      <c r="M16" s="31"/>
      <c r="N16" s="31"/>
      <c r="O16" s="31"/>
      <c r="P16" s="31"/>
      <c r="Q16" s="31"/>
    </row>
    <row r="17">
      <c r="A17" s="11" t="s">
        <v>5</v>
      </c>
      <c r="B17" s="83" t="s">
        <v>350</v>
      </c>
      <c r="C17" s="13">
        <v>4.0</v>
      </c>
      <c r="D17" s="14" t="str">
        <f t="shared" si="1"/>
        <v>SEX.</v>
      </c>
      <c r="E17" s="13">
        <f t="shared" si="2"/>
        <v>3</v>
      </c>
      <c r="F17" s="35"/>
      <c r="G17" s="36">
        <v>500.0</v>
      </c>
      <c r="H17" s="70"/>
      <c r="I17" s="78" t="s">
        <v>17</v>
      </c>
      <c r="J17" s="21" t="s">
        <v>390</v>
      </c>
      <c r="K17" s="84"/>
      <c r="L17" s="84"/>
      <c r="M17" s="84"/>
      <c r="N17" s="84"/>
      <c r="O17" s="84"/>
      <c r="P17" s="84"/>
      <c r="Q17" s="84"/>
    </row>
    <row r="18">
      <c r="A18" s="11" t="s">
        <v>5</v>
      </c>
      <c r="B18" s="83" t="s">
        <v>352</v>
      </c>
      <c r="C18" s="13">
        <v>4.0</v>
      </c>
      <c r="D18" s="14" t="str">
        <f t="shared" si="1"/>
        <v>SEX.</v>
      </c>
      <c r="E18" s="13">
        <f t="shared" si="2"/>
        <v>3</v>
      </c>
      <c r="F18" s="35"/>
      <c r="G18" s="36"/>
      <c r="H18" s="36">
        <v>500.0</v>
      </c>
      <c r="I18" s="78" t="s">
        <v>17</v>
      </c>
      <c r="J18" s="21" t="s">
        <v>391</v>
      </c>
      <c r="K18" s="84"/>
      <c r="L18" s="84"/>
      <c r="M18" s="84"/>
      <c r="N18" s="84"/>
      <c r="O18" s="84"/>
      <c r="P18" s="84"/>
      <c r="Q18" s="84"/>
    </row>
    <row r="19">
      <c r="A19" s="11" t="s">
        <v>5</v>
      </c>
      <c r="B19" s="44" t="s">
        <v>704</v>
      </c>
      <c r="C19" s="13">
        <v>4.0</v>
      </c>
      <c r="D19" s="14" t="str">
        <f t="shared" si="1"/>
        <v>SEX.</v>
      </c>
      <c r="E19" s="13">
        <f t="shared" si="2"/>
        <v>3</v>
      </c>
      <c r="F19" s="85"/>
      <c r="G19" s="45"/>
      <c r="H19" s="46">
        <v>42.0</v>
      </c>
      <c r="I19" s="58" t="s">
        <v>17</v>
      </c>
      <c r="J19" s="21" t="s">
        <v>20</v>
      </c>
      <c r="K19" s="21"/>
      <c r="L19" s="21"/>
      <c r="M19" s="21"/>
      <c r="N19" s="21"/>
      <c r="O19" s="39"/>
      <c r="P19" s="39"/>
      <c r="Q19" s="39"/>
    </row>
    <row r="20">
      <c r="A20" s="11" t="s">
        <v>5</v>
      </c>
      <c r="B20" s="44" t="s">
        <v>491</v>
      </c>
      <c r="C20" s="13">
        <v>4.0</v>
      </c>
      <c r="D20" s="14" t="str">
        <f t="shared" si="1"/>
        <v>SEX.</v>
      </c>
      <c r="E20" s="13">
        <f t="shared" si="2"/>
        <v>3</v>
      </c>
      <c r="F20" s="43"/>
      <c r="G20" s="46">
        <v>2000.0</v>
      </c>
      <c r="H20" s="46"/>
      <c r="I20" s="47" t="s">
        <v>17</v>
      </c>
      <c r="J20" s="21" t="s">
        <v>38</v>
      </c>
      <c r="K20" s="39"/>
      <c r="L20" s="39"/>
      <c r="M20" s="39"/>
      <c r="N20" s="39"/>
      <c r="O20" s="39"/>
      <c r="P20" s="39"/>
      <c r="Q20" s="39"/>
    </row>
    <row r="21">
      <c r="A21" s="97" t="s">
        <v>5</v>
      </c>
      <c r="B21" s="76" t="s">
        <v>705</v>
      </c>
      <c r="C21" s="193">
        <v>4.0</v>
      </c>
      <c r="D21" s="74" t="str">
        <f t="shared" si="1"/>
        <v>SEX.</v>
      </c>
      <c r="E21" s="193">
        <f t="shared" si="2"/>
        <v>3</v>
      </c>
      <c r="F21" s="30"/>
      <c r="G21" s="31"/>
      <c r="H21" s="46">
        <v>2000.0</v>
      </c>
      <c r="I21" s="71" t="s">
        <v>17</v>
      </c>
      <c r="J21" s="76" t="s">
        <v>363</v>
      </c>
      <c r="K21" s="77"/>
      <c r="L21" s="77"/>
      <c r="M21" s="77"/>
      <c r="N21" s="77"/>
      <c r="O21" s="77"/>
      <c r="P21" s="77"/>
      <c r="Q21" s="77"/>
    </row>
    <row r="22">
      <c r="A22" s="11" t="s">
        <v>5</v>
      </c>
      <c r="B22" s="99" t="s">
        <v>119</v>
      </c>
      <c r="C22" s="13">
        <v>4.0</v>
      </c>
      <c r="D22" s="14" t="str">
        <f t="shared" si="1"/>
        <v>SEX.</v>
      </c>
      <c r="E22" s="13">
        <f t="shared" si="2"/>
        <v>3</v>
      </c>
      <c r="F22" s="35"/>
      <c r="G22" s="36">
        <v>16.67</v>
      </c>
      <c r="H22" s="70"/>
      <c r="I22" s="78" t="s">
        <v>17</v>
      </c>
      <c r="J22" s="21" t="s">
        <v>120</v>
      </c>
      <c r="K22" s="84"/>
      <c r="L22" s="84"/>
      <c r="M22" s="84"/>
      <c r="N22" s="84"/>
      <c r="O22" s="84"/>
      <c r="P22" s="84"/>
      <c r="Q22" s="84"/>
    </row>
    <row r="23">
      <c r="A23" s="11" t="s">
        <v>5</v>
      </c>
      <c r="B23" s="90" t="s">
        <v>706</v>
      </c>
      <c r="C23" s="13">
        <v>6.0</v>
      </c>
      <c r="D23" s="14" t="str">
        <f t="shared" si="1"/>
        <v>DOM.</v>
      </c>
      <c r="E23" s="13">
        <f t="shared" si="2"/>
        <v>3</v>
      </c>
      <c r="F23" s="26"/>
      <c r="G23" s="56"/>
      <c r="H23" s="88">
        <v>83.28</v>
      </c>
      <c r="I23" s="58" t="s">
        <v>249</v>
      </c>
      <c r="J23" s="21" t="s">
        <v>22</v>
      </c>
      <c r="K23" s="55"/>
      <c r="L23" s="55"/>
      <c r="M23" s="55"/>
      <c r="N23" s="55"/>
      <c r="O23" s="55"/>
      <c r="P23" s="55"/>
      <c r="Q23" s="55"/>
    </row>
    <row r="24">
      <c r="A24" s="11" t="s">
        <v>5</v>
      </c>
      <c r="B24" s="44" t="s">
        <v>39</v>
      </c>
      <c r="C24" s="13">
        <v>8.0</v>
      </c>
      <c r="D24" s="14" t="str">
        <f t="shared" si="1"/>
        <v>TER.</v>
      </c>
      <c r="E24" s="13">
        <f t="shared" si="2"/>
        <v>3</v>
      </c>
      <c r="F24" s="87"/>
      <c r="G24" s="45"/>
      <c r="H24" s="46">
        <f>sum(H25:H29)</f>
        <v>423.77</v>
      </c>
      <c r="I24" s="47" t="s">
        <v>17</v>
      </c>
      <c r="J24" s="21"/>
      <c r="K24" s="39"/>
      <c r="L24" s="39"/>
      <c r="M24" s="39"/>
      <c r="N24" s="39"/>
      <c r="O24" s="39"/>
      <c r="P24" s="39"/>
      <c r="Q24" s="39"/>
    </row>
    <row r="25" outlineLevel="1">
      <c r="A25" s="11" t="s">
        <v>40</v>
      </c>
      <c r="B25" s="83" t="s">
        <v>707</v>
      </c>
      <c r="C25" s="194"/>
      <c r="D25" s="195"/>
      <c r="E25" s="207">
        <f t="shared" si="2"/>
        <v>3</v>
      </c>
      <c r="F25" s="196">
        <v>44511.0</v>
      </c>
      <c r="G25" s="70"/>
      <c r="H25" s="151">
        <v>223.38</v>
      </c>
      <c r="I25" s="197"/>
      <c r="J25" s="79" t="s">
        <v>591</v>
      </c>
      <c r="K25" s="84"/>
      <c r="L25" s="84"/>
      <c r="M25" s="84"/>
      <c r="N25" s="84"/>
      <c r="O25" s="84"/>
      <c r="P25" s="84"/>
      <c r="Q25" s="84"/>
    </row>
    <row r="26" outlineLevel="1">
      <c r="A26" s="11" t="s">
        <v>40</v>
      </c>
      <c r="B26" s="76" t="s">
        <v>646</v>
      </c>
      <c r="C26" s="155"/>
      <c r="D26" s="156"/>
      <c r="E26" s="193">
        <f t="shared" si="2"/>
        <v>3</v>
      </c>
      <c r="F26" s="54">
        <v>44599.0</v>
      </c>
      <c r="G26" s="31"/>
      <c r="H26" s="32">
        <v>36.1</v>
      </c>
      <c r="I26" s="157"/>
      <c r="J26" s="72" t="s">
        <v>393</v>
      </c>
      <c r="K26" s="77"/>
      <c r="L26" s="77"/>
      <c r="M26" s="77"/>
      <c r="N26" s="77"/>
      <c r="O26" s="77"/>
      <c r="P26" s="77"/>
      <c r="Q26" s="77"/>
    </row>
    <row r="27" outlineLevel="1">
      <c r="A27" s="11" t="s">
        <v>40</v>
      </c>
      <c r="B27" s="76" t="s">
        <v>708</v>
      </c>
      <c r="C27" s="155"/>
      <c r="D27" s="156"/>
      <c r="E27" s="193">
        <f t="shared" si="2"/>
        <v>3</v>
      </c>
      <c r="F27" s="54">
        <v>44600.0</v>
      </c>
      <c r="G27" s="31"/>
      <c r="H27" s="32">
        <v>49.12</v>
      </c>
      <c r="I27" s="157"/>
      <c r="J27" s="72" t="s">
        <v>393</v>
      </c>
      <c r="K27" s="77"/>
      <c r="L27" s="77"/>
      <c r="M27" s="77"/>
      <c r="N27" s="77"/>
      <c r="O27" s="77"/>
      <c r="P27" s="77"/>
      <c r="Q27" s="77"/>
    </row>
    <row r="28" outlineLevel="1">
      <c r="A28" s="11" t="s">
        <v>40</v>
      </c>
      <c r="B28" s="76" t="s">
        <v>646</v>
      </c>
      <c r="C28" s="155"/>
      <c r="D28" s="156"/>
      <c r="E28" s="193">
        <f t="shared" si="2"/>
        <v>3</v>
      </c>
      <c r="F28" s="54">
        <v>44609.0</v>
      </c>
      <c r="G28" s="31"/>
      <c r="H28" s="32">
        <v>35.37</v>
      </c>
      <c r="I28" s="157"/>
      <c r="J28" s="72" t="s">
        <v>393</v>
      </c>
      <c r="K28" s="77"/>
      <c r="L28" s="77"/>
      <c r="M28" s="77"/>
      <c r="N28" s="77"/>
      <c r="O28" s="77"/>
      <c r="P28" s="77"/>
      <c r="Q28" s="77"/>
    </row>
    <row r="29" outlineLevel="1">
      <c r="A29" s="215" t="s">
        <v>40</v>
      </c>
      <c r="B29" s="79" t="s">
        <v>646</v>
      </c>
      <c r="C29" s="194"/>
      <c r="D29" s="195"/>
      <c r="E29" s="210">
        <f t="shared" si="2"/>
        <v>3</v>
      </c>
      <c r="F29" s="196">
        <v>44612.0</v>
      </c>
      <c r="G29" s="70"/>
      <c r="H29" s="36">
        <v>79.8</v>
      </c>
      <c r="I29" s="197"/>
      <c r="J29" s="79" t="s">
        <v>393</v>
      </c>
      <c r="K29" s="84"/>
      <c r="L29" s="84"/>
      <c r="M29" s="84"/>
      <c r="N29" s="84"/>
      <c r="O29" s="84"/>
      <c r="P29" s="84"/>
      <c r="Q29" s="84"/>
    </row>
    <row r="30">
      <c r="A30" s="11" t="s">
        <v>5</v>
      </c>
      <c r="B30" s="90" t="s">
        <v>59</v>
      </c>
      <c r="C30" s="13">
        <v>8.0</v>
      </c>
      <c r="D30" s="14" t="str">
        <f t="shared" ref="D30:D36" si="3">UPPER(TEXT(WEEKDAY(DATEVALUE(CONCATENATE(C30,"/",$C$3,"/",$A$1))),"DDD"))</f>
        <v>TER.</v>
      </c>
      <c r="E30" s="13">
        <f t="shared" si="2"/>
        <v>3</v>
      </c>
      <c r="F30" s="87">
        <v>44622.0</v>
      </c>
      <c r="G30" s="56"/>
      <c r="H30" s="88">
        <v>495.76</v>
      </c>
      <c r="I30" s="58" t="s">
        <v>17</v>
      </c>
      <c r="J30" s="21" t="s">
        <v>60</v>
      </c>
      <c r="K30" s="59"/>
      <c r="L30" s="59"/>
      <c r="M30" s="59"/>
      <c r="N30" s="59"/>
      <c r="O30" s="59"/>
      <c r="P30" s="59"/>
      <c r="Q30" s="59"/>
    </row>
    <row r="31">
      <c r="A31" s="11" t="s">
        <v>5</v>
      </c>
      <c r="B31" s="39" t="s">
        <v>61</v>
      </c>
      <c r="C31" s="13">
        <v>8.0</v>
      </c>
      <c r="D31" s="14" t="str">
        <f t="shared" si="3"/>
        <v>TER.</v>
      </c>
      <c r="E31" s="13">
        <f t="shared" si="2"/>
        <v>3</v>
      </c>
      <c r="F31" s="87">
        <v>44624.0</v>
      </c>
      <c r="G31" s="45"/>
      <c r="H31" s="46">
        <v>117.09</v>
      </c>
      <c r="I31" s="58" t="s">
        <v>17</v>
      </c>
      <c r="J31" s="21" t="s">
        <v>62</v>
      </c>
      <c r="K31" s="39"/>
      <c r="L31" s="39"/>
      <c r="M31" s="39"/>
      <c r="N31" s="39"/>
      <c r="O31" s="39"/>
      <c r="P31" s="39"/>
      <c r="Q31" s="39"/>
    </row>
    <row r="32">
      <c r="A32" s="11" t="s">
        <v>5</v>
      </c>
      <c r="B32" s="83" t="s">
        <v>442</v>
      </c>
      <c r="C32" s="207">
        <v>8.0</v>
      </c>
      <c r="D32" s="81" t="str">
        <f t="shared" si="3"/>
        <v>TER.</v>
      </c>
      <c r="E32" s="207">
        <f t="shared" si="2"/>
        <v>3</v>
      </c>
      <c r="F32" s="87">
        <v>44624.0</v>
      </c>
      <c r="G32" s="70"/>
      <c r="H32" s="36">
        <v>39.9</v>
      </c>
      <c r="I32" s="47" t="s">
        <v>17</v>
      </c>
      <c r="J32" s="103" t="s">
        <v>443</v>
      </c>
      <c r="K32" s="99"/>
      <c r="L32" s="99"/>
      <c r="M32" s="99"/>
      <c r="N32" s="99"/>
      <c r="O32" s="99"/>
      <c r="P32" s="99"/>
      <c r="Q32" s="99"/>
    </row>
    <row r="33">
      <c r="A33" s="11" t="s">
        <v>5</v>
      </c>
      <c r="B33" s="159" t="s">
        <v>427</v>
      </c>
      <c r="C33" s="73">
        <v>8.0</v>
      </c>
      <c r="D33" s="74" t="str">
        <f t="shared" si="3"/>
        <v>TER.</v>
      </c>
      <c r="E33" s="193">
        <f t="shared" si="2"/>
        <v>3</v>
      </c>
      <c r="F33" s="30"/>
      <c r="G33" s="31"/>
      <c r="H33" s="32">
        <v>89.33</v>
      </c>
      <c r="I33" s="71" t="s">
        <v>252</v>
      </c>
      <c r="J33" s="72" t="s">
        <v>22</v>
      </c>
      <c r="K33" s="31"/>
      <c r="L33" s="31"/>
      <c r="M33" s="31"/>
      <c r="N33" s="31"/>
      <c r="O33" s="31"/>
      <c r="P33" s="31"/>
      <c r="Q33" s="31"/>
    </row>
    <row r="34">
      <c r="A34" s="11" t="s">
        <v>5</v>
      </c>
      <c r="B34" s="90" t="s">
        <v>709</v>
      </c>
      <c r="C34" s="13">
        <v>9.0</v>
      </c>
      <c r="D34" s="14" t="str">
        <f t="shared" si="3"/>
        <v>QUA.</v>
      </c>
      <c r="E34" s="13">
        <f t="shared" si="2"/>
        <v>3</v>
      </c>
      <c r="F34" s="87"/>
      <c r="G34" s="56"/>
      <c r="H34" s="88">
        <v>138.0</v>
      </c>
      <c r="I34" s="58" t="s">
        <v>13</v>
      </c>
      <c r="J34" s="21" t="s">
        <v>475</v>
      </c>
      <c r="K34" s="59"/>
      <c r="L34" s="59"/>
      <c r="M34" s="59"/>
      <c r="N34" s="59"/>
      <c r="O34" s="59"/>
      <c r="P34" s="59"/>
      <c r="Q34" s="59"/>
    </row>
    <row r="35">
      <c r="A35" s="11" t="s">
        <v>5</v>
      </c>
      <c r="B35" s="34" t="s">
        <v>444</v>
      </c>
      <c r="C35" s="13">
        <v>10.0</v>
      </c>
      <c r="D35" s="14" t="str">
        <f t="shared" si="3"/>
        <v>QUI.</v>
      </c>
      <c r="E35" s="13">
        <f t="shared" si="2"/>
        <v>3</v>
      </c>
      <c r="F35" s="87">
        <v>44624.0</v>
      </c>
      <c r="G35" s="56"/>
      <c r="H35" s="63">
        <v>637.0</v>
      </c>
      <c r="I35" s="58" t="s">
        <v>17</v>
      </c>
      <c r="J35" s="21" t="s">
        <v>67</v>
      </c>
      <c r="K35" s="59"/>
      <c r="L35" s="59"/>
      <c r="M35" s="59"/>
      <c r="N35" s="59"/>
      <c r="O35" s="59"/>
      <c r="P35" s="59"/>
      <c r="Q35" s="59"/>
    </row>
    <row r="36">
      <c r="A36" s="11" t="s">
        <v>5</v>
      </c>
      <c r="B36" s="177" t="s">
        <v>84</v>
      </c>
      <c r="C36" s="148">
        <v>11.0</v>
      </c>
      <c r="D36" s="25" t="str">
        <f t="shared" si="3"/>
        <v>SEX.</v>
      </c>
      <c r="E36" s="13">
        <f t="shared" si="2"/>
        <v>3</v>
      </c>
      <c r="F36" s="87"/>
      <c r="G36" s="56"/>
      <c r="H36" s="101">
        <f>SUM(H37:H41)</f>
        <v>365.36</v>
      </c>
      <c r="I36" s="23" t="s">
        <v>17</v>
      </c>
      <c r="J36" s="40"/>
      <c r="K36" s="56"/>
      <c r="L36" s="56"/>
      <c r="M36" s="56"/>
      <c r="N36" s="56"/>
      <c r="O36" s="56"/>
      <c r="P36" s="56"/>
      <c r="Q36" s="56"/>
    </row>
    <row r="37" outlineLevel="1">
      <c r="A37" s="11" t="s">
        <v>40</v>
      </c>
      <c r="B37" s="83" t="s">
        <v>601</v>
      </c>
      <c r="C37" s="194"/>
      <c r="D37" s="195"/>
      <c r="E37" s="193">
        <f t="shared" si="2"/>
        <v>3</v>
      </c>
      <c r="F37" s="196">
        <v>44602.0</v>
      </c>
      <c r="G37" s="70"/>
      <c r="H37" s="36">
        <v>16.24</v>
      </c>
      <c r="I37" s="70"/>
      <c r="J37" s="83" t="s">
        <v>88</v>
      </c>
      <c r="K37" s="84"/>
      <c r="L37" s="84"/>
      <c r="M37" s="84"/>
      <c r="N37" s="84"/>
      <c r="O37" s="84"/>
      <c r="P37" s="84"/>
      <c r="Q37" s="84"/>
    </row>
    <row r="38" outlineLevel="1">
      <c r="A38" s="11" t="s">
        <v>40</v>
      </c>
      <c r="B38" s="76" t="s">
        <v>563</v>
      </c>
      <c r="C38" s="155"/>
      <c r="D38" s="156"/>
      <c r="E38" s="193">
        <f t="shared" si="2"/>
        <v>3</v>
      </c>
      <c r="F38" s="196">
        <v>44617.0</v>
      </c>
      <c r="G38" s="31"/>
      <c r="H38" s="32">
        <v>31.9</v>
      </c>
      <c r="I38" s="31"/>
      <c r="J38" s="83" t="s">
        <v>88</v>
      </c>
      <c r="K38" s="77"/>
      <c r="L38" s="77"/>
      <c r="M38" s="77"/>
      <c r="N38" s="77"/>
      <c r="O38" s="77"/>
      <c r="P38" s="77"/>
      <c r="Q38" s="77"/>
    </row>
    <row r="39" outlineLevel="1">
      <c r="A39" s="11" t="s">
        <v>40</v>
      </c>
      <c r="B39" s="79" t="s">
        <v>87</v>
      </c>
      <c r="C39" s="194"/>
      <c r="D39" s="195"/>
      <c r="E39" s="193">
        <f t="shared" si="2"/>
        <v>3</v>
      </c>
      <c r="F39" s="196">
        <v>44618.0</v>
      </c>
      <c r="G39" s="70"/>
      <c r="H39" s="151">
        <v>9.9</v>
      </c>
      <c r="I39" s="70"/>
      <c r="J39" s="83" t="s">
        <v>88</v>
      </c>
      <c r="K39" s="84"/>
      <c r="L39" s="84"/>
      <c r="M39" s="84"/>
      <c r="N39" s="84"/>
      <c r="O39" s="84"/>
      <c r="P39" s="84"/>
      <c r="Q39" s="84"/>
    </row>
    <row r="40" outlineLevel="1">
      <c r="A40" s="11" t="s">
        <v>40</v>
      </c>
      <c r="B40" s="44" t="s">
        <v>710</v>
      </c>
      <c r="C40" s="187"/>
      <c r="D40" s="108"/>
      <c r="E40" s="193">
        <f t="shared" si="2"/>
        <v>3</v>
      </c>
      <c r="F40" s="224" t="s">
        <v>711</v>
      </c>
      <c r="G40" s="45"/>
      <c r="H40" s="46">
        <v>262.33</v>
      </c>
      <c r="I40" s="45"/>
      <c r="J40" s="44" t="s">
        <v>652</v>
      </c>
      <c r="K40" s="68"/>
      <c r="L40" s="68"/>
      <c r="M40" s="68"/>
      <c r="N40" s="68"/>
      <c r="O40" s="68"/>
      <c r="P40" s="68"/>
      <c r="Q40" s="68"/>
    </row>
    <row r="41" outlineLevel="1">
      <c r="A41" s="11" t="s">
        <v>40</v>
      </c>
      <c r="B41" s="76" t="s">
        <v>515</v>
      </c>
      <c r="C41" s="155"/>
      <c r="D41" s="156"/>
      <c r="E41" s="193">
        <f t="shared" si="2"/>
        <v>3</v>
      </c>
      <c r="F41" s="54">
        <v>44621.0</v>
      </c>
      <c r="G41" s="31"/>
      <c r="H41" s="32">
        <v>44.99</v>
      </c>
      <c r="I41" s="31"/>
      <c r="J41" s="76" t="s">
        <v>516</v>
      </c>
      <c r="K41" s="77"/>
      <c r="L41" s="77"/>
      <c r="M41" s="77"/>
      <c r="N41" s="77"/>
      <c r="O41" s="77"/>
      <c r="P41" s="77"/>
      <c r="Q41" s="77"/>
    </row>
    <row r="42">
      <c r="A42" s="11" t="s">
        <v>5</v>
      </c>
      <c r="B42" s="44" t="s">
        <v>529</v>
      </c>
      <c r="C42" s="13">
        <v>13.0</v>
      </c>
      <c r="D42" s="14" t="str">
        <f t="shared" ref="D42:D80" si="4">UPPER(TEXT(WEEKDAY(DATEVALUE(CONCATENATE(C42,"/",$C$3,"/",$A$1))),"DDD"))</f>
        <v>DOM.</v>
      </c>
      <c r="E42" s="13">
        <f t="shared" si="2"/>
        <v>3</v>
      </c>
      <c r="F42" s="85"/>
      <c r="G42" s="45"/>
      <c r="H42" s="46">
        <v>9.0</v>
      </c>
      <c r="I42" s="58" t="s">
        <v>17</v>
      </c>
      <c r="J42" s="21" t="s">
        <v>29</v>
      </c>
      <c r="K42" s="21"/>
      <c r="L42" s="21"/>
      <c r="M42" s="21"/>
      <c r="N42" s="21"/>
      <c r="O42" s="39"/>
      <c r="P42" s="39"/>
      <c r="Q42" s="39"/>
    </row>
    <row r="43">
      <c r="A43" s="215" t="s">
        <v>25</v>
      </c>
      <c r="B43" s="198" t="s">
        <v>26</v>
      </c>
      <c r="C43" s="150">
        <v>14.0</v>
      </c>
      <c r="D43" s="81" t="str">
        <f t="shared" si="4"/>
        <v>SEG.</v>
      </c>
      <c r="E43" s="207">
        <f t="shared" si="2"/>
        <v>3</v>
      </c>
      <c r="F43" s="35"/>
      <c r="G43" s="70"/>
      <c r="H43" s="36">
        <v>10.0</v>
      </c>
      <c r="I43" s="82" t="s">
        <v>17</v>
      </c>
      <c r="J43" s="197"/>
      <c r="K43" s="70"/>
      <c r="L43" s="70"/>
      <c r="M43" s="70"/>
      <c r="N43" s="70"/>
      <c r="O43" s="70"/>
      <c r="P43" s="70"/>
      <c r="Q43" s="70"/>
    </row>
    <row r="44">
      <c r="A44" s="192" t="s">
        <v>25</v>
      </c>
      <c r="B44" s="29" t="s">
        <v>27</v>
      </c>
      <c r="C44" s="73">
        <v>14.0</v>
      </c>
      <c r="D44" s="74" t="str">
        <f t="shared" si="4"/>
        <v>SEG.</v>
      </c>
      <c r="E44" s="193">
        <f t="shared" si="2"/>
        <v>3</v>
      </c>
      <c r="F44" s="30"/>
      <c r="G44" s="32">
        <v>10.0</v>
      </c>
      <c r="H44" s="31"/>
      <c r="I44" s="75" t="s">
        <v>18</v>
      </c>
      <c r="J44" s="157"/>
      <c r="K44" s="31"/>
      <c r="L44" s="31"/>
      <c r="M44" s="31"/>
      <c r="N44" s="31"/>
      <c r="O44" s="31"/>
      <c r="P44" s="31"/>
      <c r="Q44" s="31"/>
    </row>
    <row r="45">
      <c r="A45" s="192" t="s">
        <v>5</v>
      </c>
      <c r="B45" s="29" t="s">
        <v>117</v>
      </c>
      <c r="C45" s="73">
        <v>14.0</v>
      </c>
      <c r="D45" s="74" t="str">
        <f t="shared" si="4"/>
        <v>SEG.</v>
      </c>
      <c r="E45" s="193">
        <f t="shared" si="2"/>
        <v>3</v>
      </c>
      <c r="F45" s="30"/>
      <c r="G45" s="31"/>
      <c r="H45" s="32">
        <v>15.0</v>
      </c>
      <c r="I45" s="58" t="s">
        <v>18</v>
      </c>
      <c r="J45" s="72" t="s">
        <v>118</v>
      </c>
      <c r="K45" s="31"/>
      <c r="L45" s="31"/>
      <c r="M45" s="31"/>
      <c r="N45" s="31"/>
      <c r="O45" s="31"/>
      <c r="P45" s="31"/>
      <c r="Q45" s="31"/>
    </row>
    <row r="46">
      <c r="A46" s="11" t="s">
        <v>5</v>
      </c>
      <c r="B46" s="178" t="s">
        <v>260</v>
      </c>
      <c r="C46" s="66">
        <v>15.0</v>
      </c>
      <c r="D46" s="14" t="str">
        <f t="shared" si="4"/>
        <v>TER.</v>
      </c>
      <c r="E46" s="144">
        <f t="shared" si="2"/>
        <v>3</v>
      </c>
      <c r="F46" s="43"/>
      <c r="G46" s="46">
        <v>5058.2</v>
      </c>
      <c r="H46" s="45"/>
      <c r="I46" s="65" t="s">
        <v>261</v>
      </c>
      <c r="J46" s="42" t="s">
        <v>64</v>
      </c>
      <c r="K46" s="45"/>
      <c r="L46" s="45"/>
      <c r="M46" s="45"/>
      <c r="N46" s="45"/>
      <c r="O46" s="45"/>
      <c r="P46" s="45"/>
      <c r="Q46" s="45"/>
    </row>
    <row r="47">
      <c r="A47" s="11" t="s">
        <v>25</v>
      </c>
      <c r="B47" s="39" t="s">
        <v>26</v>
      </c>
      <c r="C47" s="66">
        <v>15.0</v>
      </c>
      <c r="D47" s="14" t="str">
        <f t="shared" si="4"/>
        <v>TER.</v>
      </c>
      <c r="E47" s="13">
        <f t="shared" si="2"/>
        <v>3</v>
      </c>
      <c r="F47" s="87"/>
      <c r="G47" s="45"/>
      <c r="H47" s="46">
        <v>5058.2</v>
      </c>
      <c r="I47" s="67" t="s">
        <v>261</v>
      </c>
      <c r="J47" s="42"/>
      <c r="K47" s="68"/>
      <c r="L47" s="68"/>
      <c r="M47" s="68"/>
      <c r="N47" s="68"/>
      <c r="O47" s="68"/>
      <c r="P47" s="68"/>
      <c r="Q47" s="68"/>
    </row>
    <row r="48">
      <c r="A48" s="11" t="s">
        <v>25</v>
      </c>
      <c r="B48" s="61" t="s">
        <v>27</v>
      </c>
      <c r="C48" s="148">
        <v>15.0</v>
      </c>
      <c r="D48" s="25" t="str">
        <f t="shared" si="4"/>
        <v>TER.</v>
      </c>
      <c r="E48" s="13">
        <f t="shared" si="2"/>
        <v>3</v>
      </c>
      <c r="F48" s="87"/>
      <c r="G48" s="63">
        <v>5058.2</v>
      </c>
      <c r="H48" s="56"/>
      <c r="I48" s="37" t="s">
        <v>17</v>
      </c>
      <c r="J48" s="40"/>
      <c r="K48" s="59"/>
      <c r="L48" s="59"/>
      <c r="M48" s="59"/>
      <c r="N48" s="59"/>
      <c r="O48" s="59"/>
      <c r="P48" s="59"/>
      <c r="Q48" s="59"/>
    </row>
    <row r="49">
      <c r="A49" s="11" t="s">
        <v>5</v>
      </c>
      <c r="B49" s="39" t="s">
        <v>102</v>
      </c>
      <c r="C49" s="13">
        <v>15.0</v>
      </c>
      <c r="D49" s="14" t="str">
        <f t="shared" si="4"/>
        <v>TER.</v>
      </c>
      <c r="E49" s="13">
        <f t="shared" si="2"/>
        <v>3</v>
      </c>
      <c r="F49" s="87"/>
      <c r="G49" s="45"/>
      <c r="H49" s="46">
        <v>182.43</v>
      </c>
      <c r="I49" s="58" t="s">
        <v>17</v>
      </c>
      <c r="J49" s="21" t="s">
        <v>75</v>
      </c>
      <c r="K49" s="39"/>
      <c r="L49" s="39"/>
      <c r="M49" s="39"/>
      <c r="N49" s="39"/>
      <c r="O49" s="39"/>
      <c r="P49" s="39"/>
      <c r="Q49" s="39"/>
    </row>
    <row r="50">
      <c r="A50" s="11" t="s">
        <v>5</v>
      </c>
      <c r="B50" s="61" t="s">
        <v>103</v>
      </c>
      <c r="C50" s="13">
        <v>15.0</v>
      </c>
      <c r="D50" s="14" t="str">
        <f t="shared" si="4"/>
        <v>TER.</v>
      </c>
      <c r="E50" s="13">
        <f t="shared" si="2"/>
        <v>3</v>
      </c>
      <c r="F50" s="87"/>
      <c r="G50" s="56"/>
      <c r="H50" s="63">
        <v>182.43</v>
      </c>
      <c r="I50" s="58" t="s">
        <v>17</v>
      </c>
      <c r="J50" s="21" t="s">
        <v>75</v>
      </c>
      <c r="K50" s="61"/>
      <c r="L50" s="61"/>
      <c r="M50" s="61"/>
      <c r="N50" s="61"/>
      <c r="O50" s="61"/>
      <c r="P50" s="61"/>
      <c r="Q50" s="61"/>
    </row>
    <row r="51">
      <c r="A51" s="11" t="s">
        <v>5</v>
      </c>
      <c r="B51" s="39" t="s">
        <v>104</v>
      </c>
      <c r="C51" s="13">
        <v>15.0</v>
      </c>
      <c r="D51" s="14" t="str">
        <f t="shared" si="4"/>
        <v>TER.</v>
      </c>
      <c r="E51" s="13">
        <f t="shared" si="2"/>
        <v>3</v>
      </c>
      <c r="F51" s="87"/>
      <c r="G51" s="45"/>
      <c r="H51" s="46">
        <v>230.66</v>
      </c>
      <c r="I51" s="58" t="s">
        <v>17</v>
      </c>
      <c r="J51" s="21" t="s">
        <v>75</v>
      </c>
      <c r="K51" s="39"/>
      <c r="L51" s="39"/>
      <c r="M51" s="39"/>
      <c r="N51" s="39"/>
      <c r="O51" s="39"/>
      <c r="P51" s="39"/>
      <c r="Q51" s="39"/>
    </row>
    <row r="52">
      <c r="A52" s="158" t="s">
        <v>25</v>
      </c>
      <c r="B52" s="40" t="s">
        <v>26</v>
      </c>
      <c r="C52" s="143">
        <v>15.0</v>
      </c>
      <c r="D52" s="25" t="str">
        <f t="shared" si="4"/>
        <v>TER.</v>
      </c>
      <c r="E52" s="184">
        <f t="shared" si="2"/>
        <v>3</v>
      </c>
      <c r="F52" s="26"/>
      <c r="G52" s="56"/>
      <c r="H52" s="63">
        <v>170.0</v>
      </c>
      <c r="I52" s="37" t="s">
        <v>17</v>
      </c>
      <c r="J52" s="218"/>
      <c r="K52" s="218"/>
      <c r="L52" s="218"/>
      <c r="M52" s="218"/>
      <c r="N52" s="218"/>
      <c r="O52" s="59"/>
      <c r="P52" s="59"/>
      <c r="Q52" s="59"/>
    </row>
    <row r="53">
      <c r="A53" s="95" t="s">
        <v>25</v>
      </c>
      <c r="B53" s="42" t="s">
        <v>27</v>
      </c>
      <c r="C53" s="144">
        <v>15.0</v>
      </c>
      <c r="D53" s="14" t="str">
        <f t="shared" si="4"/>
        <v>TER.</v>
      </c>
      <c r="E53" s="144">
        <f t="shared" si="2"/>
        <v>3</v>
      </c>
      <c r="F53" s="43"/>
      <c r="G53" s="46">
        <v>170.0</v>
      </c>
      <c r="H53" s="45"/>
      <c r="I53" s="149" t="s">
        <v>13</v>
      </c>
      <c r="J53" s="188"/>
      <c r="K53" s="188"/>
      <c r="L53" s="188"/>
      <c r="M53" s="188"/>
      <c r="N53" s="188"/>
      <c r="O53" s="68"/>
      <c r="P53" s="68"/>
      <c r="Q53" s="68"/>
    </row>
    <row r="54">
      <c r="A54" s="11" t="s">
        <v>595</v>
      </c>
      <c r="B54" s="44" t="s">
        <v>712</v>
      </c>
      <c r="C54" s="13">
        <v>15.0</v>
      </c>
      <c r="D54" s="14" t="str">
        <f t="shared" si="4"/>
        <v>TER.</v>
      </c>
      <c r="E54" s="13">
        <f t="shared" si="2"/>
        <v>3</v>
      </c>
      <c r="F54" s="14"/>
      <c r="G54" s="53">
        <v>2500.0</v>
      </c>
      <c r="H54" s="53"/>
      <c r="I54" s="58" t="s">
        <v>17</v>
      </c>
      <c r="J54" s="44" t="s">
        <v>411</v>
      </c>
      <c r="K54" s="42"/>
      <c r="L54" s="96"/>
      <c r="M54" s="21"/>
      <c r="N54" s="21"/>
      <c r="O54" s="39"/>
      <c r="P54" s="39"/>
      <c r="Q54" s="39"/>
    </row>
    <row r="55">
      <c r="A55" s="11" t="s">
        <v>5</v>
      </c>
      <c r="B55" s="179" t="s">
        <v>427</v>
      </c>
      <c r="C55" s="62">
        <v>15.0</v>
      </c>
      <c r="D55" s="25" t="str">
        <f t="shared" si="4"/>
        <v>TER.</v>
      </c>
      <c r="E55" s="13">
        <f t="shared" si="2"/>
        <v>3</v>
      </c>
      <c r="F55" s="26"/>
      <c r="G55" s="56"/>
      <c r="H55" s="63">
        <v>165.54</v>
      </c>
      <c r="I55" s="33" t="s">
        <v>249</v>
      </c>
      <c r="J55" s="173" t="s">
        <v>22</v>
      </c>
      <c r="K55" s="56"/>
      <c r="L55" s="56"/>
      <c r="M55" s="56"/>
      <c r="N55" s="56"/>
      <c r="O55" s="56"/>
      <c r="P55" s="56"/>
      <c r="Q55" s="56"/>
    </row>
    <row r="56">
      <c r="A56" s="11" t="s">
        <v>5</v>
      </c>
      <c r="B56" s="179" t="s">
        <v>21</v>
      </c>
      <c r="C56" s="62">
        <v>15.0</v>
      </c>
      <c r="D56" s="25" t="str">
        <f t="shared" si="4"/>
        <v>TER.</v>
      </c>
      <c r="E56" s="13">
        <f t="shared" si="2"/>
        <v>3</v>
      </c>
      <c r="F56" s="26"/>
      <c r="G56" s="56"/>
      <c r="H56" s="63">
        <v>98.46</v>
      </c>
      <c r="I56" s="33" t="s">
        <v>249</v>
      </c>
      <c r="J56" s="173" t="s">
        <v>22</v>
      </c>
      <c r="K56" s="56"/>
      <c r="L56" s="56"/>
      <c r="M56" s="56"/>
      <c r="N56" s="56"/>
      <c r="O56" s="56"/>
      <c r="P56" s="56"/>
      <c r="Q56" s="56"/>
    </row>
    <row r="57">
      <c r="A57" s="11" t="s">
        <v>5</v>
      </c>
      <c r="B57" s="179" t="s">
        <v>21</v>
      </c>
      <c r="C57" s="62">
        <v>17.0</v>
      </c>
      <c r="D57" s="25" t="str">
        <f t="shared" si="4"/>
        <v>QUI.</v>
      </c>
      <c r="E57" s="13">
        <f t="shared" si="2"/>
        <v>3</v>
      </c>
      <c r="F57" s="26"/>
      <c r="G57" s="56"/>
      <c r="H57" s="63">
        <v>41.57</v>
      </c>
      <c r="I57" s="33" t="s">
        <v>252</v>
      </c>
      <c r="J57" s="173" t="s">
        <v>22</v>
      </c>
      <c r="K57" s="56"/>
      <c r="L57" s="56"/>
      <c r="M57" s="56"/>
      <c r="N57" s="56"/>
      <c r="O57" s="56"/>
      <c r="P57" s="56"/>
      <c r="Q57" s="56"/>
    </row>
    <row r="58">
      <c r="A58" s="11" t="s">
        <v>5</v>
      </c>
      <c r="B58" s="83" t="s">
        <v>713</v>
      </c>
      <c r="C58" s="13">
        <v>19.0</v>
      </c>
      <c r="D58" s="14" t="str">
        <f t="shared" si="4"/>
        <v>SÁB.</v>
      </c>
      <c r="E58" s="13">
        <f t="shared" si="2"/>
        <v>3</v>
      </c>
      <c r="F58" s="35"/>
      <c r="G58" s="36">
        <v>150.0</v>
      </c>
      <c r="H58" s="70"/>
      <c r="I58" s="78" t="s">
        <v>17</v>
      </c>
      <c r="J58" s="21" t="s">
        <v>390</v>
      </c>
      <c r="K58" s="84"/>
      <c r="L58" s="84"/>
      <c r="M58" s="84"/>
      <c r="N58" s="84"/>
      <c r="O58" s="84"/>
      <c r="P58" s="84"/>
      <c r="Q58" s="84"/>
    </row>
    <row r="59">
      <c r="A59" s="11" t="s">
        <v>5</v>
      </c>
      <c r="B59" s="83" t="s">
        <v>714</v>
      </c>
      <c r="C59" s="13">
        <v>19.0</v>
      </c>
      <c r="D59" s="14" t="str">
        <f t="shared" si="4"/>
        <v>SÁB.</v>
      </c>
      <c r="E59" s="13">
        <f t="shared" si="2"/>
        <v>3</v>
      </c>
      <c r="F59" s="35"/>
      <c r="G59" s="36"/>
      <c r="H59" s="36">
        <v>150.0</v>
      </c>
      <c r="I59" s="78" t="s">
        <v>17</v>
      </c>
      <c r="J59" s="21" t="s">
        <v>391</v>
      </c>
      <c r="K59" s="84"/>
      <c r="L59" s="84"/>
      <c r="M59" s="84"/>
      <c r="N59" s="84"/>
      <c r="O59" s="84"/>
      <c r="P59" s="84"/>
      <c r="Q59" s="84"/>
    </row>
    <row r="60">
      <c r="A60" s="11" t="s">
        <v>5</v>
      </c>
      <c r="B60" s="179" t="s">
        <v>715</v>
      </c>
      <c r="C60" s="62">
        <v>20.0</v>
      </c>
      <c r="D60" s="25" t="str">
        <f t="shared" si="4"/>
        <v>DOM.</v>
      </c>
      <c r="E60" s="13">
        <f t="shared" si="2"/>
        <v>3</v>
      </c>
      <c r="F60" s="26"/>
      <c r="G60" s="56"/>
      <c r="H60" s="63">
        <v>18.0</v>
      </c>
      <c r="I60" s="33" t="s">
        <v>17</v>
      </c>
      <c r="J60" s="90" t="s">
        <v>716</v>
      </c>
      <c r="K60" s="56"/>
      <c r="L60" s="56"/>
      <c r="M60" s="56"/>
      <c r="N60" s="56"/>
      <c r="O60" s="56"/>
      <c r="P60" s="56"/>
      <c r="Q60" s="56"/>
    </row>
    <row r="61">
      <c r="A61" s="11" t="s">
        <v>5</v>
      </c>
      <c r="B61" s="39" t="s">
        <v>125</v>
      </c>
      <c r="C61" s="13">
        <v>20.0</v>
      </c>
      <c r="D61" s="14" t="str">
        <f t="shared" si="4"/>
        <v>DOM.</v>
      </c>
      <c r="E61" s="13">
        <f t="shared" si="2"/>
        <v>3</v>
      </c>
      <c r="F61" s="87">
        <v>44635.0</v>
      </c>
      <c r="G61" s="45"/>
      <c r="H61" s="46">
        <v>342.83</v>
      </c>
      <c r="I61" s="58" t="s">
        <v>17</v>
      </c>
      <c r="J61" s="21" t="s">
        <v>126</v>
      </c>
      <c r="K61" s="39"/>
      <c r="L61" s="39"/>
      <c r="M61" s="39"/>
      <c r="N61" s="39"/>
      <c r="O61" s="39"/>
      <c r="P61" s="39"/>
      <c r="Q61" s="39"/>
    </row>
    <row r="62">
      <c r="A62" s="11" t="s">
        <v>5</v>
      </c>
      <c r="B62" s="179" t="s">
        <v>21</v>
      </c>
      <c r="C62" s="62">
        <v>20.0</v>
      </c>
      <c r="D62" s="25" t="str">
        <f t="shared" si="4"/>
        <v>DOM.</v>
      </c>
      <c r="E62" s="13">
        <f t="shared" si="2"/>
        <v>3</v>
      </c>
      <c r="F62" s="26"/>
      <c r="G62" s="56"/>
      <c r="H62" s="63">
        <v>191.8</v>
      </c>
      <c r="I62" s="33" t="s">
        <v>252</v>
      </c>
      <c r="J62" s="173" t="s">
        <v>22</v>
      </c>
      <c r="K62" s="56"/>
      <c r="L62" s="56"/>
      <c r="M62" s="56"/>
      <c r="N62" s="56"/>
      <c r="O62" s="56"/>
      <c r="P62" s="56"/>
      <c r="Q62" s="56"/>
    </row>
    <row r="63">
      <c r="A63" s="11" t="s">
        <v>5</v>
      </c>
      <c r="B63" s="179" t="s">
        <v>717</v>
      </c>
      <c r="C63" s="62">
        <v>20.0</v>
      </c>
      <c r="D63" s="25" t="str">
        <f t="shared" si="4"/>
        <v>DOM.</v>
      </c>
      <c r="E63" s="13">
        <f t="shared" si="2"/>
        <v>3</v>
      </c>
      <c r="F63" s="26"/>
      <c r="G63" s="56"/>
      <c r="H63" s="63">
        <v>109.9</v>
      </c>
      <c r="I63" s="33" t="s">
        <v>17</v>
      </c>
      <c r="J63" s="90" t="s">
        <v>718</v>
      </c>
      <c r="K63" s="56"/>
      <c r="L63" s="56"/>
      <c r="M63" s="56"/>
      <c r="N63" s="56"/>
      <c r="O63" s="56"/>
      <c r="P63" s="56"/>
      <c r="Q63" s="56"/>
    </row>
    <row r="64">
      <c r="A64" s="11" t="s">
        <v>5</v>
      </c>
      <c r="B64" s="103" t="s">
        <v>719</v>
      </c>
      <c r="C64" s="13">
        <v>20.0</v>
      </c>
      <c r="D64" s="14" t="str">
        <f t="shared" si="4"/>
        <v>DOM.</v>
      </c>
      <c r="E64" s="13">
        <f t="shared" si="2"/>
        <v>3</v>
      </c>
      <c r="F64" s="104"/>
      <c r="G64" s="70"/>
      <c r="H64" s="86">
        <v>46.37</v>
      </c>
      <c r="I64" s="105" t="s">
        <v>17</v>
      </c>
      <c r="J64" s="21" t="s">
        <v>720</v>
      </c>
      <c r="K64" s="84"/>
      <c r="L64" s="84"/>
      <c r="M64" s="84"/>
      <c r="N64" s="84"/>
      <c r="O64" s="84"/>
      <c r="P64" s="84"/>
      <c r="Q64" s="84"/>
    </row>
    <row r="65">
      <c r="A65" s="11" t="s">
        <v>5</v>
      </c>
      <c r="B65" s="34" t="s">
        <v>373</v>
      </c>
      <c r="C65" s="13">
        <v>22.0</v>
      </c>
      <c r="D65" s="14" t="str">
        <f t="shared" si="4"/>
        <v>TER.</v>
      </c>
      <c r="E65" s="13">
        <f t="shared" si="2"/>
        <v>3</v>
      </c>
      <c r="F65" s="94"/>
      <c r="G65" s="56"/>
      <c r="H65" s="63">
        <v>0.0</v>
      </c>
      <c r="I65" s="58" t="s">
        <v>17</v>
      </c>
      <c r="J65" s="21" t="s">
        <v>128</v>
      </c>
      <c r="K65" s="61"/>
      <c r="L65" s="61"/>
      <c r="M65" s="61"/>
      <c r="N65" s="61"/>
      <c r="O65" s="61"/>
      <c r="P65" s="61"/>
      <c r="Q65" s="61"/>
    </row>
    <row r="66">
      <c r="A66" s="11" t="s">
        <v>5</v>
      </c>
      <c r="B66" s="39" t="s">
        <v>134</v>
      </c>
      <c r="C66" s="13">
        <v>22.0</v>
      </c>
      <c r="D66" s="14" t="str">
        <f t="shared" si="4"/>
        <v>TER.</v>
      </c>
      <c r="E66" s="13">
        <f t="shared" si="2"/>
        <v>3</v>
      </c>
      <c r="F66" s="43"/>
      <c r="G66" s="45"/>
      <c r="H66" s="46">
        <v>344.29</v>
      </c>
      <c r="I66" s="60" t="s">
        <v>13</v>
      </c>
      <c r="J66" s="21" t="s">
        <v>135</v>
      </c>
      <c r="K66" s="39"/>
      <c r="L66" s="39"/>
      <c r="M66" s="39"/>
      <c r="N66" s="39"/>
      <c r="O66" s="39"/>
      <c r="P66" s="39"/>
      <c r="Q66" s="39"/>
    </row>
    <row r="67">
      <c r="A67" s="11" t="s">
        <v>5</v>
      </c>
      <c r="B67" s="179" t="s">
        <v>21</v>
      </c>
      <c r="C67" s="62">
        <v>23.0</v>
      </c>
      <c r="D67" s="25" t="str">
        <f t="shared" si="4"/>
        <v>QUA.</v>
      </c>
      <c r="E67" s="13">
        <f t="shared" si="2"/>
        <v>3</v>
      </c>
      <c r="F67" s="26"/>
      <c r="G67" s="56"/>
      <c r="H67" s="63">
        <v>158.63</v>
      </c>
      <c r="I67" s="33" t="s">
        <v>252</v>
      </c>
      <c r="J67" s="173" t="s">
        <v>22</v>
      </c>
      <c r="K67" s="56"/>
      <c r="L67" s="56"/>
      <c r="M67" s="56"/>
      <c r="N67" s="56"/>
      <c r="O67" s="56"/>
      <c r="P67" s="56"/>
      <c r="Q67" s="56"/>
    </row>
    <row r="68">
      <c r="A68" s="102" t="s">
        <v>5</v>
      </c>
      <c r="B68" s="69" t="s">
        <v>721</v>
      </c>
      <c r="C68" s="80">
        <v>24.0</v>
      </c>
      <c r="D68" s="81" t="str">
        <f t="shared" si="4"/>
        <v>QUI.</v>
      </c>
      <c r="E68" s="207">
        <f t="shared" si="2"/>
        <v>3</v>
      </c>
      <c r="F68" s="35"/>
      <c r="G68" s="70"/>
      <c r="H68" s="36">
        <v>31.05</v>
      </c>
      <c r="I68" s="105" t="s">
        <v>249</v>
      </c>
      <c r="J68" s="199" t="s">
        <v>22</v>
      </c>
      <c r="K68" s="70"/>
      <c r="L68" s="70"/>
      <c r="M68" s="70"/>
      <c r="N68" s="70"/>
      <c r="O68" s="70"/>
      <c r="P68" s="70"/>
      <c r="Q68" s="70"/>
    </row>
    <row r="69">
      <c r="A69" s="11" t="s">
        <v>5</v>
      </c>
      <c r="B69" s="44" t="s">
        <v>722</v>
      </c>
      <c r="C69" s="13">
        <v>25.0</v>
      </c>
      <c r="D69" s="14" t="str">
        <f t="shared" si="4"/>
        <v>SEX.</v>
      </c>
      <c r="E69" s="13">
        <f t="shared" si="2"/>
        <v>3</v>
      </c>
      <c r="F69" s="85"/>
      <c r="G69" s="45"/>
      <c r="H69" s="46">
        <v>80.0</v>
      </c>
      <c r="I69" s="58" t="s">
        <v>17</v>
      </c>
      <c r="J69" s="21" t="s">
        <v>20</v>
      </c>
      <c r="K69" s="21"/>
      <c r="L69" s="21"/>
      <c r="M69" s="21"/>
      <c r="N69" s="21"/>
      <c r="O69" s="39"/>
      <c r="P69" s="39"/>
      <c r="Q69" s="39"/>
    </row>
    <row r="70">
      <c r="A70" s="11" t="s">
        <v>5</v>
      </c>
      <c r="B70" s="90" t="s">
        <v>91</v>
      </c>
      <c r="C70" s="13">
        <v>26.0</v>
      </c>
      <c r="D70" s="14" t="str">
        <f t="shared" si="4"/>
        <v>SÁB.</v>
      </c>
      <c r="E70" s="13">
        <f t="shared" si="2"/>
        <v>3</v>
      </c>
      <c r="F70" s="26"/>
      <c r="G70" s="56"/>
      <c r="H70" s="88">
        <v>1049.8</v>
      </c>
      <c r="I70" s="58" t="s">
        <v>17</v>
      </c>
      <c r="J70" s="21" t="s">
        <v>92</v>
      </c>
      <c r="K70" s="55"/>
      <c r="L70" s="55"/>
      <c r="M70" s="55"/>
      <c r="N70" s="55"/>
      <c r="O70" s="55"/>
      <c r="P70" s="55"/>
      <c r="Q70" s="55"/>
    </row>
    <row r="71">
      <c r="A71" s="11" t="s">
        <v>5</v>
      </c>
      <c r="B71" s="44" t="s">
        <v>723</v>
      </c>
      <c r="C71" s="13">
        <v>29.0</v>
      </c>
      <c r="D71" s="14" t="str">
        <f t="shared" si="4"/>
        <v>TER.</v>
      </c>
      <c r="E71" s="13">
        <f t="shared" si="2"/>
        <v>3</v>
      </c>
      <c r="F71" s="94"/>
      <c r="G71" s="45"/>
      <c r="H71" s="46">
        <v>426.48</v>
      </c>
      <c r="I71" s="58" t="s">
        <v>17</v>
      </c>
      <c r="J71" s="21" t="s">
        <v>435</v>
      </c>
      <c r="K71" s="39"/>
      <c r="L71" s="39"/>
      <c r="M71" s="39"/>
      <c r="N71" s="39"/>
      <c r="O71" s="39"/>
      <c r="P71" s="39"/>
      <c r="Q71" s="39"/>
    </row>
    <row r="72">
      <c r="A72" s="192" t="s">
        <v>5</v>
      </c>
      <c r="B72" s="29" t="s">
        <v>117</v>
      </c>
      <c r="C72" s="73">
        <v>30.0</v>
      </c>
      <c r="D72" s="74" t="str">
        <f t="shared" si="4"/>
        <v>QUA.</v>
      </c>
      <c r="E72" s="193">
        <f t="shared" si="2"/>
        <v>3</v>
      </c>
      <c r="F72" s="30"/>
      <c r="G72" s="31"/>
      <c r="H72" s="32">
        <v>20.0</v>
      </c>
      <c r="I72" s="58" t="s">
        <v>17</v>
      </c>
      <c r="J72" s="72" t="s">
        <v>118</v>
      </c>
      <c r="K72" s="31"/>
      <c r="L72" s="31"/>
      <c r="M72" s="31"/>
      <c r="N72" s="31"/>
      <c r="O72" s="31"/>
      <c r="P72" s="31"/>
      <c r="Q72" s="31"/>
    </row>
    <row r="73">
      <c r="A73" s="11" t="s">
        <v>5</v>
      </c>
      <c r="B73" s="44" t="s">
        <v>724</v>
      </c>
      <c r="C73" s="13">
        <v>30.0</v>
      </c>
      <c r="D73" s="14" t="str">
        <f t="shared" si="4"/>
        <v>QUA.</v>
      </c>
      <c r="E73" s="13">
        <f t="shared" si="2"/>
        <v>3</v>
      </c>
      <c r="F73" s="85"/>
      <c r="G73" s="45"/>
      <c r="H73" s="46">
        <v>15.0</v>
      </c>
      <c r="I73" s="58" t="s">
        <v>17</v>
      </c>
      <c r="J73" s="21" t="s">
        <v>20</v>
      </c>
      <c r="K73" s="21"/>
      <c r="L73" s="21"/>
      <c r="M73" s="21"/>
      <c r="N73" s="21"/>
      <c r="O73" s="39"/>
      <c r="P73" s="39"/>
      <c r="Q73" s="39"/>
    </row>
    <row r="74">
      <c r="A74" s="11" t="s">
        <v>5</v>
      </c>
      <c r="B74" s="44" t="s">
        <v>725</v>
      </c>
      <c r="C74" s="13">
        <v>30.0</v>
      </c>
      <c r="D74" s="14" t="str">
        <f t="shared" si="4"/>
        <v>QUA.</v>
      </c>
      <c r="E74" s="13">
        <f t="shared" si="2"/>
        <v>3</v>
      </c>
      <c r="F74" s="85"/>
      <c r="G74" s="45"/>
      <c r="H74" s="46">
        <v>5.0</v>
      </c>
      <c r="I74" s="58" t="s">
        <v>17</v>
      </c>
      <c r="J74" s="21" t="s">
        <v>29</v>
      </c>
      <c r="K74" s="21"/>
      <c r="L74" s="21"/>
      <c r="M74" s="21"/>
      <c r="N74" s="21"/>
      <c r="O74" s="39"/>
      <c r="P74" s="39"/>
      <c r="Q74" s="39"/>
    </row>
    <row r="75">
      <c r="A75" s="11" t="s">
        <v>5</v>
      </c>
      <c r="B75" s="40" t="s">
        <v>248</v>
      </c>
      <c r="C75" s="62">
        <v>30.0</v>
      </c>
      <c r="D75" s="25" t="str">
        <f t="shared" si="4"/>
        <v>QUA.</v>
      </c>
      <c r="E75" s="13">
        <f t="shared" si="2"/>
        <v>3</v>
      </c>
      <c r="F75" s="26"/>
      <c r="G75" s="63">
        <v>330.0</v>
      </c>
      <c r="H75" s="101"/>
      <c r="I75" s="60" t="s">
        <v>249</v>
      </c>
      <c r="J75" s="90" t="s">
        <v>253</v>
      </c>
      <c r="K75" s="59"/>
      <c r="L75" s="59"/>
      <c r="M75" s="59"/>
      <c r="N75" s="59"/>
      <c r="O75" s="59"/>
      <c r="P75" s="59"/>
      <c r="Q75" s="59"/>
    </row>
    <row r="76">
      <c r="A76" s="11" t="s">
        <v>5</v>
      </c>
      <c r="B76" s="42" t="s">
        <v>251</v>
      </c>
      <c r="C76" s="62">
        <v>30.0</v>
      </c>
      <c r="D76" s="14" t="str">
        <f t="shared" si="4"/>
        <v>QUA.</v>
      </c>
      <c r="E76" s="13">
        <f t="shared" si="2"/>
        <v>3</v>
      </c>
      <c r="F76" s="43"/>
      <c r="G76" s="46">
        <v>700.0</v>
      </c>
      <c r="H76" s="53"/>
      <c r="I76" s="65" t="s">
        <v>252</v>
      </c>
      <c r="J76" s="42" t="s">
        <v>253</v>
      </c>
      <c r="K76" s="68"/>
      <c r="L76" s="68"/>
      <c r="M76" s="68"/>
      <c r="N76" s="68"/>
      <c r="O76" s="68"/>
      <c r="P76" s="68"/>
      <c r="Q76" s="68"/>
    </row>
    <row r="77">
      <c r="A77" s="11" t="s">
        <v>5</v>
      </c>
      <c r="B77" s="69" t="s">
        <v>260</v>
      </c>
      <c r="C77" s="62">
        <v>31.0</v>
      </c>
      <c r="D77" s="14" t="str">
        <f t="shared" si="4"/>
        <v>QUI.</v>
      </c>
      <c r="E77" s="13">
        <f t="shared" si="2"/>
        <v>3</v>
      </c>
      <c r="F77" s="87"/>
      <c r="G77" s="36">
        <v>2526.58</v>
      </c>
      <c r="H77" s="70"/>
      <c r="I77" s="47" t="s">
        <v>261</v>
      </c>
      <c r="J77" s="21" t="s">
        <v>64</v>
      </c>
      <c r="K77" s="70"/>
      <c r="L77" s="70"/>
      <c r="M77" s="70"/>
      <c r="N77" s="70"/>
      <c r="O77" s="70"/>
      <c r="P77" s="70"/>
      <c r="Q77" s="70"/>
    </row>
    <row r="78">
      <c r="A78" s="11" t="s">
        <v>25</v>
      </c>
      <c r="B78" s="61" t="s">
        <v>26</v>
      </c>
      <c r="C78" s="62">
        <v>31.0</v>
      </c>
      <c r="D78" s="25" t="str">
        <f t="shared" si="4"/>
        <v>QUI.</v>
      </c>
      <c r="E78" s="13">
        <f t="shared" si="2"/>
        <v>3</v>
      </c>
      <c r="F78" s="26"/>
      <c r="G78" s="56"/>
      <c r="H78" s="36">
        <v>2526.58</v>
      </c>
      <c r="I78" s="64" t="s">
        <v>261</v>
      </c>
      <c r="J78" s="40"/>
      <c r="K78" s="59"/>
      <c r="L78" s="59"/>
      <c r="M78" s="59"/>
      <c r="N78" s="59"/>
      <c r="O78" s="59"/>
      <c r="P78" s="59"/>
      <c r="Q78" s="59"/>
    </row>
    <row r="79">
      <c r="A79" s="11" t="s">
        <v>25</v>
      </c>
      <c r="B79" s="39" t="s">
        <v>27</v>
      </c>
      <c r="C79" s="62">
        <v>31.0</v>
      </c>
      <c r="D79" s="14" t="str">
        <f t="shared" si="4"/>
        <v>QUI.</v>
      </c>
      <c r="E79" s="13">
        <f t="shared" si="2"/>
        <v>3</v>
      </c>
      <c r="F79" s="43"/>
      <c r="G79" s="36">
        <v>2526.58</v>
      </c>
      <c r="H79" s="45"/>
      <c r="I79" s="67" t="s">
        <v>17</v>
      </c>
      <c r="J79" s="42"/>
      <c r="K79" s="68"/>
      <c r="L79" s="68"/>
      <c r="M79" s="68"/>
      <c r="N79" s="68"/>
      <c r="O79" s="68"/>
      <c r="P79" s="68"/>
      <c r="Q79" s="68"/>
    </row>
    <row r="80">
      <c r="A80" s="11" t="s">
        <v>5</v>
      </c>
      <c r="B80" s="99" t="s">
        <v>119</v>
      </c>
      <c r="C80" s="80">
        <v>31.0</v>
      </c>
      <c r="D80" s="81" t="str">
        <f t="shared" si="4"/>
        <v>QUI.</v>
      </c>
      <c r="E80" s="207">
        <f t="shared" si="2"/>
        <v>3</v>
      </c>
      <c r="F80" s="35"/>
      <c r="G80" s="36">
        <v>0.01</v>
      </c>
      <c r="H80" s="70"/>
      <c r="I80" s="82" t="s">
        <v>13</v>
      </c>
      <c r="J80" s="199" t="s">
        <v>120</v>
      </c>
      <c r="K80" s="84"/>
      <c r="L80" s="84"/>
      <c r="M80" s="84"/>
      <c r="N80" s="84"/>
      <c r="O80" s="84"/>
      <c r="P80" s="84"/>
      <c r="Q80" s="84"/>
    </row>
    <row r="81">
      <c r="A81" s="11"/>
      <c r="B81" s="59"/>
      <c r="C81" s="26"/>
      <c r="D81" s="107"/>
      <c r="E81" s="26"/>
      <c r="F81" s="26"/>
      <c r="G81" s="56"/>
      <c r="H81" s="56"/>
      <c r="I81" s="47"/>
      <c r="J81" s="21"/>
      <c r="K81" s="59"/>
      <c r="L81" s="59"/>
      <c r="M81" s="59"/>
      <c r="N81" s="59"/>
      <c r="O81" s="59"/>
      <c r="P81" s="59"/>
      <c r="Q81" s="59"/>
    </row>
    <row r="82">
      <c r="A82" s="11"/>
      <c r="B82" s="68"/>
      <c r="C82" s="43"/>
      <c r="D82" s="108"/>
      <c r="E82" s="43"/>
      <c r="F82" s="43"/>
      <c r="G82" s="45"/>
      <c r="H82" s="45"/>
      <c r="I82" s="47"/>
      <c r="J82" s="21"/>
      <c r="K82" s="68"/>
      <c r="L82" s="68"/>
      <c r="M82" s="68"/>
      <c r="N82" s="68"/>
      <c r="O82" s="68"/>
      <c r="P82" s="68"/>
      <c r="Q82" s="68"/>
    </row>
    <row r="83">
      <c r="A83" s="109"/>
      <c r="B83" s="110"/>
      <c r="C83" s="111"/>
      <c r="D83" s="112"/>
      <c r="E83" s="111"/>
      <c r="F83" s="111"/>
      <c r="G83" s="113"/>
      <c r="H83" s="113"/>
      <c r="I83" s="114"/>
      <c r="J83" s="21"/>
      <c r="K83" s="110"/>
      <c r="L83" s="110"/>
      <c r="M83" s="110"/>
      <c r="N83" s="110"/>
      <c r="O83" s="110"/>
      <c r="P83" s="110"/>
      <c r="Q83" s="110"/>
    </row>
    <row r="84" ht="15.75" customHeight="1">
      <c r="A84" s="115"/>
      <c r="B84" s="116" t="s">
        <v>142</v>
      </c>
      <c r="C84" s="117"/>
      <c r="D84" s="118"/>
      <c r="E84" s="119"/>
      <c r="F84" s="119"/>
      <c r="G84" s="120">
        <f>SUMIF(A3:A83,"PAGO",G3:G83)</f>
        <v>15860.1</v>
      </c>
      <c r="H84" s="120">
        <f>SUMIF(A3:A83,"PAGO",H3:H83)</f>
        <v>9553.91</v>
      </c>
      <c r="I84" s="121"/>
      <c r="J84" s="117"/>
      <c r="K84" s="120">
        <f t="shared" ref="K84:K85" si="5">G84-H84</f>
        <v>6306.19</v>
      </c>
      <c r="L84" s="120"/>
      <c r="M84" s="120"/>
      <c r="N84" s="120"/>
      <c r="O84" s="120"/>
      <c r="P84" s="120"/>
      <c r="Q84" s="120"/>
    </row>
    <row r="85" ht="15.75" customHeight="1">
      <c r="A85" s="115"/>
      <c r="B85" s="122" t="s">
        <v>143</v>
      </c>
      <c r="C85" s="117"/>
      <c r="D85" s="123"/>
      <c r="E85" s="124"/>
      <c r="F85" s="124"/>
      <c r="G85" s="125">
        <f>SUMIF(A3:A83,"PAGO",G3:G83) + SUMIF(A3:A83,"PREVISTO",G3:G83)</f>
        <v>18360.1</v>
      </c>
      <c r="H85" s="125">
        <f>SUMIF(A3:A83,"PAGO",H3:H83) + SUMIF(A3:A83,"PREVISTO",H3:H83)</f>
        <v>9553.91</v>
      </c>
      <c r="I85" s="121"/>
      <c r="J85" s="122" t="s">
        <v>144</v>
      </c>
      <c r="K85" s="125">
        <f t="shared" si="5"/>
        <v>8806.19</v>
      </c>
      <c r="L85" s="125"/>
      <c r="M85" s="125"/>
      <c r="N85" s="125"/>
      <c r="O85" s="125"/>
      <c r="P85" s="125"/>
      <c r="Q85" s="125"/>
    </row>
    <row r="86">
      <c r="A86" s="126"/>
      <c r="B86" s="127"/>
      <c r="C86" s="93"/>
      <c r="D86" s="128"/>
      <c r="E86" s="129"/>
      <c r="F86" s="129"/>
      <c r="G86" s="130"/>
      <c r="H86" s="130"/>
      <c r="I86" s="131"/>
      <c r="J86" s="132" t="s">
        <v>13</v>
      </c>
      <c r="K86" s="133">
        <f t="shared" ref="K86:K92" si="6">(SUMIFS($G$3:$G$83,$I$3:$I$83,J86,$A$3:$A$83,"PAGO") + SUMIFS($G$3:$G$83,$I$3:$I$83,J86,$A$3:$A$83,"CONTAS")) - (SUMIFS($H$3:$H$83,$I$3:$I$83,J86,$A$3:$A$83,"PAGO") + SUMIFS($H$3:$H$83,$I$3:$I$83,J86,$A$3:$A$83,"CONTAS"))</f>
        <v>63.53</v>
      </c>
      <c r="L86" s="133"/>
      <c r="M86" s="133"/>
      <c r="N86" s="133"/>
      <c r="O86" s="133"/>
      <c r="P86" s="133"/>
      <c r="Q86" s="133"/>
    </row>
    <row r="87">
      <c r="A87" s="134"/>
      <c r="B87" s="135"/>
      <c r="C87" s="93"/>
      <c r="D87" s="128"/>
      <c r="E87" s="129"/>
      <c r="F87" s="129"/>
      <c r="G87" s="130"/>
      <c r="H87" s="130"/>
      <c r="I87" s="131"/>
      <c r="J87" s="132" t="s">
        <v>15</v>
      </c>
      <c r="K87" s="133">
        <f t="shared" si="6"/>
        <v>30</v>
      </c>
      <c r="L87" s="133"/>
      <c r="M87" s="133"/>
      <c r="N87" s="133"/>
      <c r="O87" s="133"/>
      <c r="P87" s="133"/>
      <c r="Q87" s="133"/>
    </row>
    <row r="88">
      <c r="A88" s="134"/>
      <c r="B88" s="136"/>
      <c r="C88" s="137"/>
      <c r="D88" s="128"/>
      <c r="E88" s="129"/>
      <c r="F88" s="129"/>
      <c r="G88" s="130"/>
      <c r="H88" s="130"/>
      <c r="I88" s="131"/>
      <c r="J88" s="132" t="s">
        <v>17</v>
      </c>
      <c r="K88" s="133">
        <f t="shared" si="6"/>
        <v>4798.89</v>
      </c>
      <c r="L88" s="133"/>
      <c r="M88" s="133"/>
      <c r="N88" s="133"/>
      <c r="O88" s="133"/>
      <c r="P88" s="133"/>
      <c r="Q88" s="133"/>
    </row>
    <row r="89">
      <c r="A89" s="134"/>
      <c r="B89" s="93"/>
      <c r="C89" s="137"/>
      <c r="D89" s="138"/>
      <c r="E89" s="139"/>
      <c r="F89" s="139"/>
      <c r="G89" s="140"/>
      <c r="H89" s="140"/>
      <c r="I89" s="131"/>
      <c r="J89" s="132" t="s">
        <v>18</v>
      </c>
      <c r="K89" s="133">
        <f t="shared" si="6"/>
        <v>4.52</v>
      </c>
      <c r="L89" s="133"/>
      <c r="M89" s="133"/>
      <c r="N89" s="133"/>
      <c r="O89" s="133"/>
      <c r="P89" s="133"/>
      <c r="Q89" s="133"/>
    </row>
    <row r="90">
      <c r="A90" s="134"/>
      <c r="B90" s="137"/>
      <c r="C90" s="93"/>
      <c r="D90" s="138"/>
      <c r="E90" s="139"/>
      <c r="F90" s="139"/>
      <c r="G90" s="140"/>
      <c r="H90" s="140"/>
      <c r="I90" s="131"/>
      <c r="J90" s="183" t="s">
        <v>261</v>
      </c>
      <c r="K90" s="133">
        <f t="shared" si="6"/>
        <v>0</v>
      </c>
      <c r="L90" s="93"/>
      <c r="M90" s="93"/>
      <c r="N90" s="93"/>
      <c r="O90" s="93"/>
      <c r="P90" s="93"/>
      <c r="Q90" s="93"/>
    </row>
    <row r="91">
      <c r="A91" s="134"/>
      <c r="B91" s="137"/>
      <c r="C91" s="93"/>
      <c r="D91" s="138"/>
      <c r="E91" s="139"/>
      <c r="F91" s="139"/>
      <c r="G91" s="140"/>
      <c r="H91" s="140"/>
      <c r="I91" s="131"/>
      <c r="J91" s="182" t="s">
        <v>252</v>
      </c>
      <c r="K91" s="133">
        <f t="shared" si="6"/>
        <v>1063.09</v>
      </c>
      <c r="L91" s="93"/>
      <c r="M91" s="93"/>
      <c r="N91" s="93"/>
      <c r="O91" s="93"/>
      <c r="P91" s="93"/>
      <c r="Q91" s="93"/>
    </row>
    <row r="92">
      <c r="A92" s="134"/>
      <c r="B92" s="137"/>
      <c r="C92" s="93"/>
      <c r="D92" s="138"/>
      <c r="E92" s="139"/>
      <c r="F92" s="139"/>
      <c r="G92" s="140"/>
      <c r="H92" s="140"/>
      <c r="I92" s="131"/>
      <c r="J92" s="182" t="s">
        <v>249</v>
      </c>
      <c r="K92" s="133">
        <f t="shared" si="6"/>
        <v>346.16</v>
      </c>
      <c r="L92" s="93"/>
      <c r="M92" s="93"/>
      <c r="N92" s="93"/>
      <c r="O92" s="93"/>
      <c r="P92" s="93"/>
      <c r="Q92" s="93"/>
    </row>
    <row r="93">
      <c r="A93" s="134"/>
      <c r="B93" s="137"/>
      <c r="C93" s="93"/>
      <c r="D93" s="138"/>
      <c r="E93" s="139"/>
      <c r="F93" s="139"/>
      <c r="G93" s="140"/>
      <c r="H93" s="140"/>
      <c r="I93" s="131"/>
      <c r="J93" s="219"/>
      <c r="K93" s="93"/>
      <c r="L93" s="93"/>
      <c r="M93" s="93"/>
      <c r="N93" s="93"/>
      <c r="O93" s="93"/>
      <c r="P93" s="93"/>
      <c r="Q93" s="93"/>
    </row>
  </sheetData>
  <customSheetViews>
    <customSheetView guid="{55ED7845-B94B-4003-AD57-D4008EE7E009}" filter="1" showAutoFilter="1">
      <autoFilter ref="$A$2:$K$11"/>
    </customSheetView>
    <customSheetView guid="{8E320149-1ED8-4245-AE83-2AF08A85D2EE}" filter="1" showAutoFilter="1">
      <autoFilter ref="$A$2:$K$3"/>
    </customSheetView>
    <customSheetView guid="{5F890A4C-8AFA-4126-80E7-AF0191C5590F}" filter="1" showAutoFilter="1">
      <autoFilter ref="$A$2:$K$3"/>
    </customSheetView>
    <customSheetView guid="{FF238D65-B29E-47B3-BB76-09A78DB37DDE}" filter="1" showAutoFilter="1">
      <autoFilter ref="$A$2:$K$3"/>
    </customSheetView>
    <customSheetView guid="{F6E0E906-D63E-467F-B486-84E6C0126E80}" filter="1" showAutoFilter="1">
      <autoFilter ref="$A$2:$K$3"/>
    </customSheetView>
  </customSheetViews>
  <conditionalFormatting sqref="A3:Q83">
    <cfRule type="expression" dxfId="0" priority="1">
      <formula>ISEVEN(ROW())</formula>
    </cfRule>
  </conditionalFormatting>
  <conditionalFormatting sqref="A3:Q83">
    <cfRule type="expression" dxfId="1" priority="2">
      <formula>ISODD(ROW())</formula>
    </cfRule>
  </conditionalFormatting>
  <dataValidations>
    <dataValidation type="list" allowBlank="1" sqref="A3:A82">
      <formula1>listas!$A$1:$A$17</formula1>
    </dataValidation>
    <dataValidation type="list" allowBlank="1" sqref="I3:I82">
      <formula1>listas!$B$1:$B$21</formula1>
    </dataValidation>
  </dataValidations>
  <drawing r:id="rId2"/>
  <legacyDrawing r:id="rId3"/>
  <tableParts count="2">
    <tablePart r:id="rId6"/>
    <tablePart r:id="rId7"/>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4.0</v>
      </c>
      <c r="D3" s="14"/>
      <c r="E3" s="15"/>
      <c r="F3" s="15"/>
      <c r="G3" s="16"/>
      <c r="H3" s="17"/>
      <c r="I3" s="18"/>
      <c r="J3" s="19"/>
      <c r="K3" s="20"/>
      <c r="L3" s="20"/>
      <c r="M3" s="20"/>
      <c r="N3" s="20"/>
      <c r="O3" s="20"/>
      <c r="P3" s="20"/>
      <c r="Q3" s="20"/>
    </row>
    <row r="4">
      <c r="A4" s="11" t="s">
        <v>5</v>
      </c>
      <c r="B4" s="21" t="s">
        <v>145</v>
      </c>
      <c r="C4" s="13">
        <v>1.0</v>
      </c>
      <c r="D4" s="14" t="str">
        <f t="shared" ref="D4:D29" si="1">UPPER(TEXT(WEEKDAY(DATEVALUE(CONCATENATE(C4,"/",$C$3,"/",$A$1))),"DDD"))</f>
        <v>SEX.</v>
      </c>
      <c r="E4" s="13">
        <f t="shared" ref="E4:E99" si="2">$C$3</f>
        <v>4</v>
      </c>
      <c r="F4" s="15"/>
      <c r="G4" s="16">
        <f>'março 2022'!K86</f>
        <v>63.53</v>
      </c>
      <c r="H4" s="17"/>
      <c r="I4" s="18" t="s">
        <v>13</v>
      </c>
      <c r="J4" s="21" t="s">
        <v>14</v>
      </c>
      <c r="K4" s="22"/>
      <c r="L4" s="22"/>
      <c r="M4" s="22"/>
      <c r="N4" s="22"/>
      <c r="O4" s="22"/>
      <c r="P4" s="22"/>
      <c r="Q4" s="22"/>
    </row>
    <row r="5">
      <c r="A5" s="11" t="s">
        <v>5</v>
      </c>
      <c r="B5" s="21" t="s">
        <v>145</v>
      </c>
      <c r="C5" s="13">
        <v>1.0</v>
      </c>
      <c r="D5" s="14" t="str">
        <f t="shared" si="1"/>
        <v>SEX.</v>
      </c>
      <c r="E5" s="13">
        <f t="shared" si="2"/>
        <v>4</v>
      </c>
      <c r="F5" s="15"/>
      <c r="G5" s="16">
        <f>'março 2022'!K87</f>
        <v>30</v>
      </c>
      <c r="H5" s="17"/>
      <c r="I5" s="18" t="s">
        <v>15</v>
      </c>
      <c r="J5" s="21" t="s">
        <v>14</v>
      </c>
      <c r="K5" s="22"/>
      <c r="L5" s="22"/>
      <c r="M5" s="22"/>
      <c r="N5" s="22"/>
      <c r="O5" s="22"/>
      <c r="P5" s="22"/>
      <c r="Q5" s="22"/>
    </row>
    <row r="6">
      <c r="A6" s="11" t="s">
        <v>5</v>
      </c>
      <c r="B6" s="21" t="s">
        <v>145</v>
      </c>
      <c r="C6" s="13">
        <v>1.0</v>
      </c>
      <c r="D6" s="14" t="str">
        <f t="shared" si="1"/>
        <v>SEX.</v>
      </c>
      <c r="E6" s="13">
        <f t="shared" si="2"/>
        <v>4</v>
      </c>
      <c r="F6" s="15"/>
      <c r="G6" s="16">
        <f>'março 2022'!K88</f>
        <v>4798.89</v>
      </c>
      <c r="H6" s="17"/>
      <c r="I6" s="18" t="s">
        <v>17</v>
      </c>
      <c r="J6" s="21" t="s">
        <v>14</v>
      </c>
      <c r="K6" s="22"/>
      <c r="L6" s="22"/>
      <c r="M6" s="22"/>
      <c r="N6" s="22"/>
      <c r="O6" s="22"/>
      <c r="P6" s="22"/>
      <c r="Q6" s="22"/>
    </row>
    <row r="7">
      <c r="A7" s="11" t="s">
        <v>5</v>
      </c>
      <c r="B7" s="21" t="s">
        <v>145</v>
      </c>
      <c r="C7" s="13">
        <v>1.0</v>
      </c>
      <c r="D7" s="14" t="str">
        <f t="shared" si="1"/>
        <v>SEX.</v>
      </c>
      <c r="E7" s="13">
        <f t="shared" si="2"/>
        <v>4</v>
      </c>
      <c r="F7" s="15"/>
      <c r="G7" s="16">
        <f>'março 2022'!K89</f>
        <v>4.52</v>
      </c>
      <c r="H7" s="17"/>
      <c r="I7" s="18" t="s">
        <v>18</v>
      </c>
      <c r="J7" s="21" t="s">
        <v>14</v>
      </c>
      <c r="K7" s="22"/>
      <c r="L7" s="22"/>
      <c r="M7" s="22"/>
      <c r="N7" s="22"/>
      <c r="O7" s="22"/>
      <c r="P7" s="22"/>
      <c r="Q7" s="22"/>
    </row>
    <row r="8">
      <c r="A8" s="11" t="s">
        <v>5</v>
      </c>
      <c r="B8" s="72" t="s">
        <v>145</v>
      </c>
      <c r="C8" s="193">
        <v>1.0</v>
      </c>
      <c r="D8" s="74" t="str">
        <f t="shared" si="1"/>
        <v>SEX.</v>
      </c>
      <c r="E8" s="13">
        <f t="shared" si="2"/>
        <v>4</v>
      </c>
      <c r="F8" s="30"/>
      <c r="G8" s="16">
        <f>'março 2022'!K90</f>
        <v>0</v>
      </c>
      <c r="H8" s="31"/>
      <c r="I8" s="58" t="s">
        <v>261</v>
      </c>
      <c r="J8" s="72" t="s">
        <v>14</v>
      </c>
      <c r="K8" s="77"/>
      <c r="L8" s="77"/>
      <c r="M8" s="77"/>
      <c r="N8" s="77"/>
      <c r="O8" s="77"/>
      <c r="P8" s="77"/>
      <c r="Q8" s="77"/>
    </row>
    <row r="9">
      <c r="A9" s="11" t="s">
        <v>5</v>
      </c>
      <c r="B9" s="173" t="s">
        <v>145</v>
      </c>
      <c r="C9" s="184">
        <v>1.0</v>
      </c>
      <c r="D9" s="25" t="str">
        <f t="shared" si="1"/>
        <v>SEX.</v>
      </c>
      <c r="E9" s="13">
        <f t="shared" si="2"/>
        <v>4</v>
      </c>
      <c r="F9" s="26"/>
      <c r="G9" s="16">
        <f>'março 2022'!K91</f>
        <v>1063.09</v>
      </c>
      <c r="H9" s="56"/>
      <c r="I9" s="33" t="s">
        <v>252</v>
      </c>
      <c r="J9" s="173" t="s">
        <v>14</v>
      </c>
      <c r="K9" s="59"/>
      <c r="L9" s="59"/>
      <c r="M9" s="59"/>
      <c r="N9" s="59"/>
      <c r="O9" s="59"/>
      <c r="P9" s="59"/>
      <c r="Q9" s="59"/>
    </row>
    <row r="10">
      <c r="A10" s="11" t="s">
        <v>5</v>
      </c>
      <c r="B10" s="42" t="s">
        <v>145</v>
      </c>
      <c r="C10" s="144">
        <v>1.0</v>
      </c>
      <c r="D10" s="14" t="str">
        <f t="shared" si="1"/>
        <v>SEX.</v>
      </c>
      <c r="E10" s="13">
        <f t="shared" si="2"/>
        <v>4</v>
      </c>
      <c r="F10" s="43"/>
      <c r="G10" s="16">
        <f>'março 2022'!K92</f>
        <v>346.16</v>
      </c>
      <c r="H10" s="45"/>
      <c r="I10" s="41" t="s">
        <v>249</v>
      </c>
      <c r="J10" s="42" t="s">
        <v>14</v>
      </c>
      <c r="K10" s="68"/>
      <c r="L10" s="68"/>
      <c r="M10" s="68"/>
      <c r="N10" s="68"/>
      <c r="O10" s="68"/>
      <c r="P10" s="68"/>
      <c r="Q10" s="68"/>
    </row>
    <row r="11">
      <c r="A11" s="11" t="s">
        <v>5</v>
      </c>
      <c r="B11" s="44" t="s">
        <v>726</v>
      </c>
      <c r="C11" s="13">
        <v>1.0</v>
      </c>
      <c r="D11" s="14" t="str">
        <f t="shared" si="1"/>
        <v>SEX.</v>
      </c>
      <c r="E11" s="13">
        <f t="shared" si="2"/>
        <v>4</v>
      </c>
      <c r="F11" s="85"/>
      <c r="G11" s="45"/>
      <c r="H11" s="46">
        <v>8.0</v>
      </c>
      <c r="I11" s="58" t="s">
        <v>17</v>
      </c>
      <c r="J11" s="21" t="s">
        <v>29</v>
      </c>
      <c r="K11" s="21"/>
      <c r="L11" s="21"/>
      <c r="M11" s="21"/>
      <c r="N11" s="21"/>
      <c r="O11" s="39"/>
      <c r="P11" s="39"/>
      <c r="Q11" s="39"/>
    </row>
    <row r="12">
      <c r="A12" s="11" t="s">
        <v>5</v>
      </c>
      <c r="B12" s="103" t="s">
        <v>533</v>
      </c>
      <c r="C12" s="13">
        <v>1.0</v>
      </c>
      <c r="D12" s="14" t="str">
        <f t="shared" si="1"/>
        <v>SEX.</v>
      </c>
      <c r="E12" s="13">
        <f t="shared" si="2"/>
        <v>4</v>
      </c>
      <c r="F12" s="54"/>
      <c r="G12" s="70"/>
      <c r="H12" s="86">
        <v>50.0</v>
      </c>
      <c r="I12" s="105" t="s">
        <v>17</v>
      </c>
      <c r="J12" s="21" t="s">
        <v>534</v>
      </c>
      <c r="K12" s="84"/>
      <c r="L12" s="84"/>
      <c r="M12" s="84"/>
      <c r="N12" s="84"/>
      <c r="O12" s="84"/>
      <c r="P12" s="84"/>
      <c r="Q12" s="84"/>
    </row>
    <row r="13">
      <c r="A13" s="11" t="s">
        <v>25</v>
      </c>
      <c r="B13" s="39" t="s">
        <v>26</v>
      </c>
      <c r="C13" s="66">
        <v>1.0</v>
      </c>
      <c r="D13" s="14" t="str">
        <f t="shared" si="1"/>
        <v>SEX.</v>
      </c>
      <c r="E13" s="13">
        <f t="shared" si="2"/>
        <v>4</v>
      </c>
      <c r="F13" s="87"/>
      <c r="G13" s="45"/>
      <c r="H13" s="46">
        <v>350.0</v>
      </c>
      <c r="I13" s="149" t="s">
        <v>17</v>
      </c>
      <c r="J13" s="42"/>
      <c r="K13" s="68"/>
      <c r="L13" s="68"/>
      <c r="M13" s="68"/>
      <c r="N13" s="68"/>
      <c r="O13" s="68"/>
      <c r="P13" s="68"/>
      <c r="Q13" s="68"/>
    </row>
    <row r="14">
      <c r="A14" s="11" t="s">
        <v>25</v>
      </c>
      <c r="B14" s="61" t="s">
        <v>27</v>
      </c>
      <c r="C14" s="148">
        <v>1.0</v>
      </c>
      <c r="D14" s="25" t="str">
        <f t="shared" si="1"/>
        <v>SEX.</v>
      </c>
      <c r="E14" s="13">
        <f t="shared" si="2"/>
        <v>4</v>
      </c>
      <c r="F14" s="87"/>
      <c r="G14" s="63">
        <v>350.0</v>
      </c>
      <c r="H14" s="56"/>
      <c r="I14" s="37" t="s">
        <v>13</v>
      </c>
      <c r="J14" s="40"/>
      <c r="K14" s="59"/>
      <c r="L14" s="59"/>
      <c r="M14" s="59"/>
      <c r="N14" s="59"/>
      <c r="O14" s="59"/>
      <c r="P14" s="59"/>
      <c r="Q14" s="59"/>
    </row>
    <row r="15">
      <c r="A15" s="11" t="s">
        <v>5</v>
      </c>
      <c r="B15" s="29" t="s">
        <v>148</v>
      </c>
      <c r="C15" s="73">
        <v>1.0</v>
      </c>
      <c r="D15" s="74" t="str">
        <f t="shared" si="1"/>
        <v>SEX.</v>
      </c>
      <c r="E15" s="193">
        <f t="shared" si="2"/>
        <v>4</v>
      </c>
      <c r="F15" s="30"/>
      <c r="G15" s="31"/>
      <c r="H15" s="32">
        <v>52.52</v>
      </c>
      <c r="I15" s="154" t="s">
        <v>13</v>
      </c>
      <c r="J15" s="72" t="s">
        <v>149</v>
      </c>
      <c r="K15" s="29"/>
      <c r="L15" s="29"/>
      <c r="M15" s="29"/>
      <c r="N15" s="29"/>
      <c r="O15" s="29"/>
      <c r="P15" s="29"/>
      <c r="Q15" s="29"/>
    </row>
    <row r="16">
      <c r="A16" s="192" t="s">
        <v>5</v>
      </c>
      <c r="B16" s="185" t="s">
        <v>138</v>
      </c>
      <c r="C16" s="66">
        <v>2.0</v>
      </c>
      <c r="D16" s="14" t="str">
        <f t="shared" si="1"/>
        <v>SÁB.</v>
      </c>
      <c r="E16" s="13">
        <f t="shared" si="2"/>
        <v>4</v>
      </c>
      <c r="F16" s="43"/>
      <c r="G16" s="45"/>
      <c r="H16" s="46">
        <v>29.9</v>
      </c>
      <c r="I16" s="41" t="s">
        <v>252</v>
      </c>
      <c r="J16" s="42" t="s">
        <v>20</v>
      </c>
      <c r="K16" s="45"/>
      <c r="L16" s="45"/>
      <c r="M16" s="45"/>
      <c r="N16" s="45"/>
      <c r="O16" s="45"/>
      <c r="P16" s="45"/>
      <c r="Q16" s="45"/>
    </row>
    <row r="17">
      <c r="A17" s="11" t="s">
        <v>5</v>
      </c>
      <c r="B17" s="179" t="s">
        <v>21</v>
      </c>
      <c r="C17" s="62">
        <v>2.0</v>
      </c>
      <c r="D17" s="25" t="str">
        <f t="shared" si="1"/>
        <v>SÁB.</v>
      </c>
      <c r="E17" s="13">
        <f t="shared" si="2"/>
        <v>4</v>
      </c>
      <c r="F17" s="26"/>
      <c r="G17" s="56"/>
      <c r="H17" s="63">
        <v>36.3</v>
      </c>
      <c r="I17" s="33" t="s">
        <v>249</v>
      </c>
      <c r="J17" s="90" t="s">
        <v>727</v>
      </c>
      <c r="K17" s="56"/>
      <c r="L17" s="56"/>
      <c r="M17" s="56"/>
      <c r="N17" s="56"/>
      <c r="O17" s="56"/>
      <c r="P17" s="56"/>
      <c r="Q17" s="56"/>
    </row>
    <row r="18">
      <c r="A18" s="11" t="s">
        <v>5</v>
      </c>
      <c r="B18" s="159" t="s">
        <v>664</v>
      </c>
      <c r="C18" s="73">
        <v>3.0</v>
      </c>
      <c r="D18" s="25" t="str">
        <f t="shared" si="1"/>
        <v>DOM.</v>
      </c>
      <c r="E18" s="13">
        <f t="shared" si="2"/>
        <v>4</v>
      </c>
      <c r="F18" s="87">
        <v>44652.0</v>
      </c>
      <c r="G18" s="31"/>
      <c r="H18" s="32">
        <v>400.0</v>
      </c>
      <c r="I18" s="58" t="s">
        <v>17</v>
      </c>
      <c r="J18" s="76" t="s">
        <v>466</v>
      </c>
      <c r="K18" s="31"/>
      <c r="L18" s="31"/>
      <c r="M18" s="31"/>
      <c r="N18" s="31"/>
      <c r="O18" s="31"/>
      <c r="P18" s="31"/>
      <c r="Q18" s="31"/>
    </row>
    <row r="19">
      <c r="A19" s="60" t="s">
        <v>5</v>
      </c>
      <c r="B19" s="55" t="s">
        <v>133</v>
      </c>
      <c r="C19" s="73">
        <v>3.0</v>
      </c>
      <c r="D19" s="81" t="str">
        <f t="shared" si="1"/>
        <v>DOM.</v>
      </c>
      <c r="E19" s="13">
        <f t="shared" si="2"/>
        <v>4</v>
      </c>
      <c r="F19" s="146"/>
      <c r="G19" s="147"/>
      <c r="H19" s="36">
        <v>63.98</v>
      </c>
      <c r="I19" s="58" t="s">
        <v>17</v>
      </c>
      <c r="J19" s="83" t="s">
        <v>188</v>
      </c>
      <c r="K19" s="39"/>
      <c r="L19" s="39"/>
      <c r="M19" s="39"/>
      <c r="N19" s="39"/>
      <c r="O19" s="39"/>
      <c r="P19" s="39"/>
      <c r="Q19" s="39"/>
    </row>
    <row r="20">
      <c r="A20" s="11" t="s">
        <v>5</v>
      </c>
      <c r="B20" s="179" t="s">
        <v>21</v>
      </c>
      <c r="C20" s="62">
        <v>3.0</v>
      </c>
      <c r="D20" s="25" t="str">
        <f t="shared" si="1"/>
        <v>DOM.</v>
      </c>
      <c r="E20" s="13">
        <f t="shared" si="2"/>
        <v>4</v>
      </c>
      <c r="F20" s="26"/>
      <c r="G20" s="56"/>
      <c r="H20" s="63">
        <v>291.33</v>
      </c>
      <c r="I20" s="33" t="s">
        <v>249</v>
      </c>
      <c r="J20" s="90" t="s">
        <v>187</v>
      </c>
      <c r="K20" s="56"/>
      <c r="L20" s="56"/>
      <c r="M20" s="56"/>
      <c r="N20" s="56"/>
      <c r="O20" s="56"/>
      <c r="P20" s="56"/>
      <c r="Q20" s="56"/>
    </row>
    <row r="21">
      <c r="A21" s="215" t="s">
        <v>5</v>
      </c>
      <c r="B21" s="79" t="s">
        <v>119</v>
      </c>
      <c r="C21" s="80">
        <v>3.0</v>
      </c>
      <c r="D21" s="81" t="str">
        <f t="shared" si="1"/>
        <v>DOM.</v>
      </c>
      <c r="E21" s="207">
        <f t="shared" si="2"/>
        <v>4</v>
      </c>
      <c r="F21" s="35"/>
      <c r="G21" s="36">
        <v>0.11</v>
      </c>
      <c r="H21" s="70"/>
      <c r="I21" s="152" t="s">
        <v>13</v>
      </c>
      <c r="J21" s="199" t="s">
        <v>120</v>
      </c>
      <c r="K21" s="84"/>
      <c r="L21" s="84"/>
      <c r="M21" s="84"/>
      <c r="N21" s="84"/>
      <c r="O21" s="84"/>
      <c r="P21" s="84"/>
      <c r="Q21" s="84"/>
    </row>
    <row r="22">
      <c r="A22" s="215" t="s">
        <v>5</v>
      </c>
      <c r="B22" s="83" t="s">
        <v>728</v>
      </c>
      <c r="C22" s="80">
        <v>4.0</v>
      </c>
      <c r="D22" s="81" t="str">
        <f t="shared" si="1"/>
        <v>SEG.</v>
      </c>
      <c r="E22" s="207">
        <f t="shared" si="2"/>
        <v>4</v>
      </c>
      <c r="F22" s="35"/>
      <c r="G22" s="36"/>
      <c r="H22" s="63">
        <v>15.0</v>
      </c>
      <c r="I22" s="82" t="s">
        <v>17</v>
      </c>
      <c r="J22" s="103" t="s">
        <v>729</v>
      </c>
      <c r="K22" s="84"/>
      <c r="L22" s="84"/>
      <c r="M22" s="84"/>
      <c r="N22" s="84"/>
      <c r="O22" s="84"/>
      <c r="P22" s="84"/>
      <c r="Q22" s="84"/>
    </row>
    <row r="23">
      <c r="A23" s="215" t="s">
        <v>5</v>
      </c>
      <c r="B23" s="83" t="s">
        <v>730</v>
      </c>
      <c r="C23" s="80">
        <v>4.0</v>
      </c>
      <c r="D23" s="81" t="str">
        <f t="shared" si="1"/>
        <v>SEG.</v>
      </c>
      <c r="E23" s="207">
        <f t="shared" si="2"/>
        <v>4</v>
      </c>
      <c r="F23" s="35"/>
      <c r="G23" s="36"/>
      <c r="H23" s="63">
        <v>59.8</v>
      </c>
      <c r="I23" s="82" t="s">
        <v>17</v>
      </c>
      <c r="J23" s="103" t="s">
        <v>731</v>
      </c>
      <c r="K23" s="84"/>
      <c r="L23" s="84"/>
      <c r="M23" s="84"/>
      <c r="N23" s="84"/>
      <c r="O23" s="84"/>
      <c r="P23" s="84"/>
      <c r="Q23" s="84"/>
    </row>
    <row r="24">
      <c r="A24" s="11" t="s">
        <v>5</v>
      </c>
      <c r="B24" s="83" t="s">
        <v>732</v>
      </c>
      <c r="C24" s="13">
        <v>6.0</v>
      </c>
      <c r="D24" s="14" t="str">
        <f t="shared" si="1"/>
        <v>QUA.</v>
      </c>
      <c r="E24" s="13">
        <f t="shared" si="2"/>
        <v>4</v>
      </c>
      <c r="F24" s="35"/>
      <c r="G24" s="36">
        <v>1000.0</v>
      </c>
      <c r="H24" s="70"/>
      <c r="I24" s="78" t="s">
        <v>17</v>
      </c>
      <c r="J24" s="21" t="s">
        <v>390</v>
      </c>
      <c r="K24" s="84"/>
      <c r="L24" s="84"/>
      <c r="M24" s="84"/>
      <c r="N24" s="84"/>
      <c r="O24" s="84"/>
      <c r="P24" s="84"/>
      <c r="Q24" s="84"/>
    </row>
    <row r="25">
      <c r="A25" s="11" t="s">
        <v>5</v>
      </c>
      <c r="B25" s="99" t="s">
        <v>119</v>
      </c>
      <c r="C25" s="13">
        <v>6.0</v>
      </c>
      <c r="D25" s="14" t="str">
        <f t="shared" si="1"/>
        <v>QUA.</v>
      </c>
      <c r="E25" s="13">
        <f t="shared" si="2"/>
        <v>4</v>
      </c>
      <c r="F25" s="35"/>
      <c r="G25" s="36">
        <v>15.54</v>
      </c>
      <c r="H25" s="70"/>
      <c r="I25" s="78" t="s">
        <v>17</v>
      </c>
      <c r="J25" s="21" t="s">
        <v>120</v>
      </c>
      <c r="K25" s="84"/>
      <c r="L25" s="84"/>
      <c r="M25" s="84"/>
      <c r="N25" s="84"/>
      <c r="O25" s="84"/>
      <c r="P25" s="84"/>
      <c r="Q25" s="84"/>
    </row>
    <row r="26">
      <c r="A26" s="71" t="s">
        <v>5</v>
      </c>
      <c r="B26" s="29" t="s">
        <v>518</v>
      </c>
      <c r="C26" s="73">
        <v>6.0</v>
      </c>
      <c r="D26" s="74" t="str">
        <f t="shared" si="1"/>
        <v>QUA.</v>
      </c>
      <c r="E26" s="193">
        <f t="shared" si="2"/>
        <v>4</v>
      </c>
      <c r="F26" s="30"/>
      <c r="G26" s="31"/>
      <c r="H26" s="32">
        <v>10.82</v>
      </c>
      <c r="I26" s="71" t="s">
        <v>252</v>
      </c>
      <c r="J26" s="72" t="s">
        <v>22</v>
      </c>
      <c r="K26" s="31"/>
      <c r="L26" s="31"/>
      <c r="M26" s="31"/>
      <c r="N26" s="31"/>
      <c r="O26" s="31"/>
      <c r="P26" s="31"/>
      <c r="Q26" s="31"/>
    </row>
    <row r="27">
      <c r="A27" s="215" t="s">
        <v>5</v>
      </c>
      <c r="B27" s="83" t="s">
        <v>733</v>
      </c>
      <c r="C27" s="80">
        <v>7.0</v>
      </c>
      <c r="D27" s="81" t="str">
        <f t="shared" si="1"/>
        <v>QUI.</v>
      </c>
      <c r="E27" s="207">
        <f t="shared" si="2"/>
        <v>4</v>
      </c>
      <c r="F27" s="35"/>
      <c r="G27" s="36"/>
      <c r="H27" s="63">
        <v>185.34</v>
      </c>
      <c r="I27" s="82" t="s">
        <v>17</v>
      </c>
      <c r="J27" s="103" t="s">
        <v>734</v>
      </c>
      <c r="K27" s="84"/>
      <c r="L27" s="84"/>
      <c r="M27" s="84"/>
      <c r="N27" s="84"/>
      <c r="O27" s="84"/>
      <c r="P27" s="84"/>
      <c r="Q27" s="84"/>
    </row>
    <row r="28">
      <c r="A28" s="95" t="s">
        <v>5</v>
      </c>
      <c r="B28" s="178" t="s">
        <v>735</v>
      </c>
      <c r="C28" s="66">
        <v>7.0</v>
      </c>
      <c r="D28" s="14" t="str">
        <f t="shared" si="1"/>
        <v>QUI.</v>
      </c>
      <c r="E28" s="13">
        <f t="shared" si="2"/>
        <v>4</v>
      </c>
      <c r="F28" s="43"/>
      <c r="G28" s="45"/>
      <c r="H28" s="46">
        <v>8.0</v>
      </c>
      <c r="I28" s="41" t="s">
        <v>249</v>
      </c>
      <c r="J28" s="42" t="s">
        <v>20</v>
      </c>
      <c r="K28" s="45"/>
      <c r="L28" s="45"/>
      <c r="M28" s="45"/>
      <c r="N28" s="45"/>
      <c r="O28" s="45"/>
      <c r="P28" s="45"/>
      <c r="Q28" s="45"/>
    </row>
    <row r="29">
      <c r="A29" s="11" t="s">
        <v>5</v>
      </c>
      <c r="B29" s="44" t="s">
        <v>39</v>
      </c>
      <c r="C29" s="13">
        <v>8.0</v>
      </c>
      <c r="D29" s="14" t="str">
        <f t="shared" si="1"/>
        <v>SEX.</v>
      </c>
      <c r="E29" s="13">
        <f t="shared" si="2"/>
        <v>4</v>
      </c>
      <c r="F29" s="87">
        <v>44657.0</v>
      </c>
      <c r="G29" s="45"/>
      <c r="H29" s="46">
        <f>sum(H30:H34)</f>
        <v>319.63</v>
      </c>
      <c r="I29" s="47" t="s">
        <v>17</v>
      </c>
      <c r="J29" s="21"/>
      <c r="K29" s="39"/>
      <c r="L29" s="39"/>
      <c r="M29" s="39"/>
      <c r="N29" s="39"/>
      <c r="O29" s="39"/>
      <c r="P29" s="39"/>
      <c r="Q29" s="39"/>
    </row>
    <row r="30" outlineLevel="1">
      <c r="A30" s="11" t="s">
        <v>40</v>
      </c>
      <c r="B30" s="83" t="s">
        <v>736</v>
      </c>
      <c r="C30" s="194"/>
      <c r="D30" s="195"/>
      <c r="E30" s="207">
        <f t="shared" si="2"/>
        <v>4</v>
      </c>
      <c r="F30" s="196">
        <v>44511.0</v>
      </c>
      <c r="G30" s="70"/>
      <c r="H30" s="151">
        <v>223.38</v>
      </c>
      <c r="I30" s="197"/>
      <c r="J30" s="79" t="s">
        <v>591</v>
      </c>
      <c r="K30" s="84"/>
      <c r="L30" s="84"/>
      <c r="M30" s="84"/>
      <c r="N30" s="84"/>
      <c r="O30" s="84"/>
      <c r="P30" s="84"/>
      <c r="Q30" s="84"/>
    </row>
    <row r="31" outlineLevel="1">
      <c r="A31" s="11" t="s">
        <v>40</v>
      </c>
      <c r="B31" s="76" t="s">
        <v>737</v>
      </c>
      <c r="C31" s="155"/>
      <c r="D31" s="156"/>
      <c r="E31" s="193">
        <f t="shared" si="2"/>
        <v>4</v>
      </c>
      <c r="F31" s="225">
        <v>44619.0</v>
      </c>
      <c r="G31" s="31"/>
      <c r="H31" s="32">
        <v>11.8</v>
      </c>
      <c r="I31" s="157"/>
      <c r="J31" s="72" t="s">
        <v>393</v>
      </c>
      <c r="K31" s="77"/>
      <c r="L31" s="77"/>
      <c r="M31" s="77"/>
      <c r="N31" s="77"/>
      <c r="O31" s="77"/>
      <c r="P31" s="77"/>
      <c r="Q31" s="77"/>
    </row>
    <row r="32" outlineLevel="1">
      <c r="A32" s="11" t="s">
        <v>40</v>
      </c>
      <c r="B32" s="76" t="s">
        <v>738</v>
      </c>
      <c r="C32" s="155"/>
      <c r="D32" s="156"/>
      <c r="E32" s="193">
        <f t="shared" si="2"/>
        <v>4</v>
      </c>
      <c r="F32" s="225">
        <v>44619.0</v>
      </c>
      <c r="G32" s="31"/>
      <c r="H32" s="32">
        <v>34.0</v>
      </c>
      <c r="I32" s="157"/>
      <c r="J32" s="72" t="s">
        <v>393</v>
      </c>
      <c r="K32" s="77"/>
      <c r="L32" s="77"/>
      <c r="M32" s="77"/>
      <c r="N32" s="77"/>
      <c r="O32" s="77"/>
      <c r="P32" s="77"/>
      <c r="Q32" s="77"/>
    </row>
    <row r="33" outlineLevel="1">
      <c r="A33" s="11" t="s">
        <v>40</v>
      </c>
      <c r="B33" s="76" t="s">
        <v>739</v>
      </c>
      <c r="C33" s="155"/>
      <c r="D33" s="156"/>
      <c r="E33" s="193">
        <f t="shared" si="2"/>
        <v>4</v>
      </c>
      <c r="F33" s="54">
        <v>44624.0</v>
      </c>
      <c r="G33" s="31"/>
      <c r="H33" s="32">
        <v>20.55</v>
      </c>
      <c r="I33" s="157"/>
      <c r="J33" s="76" t="s">
        <v>740</v>
      </c>
      <c r="K33" s="77"/>
      <c r="L33" s="77"/>
      <c r="M33" s="77"/>
      <c r="N33" s="77"/>
      <c r="O33" s="77"/>
      <c r="P33" s="77"/>
      <c r="Q33" s="77"/>
    </row>
    <row r="34" outlineLevel="1">
      <c r="A34" s="215" t="s">
        <v>40</v>
      </c>
      <c r="B34" s="83" t="s">
        <v>741</v>
      </c>
      <c r="C34" s="194"/>
      <c r="D34" s="195"/>
      <c r="E34" s="210">
        <f t="shared" si="2"/>
        <v>4</v>
      </c>
      <c r="F34" s="54">
        <v>44624.0</v>
      </c>
      <c r="G34" s="70"/>
      <c r="H34" s="36">
        <v>29.9</v>
      </c>
      <c r="I34" s="197"/>
      <c r="J34" s="79" t="s">
        <v>393</v>
      </c>
      <c r="K34" s="84"/>
      <c r="L34" s="84"/>
      <c r="M34" s="84"/>
      <c r="N34" s="84"/>
      <c r="O34" s="84"/>
      <c r="P34" s="84"/>
      <c r="Q34" s="84"/>
    </row>
    <row r="35">
      <c r="A35" s="11" t="s">
        <v>5</v>
      </c>
      <c r="B35" s="90" t="s">
        <v>59</v>
      </c>
      <c r="C35" s="13">
        <v>8.0</v>
      </c>
      <c r="D35" s="14" t="str">
        <f t="shared" ref="D35:D41" si="3">UPPER(TEXT(WEEKDAY(DATEVALUE(CONCATENATE(C35,"/",$C$3,"/",$A$1))),"DDD"))</f>
        <v>SEX.</v>
      </c>
      <c r="E35" s="13">
        <f t="shared" si="2"/>
        <v>4</v>
      </c>
      <c r="F35" s="87"/>
      <c r="G35" s="56"/>
      <c r="H35" s="88">
        <v>495.76</v>
      </c>
      <c r="I35" s="58" t="s">
        <v>17</v>
      </c>
      <c r="J35" s="21" t="s">
        <v>60</v>
      </c>
      <c r="K35" s="59"/>
      <c r="L35" s="59"/>
      <c r="M35" s="59"/>
      <c r="N35" s="59"/>
      <c r="O35" s="59"/>
      <c r="P35" s="59"/>
      <c r="Q35" s="59"/>
    </row>
    <row r="36">
      <c r="A36" s="11" t="s">
        <v>5</v>
      </c>
      <c r="B36" s="39" t="s">
        <v>61</v>
      </c>
      <c r="C36" s="13">
        <v>8.0</v>
      </c>
      <c r="D36" s="14" t="str">
        <f t="shared" si="3"/>
        <v>SEX.</v>
      </c>
      <c r="E36" s="13">
        <f t="shared" si="2"/>
        <v>4</v>
      </c>
      <c r="F36" s="87"/>
      <c r="G36" s="45"/>
      <c r="H36" s="46">
        <v>117.09</v>
      </c>
      <c r="I36" s="58" t="s">
        <v>17</v>
      </c>
      <c r="J36" s="21" t="s">
        <v>62</v>
      </c>
      <c r="K36" s="39"/>
      <c r="L36" s="39"/>
      <c r="M36" s="39"/>
      <c r="N36" s="39"/>
      <c r="O36" s="39"/>
      <c r="P36" s="39"/>
      <c r="Q36" s="39"/>
    </row>
    <row r="37">
      <c r="A37" s="11" t="s">
        <v>5</v>
      </c>
      <c r="B37" s="83" t="s">
        <v>442</v>
      </c>
      <c r="C37" s="207">
        <v>8.0</v>
      </c>
      <c r="D37" s="81" t="str">
        <f t="shared" si="3"/>
        <v>SEX.</v>
      </c>
      <c r="E37" s="207">
        <f t="shared" si="2"/>
        <v>4</v>
      </c>
      <c r="F37" s="87"/>
      <c r="G37" s="70"/>
      <c r="H37" s="36">
        <v>39.9</v>
      </c>
      <c r="I37" s="47" t="s">
        <v>17</v>
      </c>
      <c r="J37" s="103" t="s">
        <v>443</v>
      </c>
      <c r="K37" s="99"/>
      <c r="L37" s="99"/>
      <c r="M37" s="99"/>
      <c r="N37" s="99"/>
      <c r="O37" s="99"/>
      <c r="P37" s="99"/>
      <c r="Q37" s="99"/>
    </row>
    <row r="38">
      <c r="A38" s="71" t="s">
        <v>5</v>
      </c>
      <c r="B38" s="159" t="s">
        <v>742</v>
      </c>
      <c r="C38" s="73">
        <v>9.0</v>
      </c>
      <c r="D38" s="74" t="str">
        <f t="shared" si="3"/>
        <v>SÁB.</v>
      </c>
      <c r="E38" s="193">
        <f t="shared" si="2"/>
        <v>4</v>
      </c>
      <c r="F38" s="30"/>
      <c r="G38" s="31"/>
      <c r="H38" s="32">
        <v>171.95</v>
      </c>
      <c r="I38" s="71" t="s">
        <v>252</v>
      </c>
      <c r="J38" s="76" t="s">
        <v>743</v>
      </c>
      <c r="K38" s="31"/>
      <c r="L38" s="31"/>
      <c r="M38" s="31"/>
      <c r="N38" s="31"/>
      <c r="O38" s="31"/>
      <c r="P38" s="31"/>
      <c r="Q38" s="31"/>
    </row>
    <row r="39">
      <c r="A39" s="71" t="s">
        <v>5</v>
      </c>
      <c r="B39" s="159" t="s">
        <v>744</v>
      </c>
      <c r="C39" s="73">
        <v>9.0</v>
      </c>
      <c r="D39" s="74" t="str">
        <f t="shared" si="3"/>
        <v>SÁB.</v>
      </c>
      <c r="E39" s="193">
        <f t="shared" si="2"/>
        <v>4</v>
      </c>
      <c r="F39" s="30"/>
      <c r="G39" s="31"/>
      <c r="H39" s="32">
        <v>133.86</v>
      </c>
      <c r="I39" s="71" t="s">
        <v>252</v>
      </c>
      <c r="J39" s="76" t="s">
        <v>743</v>
      </c>
      <c r="K39" s="31"/>
      <c r="L39" s="31"/>
      <c r="M39" s="31"/>
      <c r="N39" s="31"/>
      <c r="O39" s="31"/>
      <c r="P39" s="31"/>
      <c r="Q39" s="31"/>
    </row>
    <row r="40">
      <c r="A40" s="11" t="s">
        <v>5</v>
      </c>
      <c r="B40" s="34" t="s">
        <v>444</v>
      </c>
      <c r="C40" s="13">
        <v>10.0</v>
      </c>
      <c r="D40" s="14" t="str">
        <f t="shared" si="3"/>
        <v>DOM.</v>
      </c>
      <c r="E40" s="13">
        <f t="shared" si="2"/>
        <v>4</v>
      </c>
      <c r="F40" s="87"/>
      <c r="G40" s="56"/>
      <c r="H40" s="63">
        <v>637.0</v>
      </c>
      <c r="I40" s="58" t="s">
        <v>17</v>
      </c>
      <c r="J40" s="21" t="s">
        <v>67</v>
      </c>
      <c r="K40" s="59"/>
      <c r="L40" s="59"/>
      <c r="M40" s="59"/>
      <c r="N40" s="59"/>
      <c r="O40" s="59"/>
      <c r="P40" s="59"/>
      <c r="Q40" s="59"/>
    </row>
    <row r="41">
      <c r="A41" s="11" t="s">
        <v>5</v>
      </c>
      <c r="B41" s="177" t="s">
        <v>84</v>
      </c>
      <c r="C41" s="148">
        <v>11.0</v>
      </c>
      <c r="D41" s="25" t="str">
        <f t="shared" si="3"/>
        <v>SEG.</v>
      </c>
      <c r="E41" s="13">
        <f t="shared" si="2"/>
        <v>4</v>
      </c>
      <c r="F41" s="87">
        <v>44657.0</v>
      </c>
      <c r="G41" s="56"/>
      <c r="H41" s="101">
        <f>SUM(H42:H52)</f>
        <v>2980.43</v>
      </c>
      <c r="I41" s="23" t="s">
        <v>17</v>
      </c>
      <c r="J41" s="40"/>
      <c r="K41" s="56"/>
      <c r="L41" s="56"/>
      <c r="M41" s="56"/>
      <c r="N41" s="56"/>
      <c r="O41" s="56"/>
      <c r="P41" s="56"/>
      <c r="Q41" s="56"/>
    </row>
    <row r="42" outlineLevel="1">
      <c r="A42" s="47" t="s">
        <v>40</v>
      </c>
      <c r="B42" s="69" t="s">
        <v>745</v>
      </c>
      <c r="C42" s="150"/>
      <c r="D42" s="81"/>
      <c r="E42" s="207">
        <f t="shared" si="2"/>
        <v>4</v>
      </c>
      <c r="F42" s="196">
        <v>44626.0</v>
      </c>
      <c r="G42" s="70"/>
      <c r="H42" s="36">
        <v>129.9</v>
      </c>
      <c r="I42" s="78"/>
      <c r="J42" s="83" t="s">
        <v>215</v>
      </c>
      <c r="K42" s="70"/>
      <c r="L42" s="70"/>
      <c r="M42" s="70"/>
      <c r="N42" s="70"/>
      <c r="O42" s="70"/>
      <c r="P42" s="70"/>
      <c r="Q42" s="70"/>
    </row>
    <row r="43" outlineLevel="1">
      <c r="A43" s="47" t="s">
        <v>40</v>
      </c>
      <c r="B43" s="69" t="s">
        <v>746</v>
      </c>
      <c r="C43" s="150"/>
      <c r="D43" s="81"/>
      <c r="E43" s="207">
        <f t="shared" si="2"/>
        <v>4</v>
      </c>
      <c r="F43" s="196">
        <v>44626.0</v>
      </c>
      <c r="G43" s="70"/>
      <c r="H43" s="36">
        <v>97.88</v>
      </c>
      <c r="I43" s="78"/>
      <c r="J43" s="83" t="s">
        <v>747</v>
      </c>
      <c r="K43" s="70"/>
      <c r="L43" s="70"/>
      <c r="M43" s="70"/>
      <c r="N43" s="70"/>
      <c r="O43" s="70"/>
      <c r="P43" s="70"/>
      <c r="Q43" s="70"/>
    </row>
    <row r="44" outlineLevel="1">
      <c r="A44" s="11" t="s">
        <v>40</v>
      </c>
      <c r="B44" s="76" t="s">
        <v>748</v>
      </c>
      <c r="C44" s="155"/>
      <c r="D44" s="156"/>
      <c r="E44" s="193">
        <f t="shared" si="2"/>
        <v>4</v>
      </c>
      <c r="F44" s="196">
        <v>44627.0</v>
      </c>
      <c r="G44" s="31"/>
      <c r="H44" s="32">
        <v>34.19</v>
      </c>
      <c r="I44" s="157"/>
      <c r="J44" s="76" t="s">
        <v>749</v>
      </c>
      <c r="K44" s="77"/>
      <c r="L44" s="77"/>
      <c r="M44" s="77"/>
      <c r="N44" s="77"/>
      <c r="O44" s="77"/>
      <c r="P44" s="77"/>
      <c r="Q44" s="77"/>
    </row>
    <row r="45" outlineLevel="1">
      <c r="A45" s="11" t="s">
        <v>40</v>
      </c>
      <c r="B45" s="83" t="s">
        <v>601</v>
      </c>
      <c r="C45" s="194"/>
      <c r="D45" s="195"/>
      <c r="E45" s="193">
        <f t="shared" si="2"/>
        <v>4</v>
      </c>
      <c r="F45" s="196">
        <v>44630.0</v>
      </c>
      <c r="G45" s="70"/>
      <c r="H45" s="36">
        <v>16.24</v>
      </c>
      <c r="I45" s="70"/>
      <c r="J45" s="83" t="s">
        <v>88</v>
      </c>
      <c r="K45" s="84"/>
      <c r="L45" s="84"/>
      <c r="M45" s="84"/>
      <c r="N45" s="84"/>
      <c r="O45" s="84"/>
      <c r="P45" s="84"/>
      <c r="Q45" s="84"/>
    </row>
    <row r="46" outlineLevel="1">
      <c r="A46" s="11" t="s">
        <v>40</v>
      </c>
      <c r="B46" s="83" t="s">
        <v>750</v>
      </c>
      <c r="C46" s="194"/>
      <c r="D46" s="195"/>
      <c r="E46" s="193">
        <f t="shared" si="2"/>
        <v>4</v>
      </c>
      <c r="F46" s="196">
        <v>44633.0</v>
      </c>
      <c r="G46" s="70"/>
      <c r="H46" s="36">
        <v>130.0</v>
      </c>
      <c r="I46" s="70"/>
      <c r="J46" s="83" t="s">
        <v>215</v>
      </c>
      <c r="K46" s="84"/>
      <c r="L46" s="84"/>
      <c r="M46" s="84"/>
      <c r="N46" s="84"/>
      <c r="O46" s="84"/>
      <c r="P46" s="84"/>
      <c r="Q46" s="84"/>
    </row>
    <row r="47" outlineLevel="1">
      <c r="A47" s="11" t="s">
        <v>40</v>
      </c>
      <c r="B47" s="76" t="s">
        <v>751</v>
      </c>
      <c r="C47" s="155"/>
      <c r="D47" s="156"/>
      <c r="E47" s="193">
        <f t="shared" si="2"/>
        <v>4</v>
      </c>
      <c r="F47" s="54">
        <v>44640.0</v>
      </c>
      <c r="G47" s="31"/>
      <c r="H47" s="32">
        <v>109.9</v>
      </c>
      <c r="I47" s="31"/>
      <c r="J47" s="76" t="s">
        <v>513</v>
      </c>
      <c r="K47" s="77"/>
      <c r="L47" s="77"/>
      <c r="M47" s="77"/>
      <c r="N47" s="77"/>
      <c r="O47" s="77"/>
      <c r="P47" s="77"/>
      <c r="Q47" s="77"/>
    </row>
    <row r="48" outlineLevel="1">
      <c r="A48" s="11" t="s">
        <v>40</v>
      </c>
      <c r="B48" s="76" t="s">
        <v>563</v>
      </c>
      <c r="C48" s="155"/>
      <c r="D48" s="156"/>
      <c r="E48" s="193">
        <f t="shared" si="2"/>
        <v>4</v>
      </c>
      <c r="F48" s="196">
        <v>44645.0</v>
      </c>
      <c r="G48" s="31"/>
      <c r="H48" s="32">
        <v>31.9</v>
      </c>
      <c r="I48" s="31"/>
      <c r="J48" s="83" t="s">
        <v>88</v>
      </c>
      <c r="K48" s="77"/>
      <c r="L48" s="77"/>
      <c r="M48" s="77"/>
      <c r="N48" s="77"/>
      <c r="O48" s="77"/>
      <c r="P48" s="77"/>
      <c r="Q48" s="77"/>
    </row>
    <row r="49" outlineLevel="1">
      <c r="A49" s="11" t="s">
        <v>40</v>
      </c>
      <c r="B49" s="76" t="s">
        <v>752</v>
      </c>
      <c r="C49" s="155"/>
      <c r="D49" s="156"/>
      <c r="E49" s="193">
        <f t="shared" si="2"/>
        <v>4</v>
      </c>
      <c r="F49" s="54">
        <v>44645.0</v>
      </c>
      <c r="G49" s="31"/>
      <c r="H49" s="32">
        <v>2113.2</v>
      </c>
      <c r="I49" s="31"/>
      <c r="J49" s="76" t="s">
        <v>516</v>
      </c>
      <c r="K49" s="77"/>
      <c r="L49" s="77"/>
      <c r="M49" s="77"/>
      <c r="N49" s="77"/>
      <c r="O49" s="77"/>
      <c r="P49" s="77"/>
      <c r="Q49" s="77"/>
    </row>
    <row r="50" outlineLevel="1">
      <c r="A50" s="11" t="s">
        <v>40</v>
      </c>
      <c r="B50" s="79" t="s">
        <v>87</v>
      </c>
      <c r="C50" s="194"/>
      <c r="D50" s="195"/>
      <c r="E50" s="193">
        <f t="shared" si="2"/>
        <v>4</v>
      </c>
      <c r="F50" s="196">
        <v>44646.0</v>
      </c>
      <c r="G50" s="70"/>
      <c r="H50" s="151">
        <v>9.9</v>
      </c>
      <c r="I50" s="70"/>
      <c r="J50" s="83" t="s">
        <v>88</v>
      </c>
      <c r="K50" s="84"/>
      <c r="L50" s="84"/>
      <c r="M50" s="84"/>
      <c r="N50" s="84"/>
      <c r="O50" s="84"/>
      <c r="P50" s="84"/>
      <c r="Q50" s="84"/>
    </row>
    <row r="51" outlineLevel="1">
      <c r="A51" s="11" t="s">
        <v>40</v>
      </c>
      <c r="B51" s="44" t="s">
        <v>753</v>
      </c>
      <c r="C51" s="187"/>
      <c r="D51" s="108"/>
      <c r="E51" s="193">
        <f t="shared" si="2"/>
        <v>4</v>
      </c>
      <c r="F51" s="226">
        <v>44649.0</v>
      </c>
      <c r="G51" s="45"/>
      <c r="H51" s="46">
        <v>262.33</v>
      </c>
      <c r="I51" s="45"/>
      <c r="J51" s="44" t="s">
        <v>652</v>
      </c>
      <c r="K51" s="68"/>
      <c r="L51" s="68"/>
      <c r="M51" s="68"/>
      <c r="N51" s="68"/>
      <c r="O51" s="68"/>
      <c r="P51" s="68"/>
      <c r="Q51" s="68"/>
    </row>
    <row r="52" outlineLevel="1">
      <c r="A52" s="11" t="s">
        <v>40</v>
      </c>
      <c r="B52" s="76" t="s">
        <v>515</v>
      </c>
      <c r="C52" s="155"/>
      <c r="D52" s="156"/>
      <c r="E52" s="193">
        <f t="shared" si="2"/>
        <v>4</v>
      </c>
      <c r="F52" s="54">
        <v>44652.0</v>
      </c>
      <c r="G52" s="31"/>
      <c r="H52" s="32">
        <v>44.99</v>
      </c>
      <c r="I52" s="31"/>
      <c r="J52" s="76" t="s">
        <v>516</v>
      </c>
      <c r="K52" s="77"/>
      <c r="L52" s="77"/>
      <c r="M52" s="77"/>
      <c r="N52" s="77"/>
      <c r="O52" s="77"/>
      <c r="P52" s="77"/>
      <c r="Q52" s="77"/>
    </row>
    <row r="53">
      <c r="A53" s="71" t="s">
        <v>5</v>
      </c>
      <c r="B53" s="159" t="s">
        <v>754</v>
      </c>
      <c r="C53" s="73">
        <v>13.0</v>
      </c>
      <c r="D53" s="74" t="str">
        <f t="shared" ref="D53:D99" si="4">UPPER(TEXT(WEEKDAY(DATEVALUE(CONCATENATE(C53,"/",$C$3,"/",$A$1))),"DDD"))</f>
        <v>QUA.</v>
      </c>
      <c r="E53" s="193">
        <f t="shared" si="2"/>
        <v>4</v>
      </c>
      <c r="F53" s="30"/>
      <c r="G53" s="31"/>
      <c r="H53" s="32">
        <v>33.0</v>
      </c>
      <c r="I53" s="58" t="s">
        <v>252</v>
      </c>
      <c r="J53" s="72" t="s">
        <v>20</v>
      </c>
      <c r="K53" s="31"/>
      <c r="L53" s="31"/>
      <c r="M53" s="31"/>
      <c r="N53" s="31"/>
      <c r="O53" s="31"/>
      <c r="P53" s="31"/>
      <c r="Q53" s="31"/>
    </row>
    <row r="54">
      <c r="A54" s="215" t="s">
        <v>5</v>
      </c>
      <c r="B54" s="198" t="s">
        <v>117</v>
      </c>
      <c r="C54" s="150">
        <v>13.0</v>
      </c>
      <c r="D54" s="81" t="str">
        <f t="shared" si="4"/>
        <v>QUA.</v>
      </c>
      <c r="E54" s="210">
        <f t="shared" si="2"/>
        <v>4</v>
      </c>
      <c r="F54" s="35"/>
      <c r="G54" s="70"/>
      <c r="H54" s="151">
        <v>20.0</v>
      </c>
      <c r="I54" s="78" t="s">
        <v>17</v>
      </c>
      <c r="J54" s="79" t="s">
        <v>118</v>
      </c>
      <c r="K54" s="70"/>
      <c r="L54" s="70"/>
      <c r="M54" s="70"/>
      <c r="N54" s="70"/>
      <c r="O54" s="70"/>
      <c r="P54" s="70"/>
      <c r="Q54" s="70"/>
    </row>
    <row r="55">
      <c r="A55" s="11" t="s">
        <v>5</v>
      </c>
      <c r="B55" s="177" t="s">
        <v>21</v>
      </c>
      <c r="C55" s="62">
        <v>13.0</v>
      </c>
      <c r="D55" s="25" t="str">
        <f t="shared" si="4"/>
        <v>QUA.</v>
      </c>
      <c r="E55" s="13">
        <f t="shared" si="2"/>
        <v>4</v>
      </c>
      <c r="F55" s="26"/>
      <c r="G55" s="56"/>
      <c r="H55" s="63">
        <v>111.43</v>
      </c>
      <c r="I55" s="33" t="s">
        <v>252</v>
      </c>
      <c r="J55" s="173" t="s">
        <v>22</v>
      </c>
      <c r="K55" s="56"/>
      <c r="L55" s="56"/>
      <c r="M55" s="56"/>
      <c r="N55" s="56"/>
      <c r="O55" s="56"/>
      <c r="P55" s="56"/>
      <c r="Q55" s="56"/>
    </row>
    <row r="56">
      <c r="A56" s="11" t="s">
        <v>5</v>
      </c>
      <c r="B56" s="179" t="s">
        <v>427</v>
      </c>
      <c r="C56" s="62">
        <v>14.0</v>
      </c>
      <c r="D56" s="25" t="str">
        <f t="shared" si="4"/>
        <v>QUI.</v>
      </c>
      <c r="E56" s="13">
        <f t="shared" si="2"/>
        <v>4</v>
      </c>
      <c r="F56" s="26"/>
      <c r="G56" s="56"/>
      <c r="H56" s="63">
        <v>138.11</v>
      </c>
      <c r="I56" s="33" t="s">
        <v>252</v>
      </c>
      <c r="J56" s="173" t="s">
        <v>22</v>
      </c>
      <c r="K56" s="56"/>
      <c r="L56" s="56"/>
      <c r="M56" s="56"/>
      <c r="N56" s="56"/>
      <c r="O56" s="56"/>
      <c r="P56" s="56"/>
      <c r="Q56" s="56"/>
    </row>
    <row r="57">
      <c r="A57" s="11" t="s">
        <v>5</v>
      </c>
      <c r="B57" s="99" t="s">
        <v>119</v>
      </c>
      <c r="C57" s="13">
        <v>14.0</v>
      </c>
      <c r="D57" s="14" t="str">
        <f t="shared" si="4"/>
        <v>QUI.</v>
      </c>
      <c r="E57" s="13">
        <f t="shared" si="2"/>
        <v>4</v>
      </c>
      <c r="F57" s="35"/>
      <c r="G57" s="36">
        <v>0.01</v>
      </c>
      <c r="H57" s="70"/>
      <c r="I57" s="47" t="s">
        <v>261</v>
      </c>
      <c r="J57" s="21" t="s">
        <v>120</v>
      </c>
      <c r="K57" s="84"/>
      <c r="L57" s="84"/>
      <c r="M57" s="84"/>
      <c r="N57" s="84"/>
      <c r="O57" s="84"/>
      <c r="P57" s="84"/>
      <c r="Q57" s="84"/>
    </row>
    <row r="58">
      <c r="A58" s="11" t="s">
        <v>5</v>
      </c>
      <c r="B58" s="179" t="s">
        <v>755</v>
      </c>
      <c r="C58" s="62">
        <v>14.0</v>
      </c>
      <c r="D58" s="25" t="str">
        <f t="shared" si="4"/>
        <v>QUI.</v>
      </c>
      <c r="E58" s="13">
        <f t="shared" si="2"/>
        <v>4</v>
      </c>
      <c r="F58" s="26"/>
      <c r="G58" s="56"/>
      <c r="H58" s="63">
        <v>183.6</v>
      </c>
      <c r="I58" s="33" t="s">
        <v>17</v>
      </c>
      <c r="J58" s="21" t="s">
        <v>756</v>
      </c>
      <c r="K58" s="56"/>
      <c r="L58" s="56"/>
      <c r="M58" s="56"/>
      <c r="N58" s="56"/>
      <c r="O58" s="56"/>
      <c r="P58" s="56"/>
      <c r="Q58" s="56"/>
    </row>
    <row r="59">
      <c r="A59" s="11" t="s">
        <v>5</v>
      </c>
      <c r="B59" s="178" t="s">
        <v>609</v>
      </c>
      <c r="C59" s="66">
        <v>15.0</v>
      </c>
      <c r="D59" s="14" t="str">
        <f t="shared" si="4"/>
        <v>SEX.</v>
      </c>
      <c r="E59" s="144">
        <f t="shared" si="2"/>
        <v>4</v>
      </c>
      <c r="F59" s="87">
        <v>44665.0</v>
      </c>
      <c r="G59" s="46">
        <v>5045.29</v>
      </c>
      <c r="H59" s="45"/>
      <c r="I59" s="65" t="s">
        <v>261</v>
      </c>
      <c r="J59" s="42" t="s">
        <v>64</v>
      </c>
      <c r="K59" s="45"/>
      <c r="L59" s="45"/>
      <c r="M59" s="45"/>
      <c r="N59" s="45"/>
      <c r="O59" s="45"/>
      <c r="P59" s="45"/>
      <c r="Q59" s="45"/>
    </row>
    <row r="60">
      <c r="A60" s="11" t="s">
        <v>25</v>
      </c>
      <c r="B60" s="39" t="s">
        <v>26</v>
      </c>
      <c r="C60" s="66">
        <v>15.0</v>
      </c>
      <c r="D60" s="14" t="str">
        <f t="shared" si="4"/>
        <v>SEX.</v>
      </c>
      <c r="E60" s="13">
        <f t="shared" si="2"/>
        <v>4</v>
      </c>
      <c r="F60" s="87">
        <v>44665.0</v>
      </c>
      <c r="G60" s="45"/>
      <c r="H60" s="46">
        <v>5045.3</v>
      </c>
      <c r="I60" s="67" t="s">
        <v>261</v>
      </c>
      <c r="J60" s="42"/>
      <c r="K60" s="68"/>
      <c r="L60" s="68"/>
      <c r="M60" s="68"/>
      <c r="N60" s="68"/>
      <c r="O60" s="68"/>
      <c r="P60" s="68"/>
      <c r="Q60" s="68"/>
    </row>
    <row r="61">
      <c r="A61" s="11" t="s">
        <v>25</v>
      </c>
      <c r="B61" s="61" t="s">
        <v>27</v>
      </c>
      <c r="C61" s="148">
        <v>15.0</v>
      </c>
      <c r="D61" s="25" t="str">
        <f t="shared" si="4"/>
        <v>SEX.</v>
      </c>
      <c r="E61" s="13">
        <f t="shared" si="2"/>
        <v>4</v>
      </c>
      <c r="F61" s="87">
        <v>44665.0</v>
      </c>
      <c r="G61" s="46">
        <v>5045.3</v>
      </c>
      <c r="H61" s="56"/>
      <c r="I61" s="37" t="s">
        <v>17</v>
      </c>
      <c r="J61" s="40"/>
      <c r="K61" s="59"/>
      <c r="L61" s="59"/>
      <c r="M61" s="59"/>
      <c r="N61" s="59"/>
      <c r="O61" s="59"/>
      <c r="P61" s="59"/>
      <c r="Q61" s="59"/>
    </row>
    <row r="62">
      <c r="A62" s="11" t="s">
        <v>5</v>
      </c>
      <c r="B62" s="39" t="s">
        <v>102</v>
      </c>
      <c r="C62" s="13">
        <v>15.0</v>
      </c>
      <c r="D62" s="14" t="str">
        <f t="shared" si="4"/>
        <v>SEX.</v>
      </c>
      <c r="E62" s="13">
        <f t="shared" si="2"/>
        <v>4</v>
      </c>
      <c r="F62" s="87">
        <v>44665.0</v>
      </c>
      <c r="G62" s="45"/>
      <c r="H62" s="46">
        <v>182.43</v>
      </c>
      <c r="I62" s="58" t="s">
        <v>17</v>
      </c>
      <c r="J62" s="21" t="s">
        <v>75</v>
      </c>
      <c r="K62" s="39"/>
      <c r="L62" s="39"/>
      <c r="M62" s="39"/>
      <c r="N62" s="39"/>
      <c r="O62" s="39"/>
      <c r="P62" s="39"/>
      <c r="Q62" s="39"/>
    </row>
    <row r="63">
      <c r="A63" s="11" t="s">
        <v>5</v>
      </c>
      <c r="B63" s="61" t="s">
        <v>103</v>
      </c>
      <c r="C63" s="13">
        <v>15.0</v>
      </c>
      <c r="D63" s="14" t="str">
        <f t="shared" si="4"/>
        <v>SEX.</v>
      </c>
      <c r="E63" s="13">
        <f t="shared" si="2"/>
        <v>4</v>
      </c>
      <c r="F63" s="87">
        <v>44665.0</v>
      </c>
      <c r="G63" s="56"/>
      <c r="H63" s="63">
        <v>182.43</v>
      </c>
      <c r="I63" s="58" t="s">
        <v>17</v>
      </c>
      <c r="J63" s="21" t="s">
        <v>75</v>
      </c>
      <c r="K63" s="61"/>
      <c r="L63" s="61"/>
      <c r="M63" s="61"/>
      <c r="N63" s="61"/>
      <c r="O63" s="61"/>
      <c r="P63" s="61"/>
      <c r="Q63" s="61"/>
    </row>
    <row r="64">
      <c r="A64" s="11" t="s">
        <v>5</v>
      </c>
      <c r="B64" s="39" t="s">
        <v>104</v>
      </c>
      <c r="C64" s="13">
        <v>15.0</v>
      </c>
      <c r="D64" s="14" t="str">
        <f t="shared" si="4"/>
        <v>SEX.</v>
      </c>
      <c r="E64" s="13">
        <f t="shared" si="2"/>
        <v>4</v>
      </c>
      <c r="F64" s="87">
        <v>44665.0</v>
      </c>
      <c r="G64" s="45"/>
      <c r="H64" s="46">
        <v>230.66</v>
      </c>
      <c r="I64" s="58" t="s">
        <v>17</v>
      </c>
      <c r="J64" s="21" t="s">
        <v>75</v>
      </c>
      <c r="K64" s="39"/>
      <c r="L64" s="39"/>
      <c r="M64" s="39"/>
      <c r="N64" s="39"/>
      <c r="O64" s="39"/>
      <c r="P64" s="39"/>
      <c r="Q64" s="39"/>
    </row>
    <row r="65">
      <c r="A65" s="11" t="s">
        <v>5</v>
      </c>
      <c r="B65" s="179" t="s">
        <v>757</v>
      </c>
      <c r="C65" s="62">
        <v>16.0</v>
      </c>
      <c r="D65" s="25" t="str">
        <f t="shared" si="4"/>
        <v>SÁB.</v>
      </c>
      <c r="E65" s="13">
        <f t="shared" si="2"/>
        <v>4</v>
      </c>
      <c r="F65" s="26"/>
      <c r="G65" s="56"/>
      <c r="H65" s="63">
        <v>20.0</v>
      </c>
      <c r="I65" s="33" t="s">
        <v>17</v>
      </c>
      <c r="J65" s="21" t="s">
        <v>758</v>
      </c>
      <c r="K65" s="56"/>
      <c r="L65" s="56"/>
      <c r="M65" s="56"/>
      <c r="N65" s="56"/>
      <c r="O65" s="56"/>
      <c r="P65" s="56"/>
      <c r="Q65" s="56"/>
    </row>
    <row r="66">
      <c r="A66" s="11" t="s">
        <v>5</v>
      </c>
      <c r="B66" s="179" t="s">
        <v>759</v>
      </c>
      <c r="C66" s="62">
        <v>16.0</v>
      </c>
      <c r="D66" s="25" t="str">
        <f t="shared" si="4"/>
        <v>SÁB.</v>
      </c>
      <c r="E66" s="13">
        <f t="shared" si="2"/>
        <v>4</v>
      </c>
      <c r="F66" s="26"/>
      <c r="G66" s="56"/>
      <c r="H66" s="63">
        <v>30.0</v>
      </c>
      <c r="I66" s="33" t="s">
        <v>17</v>
      </c>
      <c r="J66" s="21" t="s">
        <v>760</v>
      </c>
      <c r="K66" s="56"/>
      <c r="L66" s="56"/>
      <c r="M66" s="56"/>
      <c r="N66" s="56"/>
      <c r="O66" s="56"/>
      <c r="P66" s="56"/>
      <c r="Q66" s="56"/>
    </row>
    <row r="67">
      <c r="A67" s="11" t="s">
        <v>5</v>
      </c>
      <c r="B67" s="179" t="s">
        <v>761</v>
      </c>
      <c r="C67" s="62">
        <v>16.0</v>
      </c>
      <c r="D67" s="25" t="str">
        <f t="shared" si="4"/>
        <v>SÁB.</v>
      </c>
      <c r="E67" s="13">
        <f t="shared" si="2"/>
        <v>4</v>
      </c>
      <c r="F67" s="26"/>
      <c r="G67" s="56"/>
      <c r="H67" s="63">
        <v>52.0</v>
      </c>
      <c r="I67" s="33" t="s">
        <v>17</v>
      </c>
      <c r="J67" s="21" t="s">
        <v>756</v>
      </c>
      <c r="K67" s="56"/>
      <c r="L67" s="56"/>
      <c r="M67" s="56"/>
      <c r="N67" s="56"/>
      <c r="O67" s="56"/>
      <c r="P67" s="56"/>
      <c r="Q67" s="56"/>
    </row>
    <row r="68">
      <c r="A68" s="11" t="s">
        <v>5</v>
      </c>
      <c r="B68" s="179" t="s">
        <v>762</v>
      </c>
      <c r="C68" s="62">
        <v>16.0</v>
      </c>
      <c r="D68" s="25" t="str">
        <f t="shared" si="4"/>
        <v>SÁB.</v>
      </c>
      <c r="E68" s="13">
        <f t="shared" si="2"/>
        <v>4</v>
      </c>
      <c r="F68" s="26"/>
      <c r="G68" s="56"/>
      <c r="H68" s="63">
        <v>26.12</v>
      </c>
      <c r="I68" s="33" t="s">
        <v>17</v>
      </c>
      <c r="J68" s="21" t="s">
        <v>763</v>
      </c>
      <c r="K68" s="56"/>
      <c r="L68" s="56"/>
      <c r="M68" s="56"/>
      <c r="N68" s="56"/>
      <c r="O68" s="56"/>
      <c r="P68" s="56"/>
      <c r="Q68" s="56"/>
    </row>
    <row r="69">
      <c r="A69" s="11" t="s">
        <v>5</v>
      </c>
      <c r="B69" s="179" t="s">
        <v>762</v>
      </c>
      <c r="C69" s="62">
        <v>16.0</v>
      </c>
      <c r="D69" s="25" t="str">
        <f t="shared" si="4"/>
        <v>SÁB.</v>
      </c>
      <c r="E69" s="13">
        <f t="shared" si="2"/>
        <v>4</v>
      </c>
      <c r="F69" s="26"/>
      <c r="G69" s="56"/>
      <c r="H69" s="63">
        <v>30.81</v>
      </c>
      <c r="I69" s="33" t="s">
        <v>17</v>
      </c>
      <c r="J69" s="21" t="s">
        <v>764</v>
      </c>
      <c r="K69" s="56"/>
      <c r="L69" s="56"/>
      <c r="M69" s="56"/>
      <c r="N69" s="56"/>
      <c r="O69" s="56"/>
      <c r="P69" s="56"/>
      <c r="Q69" s="56"/>
    </row>
    <row r="70">
      <c r="A70" s="11" t="s">
        <v>5</v>
      </c>
      <c r="B70" s="179" t="s">
        <v>765</v>
      </c>
      <c r="C70" s="62">
        <v>16.0</v>
      </c>
      <c r="D70" s="25" t="str">
        <f t="shared" si="4"/>
        <v>SÁB.</v>
      </c>
      <c r="E70" s="13">
        <f t="shared" si="2"/>
        <v>4</v>
      </c>
      <c r="F70" s="26"/>
      <c r="G70" s="56"/>
      <c r="H70" s="63">
        <v>28.0</v>
      </c>
      <c r="I70" s="33" t="s">
        <v>17</v>
      </c>
      <c r="J70" s="21" t="s">
        <v>756</v>
      </c>
      <c r="K70" s="56"/>
      <c r="L70" s="56"/>
      <c r="M70" s="56"/>
      <c r="N70" s="56"/>
      <c r="O70" s="56"/>
      <c r="P70" s="56"/>
      <c r="Q70" s="56"/>
    </row>
    <row r="71">
      <c r="A71" s="11" t="s">
        <v>5</v>
      </c>
      <c r="B71" s="103" t="s">
        <v>130</v>
      </c>
      <c r="C71" s="80">
        <v>17.0</v>
      </c>
      <c r="D71" s="81" t="str">
        <f t="shared" si="4"/>
        <v>DOM.</v>
      </c>
      <c r="E71" s="207">
        <f t="shared" si="2"/>
        <v>4</v>
      </c>
      <c r="F71" s="104"/>
      <c r="G71" s="70"/>
      <c r="H71" s="86">
        <v>16.93</v>
      </c>
      <c r="I71" s="142" t="s">
        <v>17</v>
      </c>
      <c r="J71" s="103" t="s">
        <v>766</v>
      </c>
      <c r="K71" s="84"/>
      <c r="L71" s="84"/>
      <c r="M71" s="84"/>
      <c r="N71" s="84"/>
      <c r="O71" s="84"/>
      <c r="P71" s="84"/>
      <c r="Q71" s="84"/>
    </row>
    <row r="72">
      <c r="A72" s="11" t="s">
        <v>5</v>
      </c>
      <c r="B72" s="76" t="s">
        <v>462</v>
      </c>
      <c r="C72" s="80">
        <v>17.0</v>
      </c>
      <c r="D72" s="81" t="str">
        <f t="shared" si="4"/>
        <v>DOM.</v>
      </c>
      <c r="E72" s="193">
        <f t="shared" si="2"/>
        <v>4</v>
      </c>
      <c r="F72" s="54"/>
      <c r="G72" s="31"/>
      <c r="H72" s="32">
        <v>255.48</v>
      </c>
      <c r="I72" s="180" t="s">
        <v>17</v>
      </c>
      <c r="J72" s="83" t="s">
        <v>31</v>
      </c>
      <c r="K72" s="77"/>
      <c r="L72" s="77"/>
      <c r="M72" s="77"/>
      <c r="N72" s="77"/>
      <c r="O72" s="77"/>
      <c r="P72" s="77"/>
      <c r="Q72" s="77"/>
    </row>
    <row r="73">
      <c r="A73" s="11" t="s">
        <v>5</v>
      </c>
      <c r="B73" s="103" t="s">
        <v>334</v>
      </c>
      <c r="C73" s="13">
        <v>18.0</v>
      </c>
      <c r="D73" s="14" t="str">
        <f t="shared" si="4"/>
        <v>SEG.</v>
      </c>
      <c r="E73" s="13">
        <f t="shared" si="2"/>
        <v>4</v>
      </c>
      <c r="F73" s="104"/>
      <c r="G73" s="70"/>
      <c r="H73" s="86">
        <v>37.9</v>
      </c>
      <c r="I73" s="105" t="s">
        <v>17</v>
      </c>
      <c r="J73" s="21" t="s">
        <v>767</v>
      </c>
      <c r="K73" s="84"/>
      <c r="L73" s="84"/>
      <c r="M73" s="84"/>
      <c r="N73" s="84"/>
      <c r="O73" s="84"/>
      <c r="P73" s="84"/>
      <c r="Q73" s="84"/>
    </row>
    <row r="74">
      <c r="A74" s="11" t="s">
        <v>5</v>
      </c>
      <c r="B74" s="103" t="s">
        <v>334</v>
      </c>
      <c r="C74" s="13">
        <v>18.0</v>
      </c>
      <c r="D74" s="14" t="str">
        <f t="shared" si="4"/>
        <v>SEG.</v>
      </c>
      <c r="E74" s="13">
        <f t="shared" si="2"/>
        <v>4</v>
      </c>
      <c r="F74" s="104"/>
      <c r="G74" s="70"/>
      <c r="H74" s="86">
        <v>41.66</v>
      </c>
      <c r="I74" s="105" t="s">
        <v>17</v>
      </c>
      <c r="J74" s="21" t="s">
        <v>768</v>
      </c>
      <c r="K74" s="84"/>
      <c r="L74" s="84"/>
      <c r="M74" s="84"/>
      <c r="N74" s="84"/>
      <c r="O74" s="84"/>
      <c r="P74" s="84"/>
      <c r="Q74" s="84"/>
    </row>
    <row r="75">
      <c r="A75" s="97" t="s">
        <v>5</v>
      </c>
      <c r="B75" s="76" t="s">
        <v>769</v>
      </c>
      <c r="C75" s="73">
        <v>19.0</v>
      </c>
      <c r="D75" s="74" t="str">
        <f t="shared" si="4"/>
        <v>TER.</v>
      </c>
      <c r="E75" s="193">
        <f t="shared" si="2"/>
        <v>4</v>
      </c>
      <c r="F75" s="30"/>
      <c r="G75" s="86">
        <v>1000.0</v>
      </c>
      <c r="H75" s="46"/>
      <c r="I75" s="58" t="s">
        <v>13</v>
      </c>
      <c r="J75" s="76" t="s">
        <v>770</v>
      </c>
      <c r="K75" s="77"/>
      <c r="L75" s="77"/>
      <c r="M75" s="77"/>
      <c r="N75" s="77"/>
      <c r="O75" s="77"/>
      <c r="P75" s="77"/>
      <c r="Q75" s="77"/>
    </row>
    <row r="76">
      <c r="A76" s="78" t="s">
        <v>5</v>
      </c>
      <c r="B76" s="69" t="s">
        <v>771</v>
      </c>
      <c r="C76" s="150">
        <v>19.0</v>
      </c>
      <c r="D76" s="81" t="str">
        <f t="shared" si="4"/>
        <v>TER.</v>
      </c>
      <c r="E76" s="210">
        <f t="shared" si="2"/>
        <v>4</v>
      </c>
      <c r="F76" s="35"/>
      <c r="G76" s="70"/>
      <c r="H76" s="36">
        <v>98.9</v>
      </c>
      <c r="I76" s="47" t="s">
        <v>17</v>
      </c>
      <c r="J76" s="79" t="s">
        <v>20</v>
      </c>
      <c r="K76" s="70"/>
      <c r="L76" s="70"/>
      <c r="M76" s="70"/>
      <c r="N76" s="70"/>
      <c r="O76" s="70"/>
      <c r="P76" s="70"/>
      <c r="Q76" s="70"/>
    </row>
    <row r="77">
      <c r="A77" s="11" t="s">
        <v>5</v>
      </c>
      <c r="B77" s="39" t="s">
        <v>125</v>
      </c>
      <c r="C77" s="13">
        <v>20.0</v>
      </c>
      <c r="D77" s="14" t="str">
        <f t="shared" si="4"/>
        <v>QUA.</v>
      </c>
      <c r="E77" s="13">
        <f t="shared" si="2"/>
        <v>4</v>
      </c>
      <c r="F77" s="87">
        <v>44665.0</v>
      </c>
      <c r="G77" s="45"/>
      <c r="H77" s="46">
        <v>342.83</v>
      </c>
      <c r="I77" s="58" t="s">
        <v>17</v>
      </c>
      <c r="J77" s="21" t="s">
        <v>126</v>
      </c>
      <c r="K77" s="39"/>
      <c r="L77" s="39"/>
      <c r="M77" s="39"/>
      <c r="N77" s="39"/>
      <c r="O77" s="39"/>
      <c r="P77" s="39"/>
      <c r="Q77" s="39"/>
    </row>
    <row r="78">
      <c r="A78" s="95" t="s">
        <v>5</v>
      </c>
      <c r="B78" s="42" t="s">
        <v>713</v>
      </c>
      <c r="C78" s="66">
        <v>20.0</v>
      </c>
      <c r="D78" s="14" t="str">
        <f t="shared" si="4"/>
        <v>QUA.</v>
      </c>
      <c r="E78" s="144">
        <f t="shared" si="2"/>
        <v>4</v>
      </c>
      <c r="F78" s="43"/>
      <c r="G78" s="53">
        <v>150.0</v>
      </c>
      <c r="H78" s="45"/>
      <c r="I78" s="65" t="s">
        <v>17</v>
      </c>
      <c r="J78" s="42" t="s">
        <v>390</v>
      </c>
      <c r="K78" s="68"/>
      <c r="L78" s="68"/>
      <c r="M78" s="68"/>
      <c r="N78" s="68"/>
      <c r="O78" s="68"/>
      <c r="P78" s="68"/>
      <c r="Q78" s="68"/>
    </row>
    <row r="79">
      <c r="A79" s="158" t="s">
        <v>5</v>
      </c>
      <c r="B79" s="40" t="s">
        <v>714</v>
      </c>
      <c r="C79" s="62">
        <v>20.0</v>
      </c>
      <c r="D79" s="25" t="str">
        <f t="shared" si="4"/>
        <v>QUA.</v>
      </c>
      <c r="E79" s="184">
        <f t="shared" si="2"/>
        <v>4</v>
      </c>
      <c r="F79" s="26"/>
      <c r="G79" s="56"/>
      <c r="H79" s="53">
        <v>150.0</v>
      </c>
      <c r="I79" s="23" t="s">
        <v>17</v>
      </c>
      <c r="J79" s="173" t="s">
        <v>391</v>
      </c>
      <c r="K79" s="59"/>
      <c r="L79" s="59"/>
      <c r="M79" s="59"/>
      <c r="N79" s="59"/>
      <c r="O79" s="59"/>
      <c r="P79" s="59"/>
      <c r="Q79" s="59"/>
    </row>
    <row r="80">
      <c r="A80" s="11" t="s">
        <v>5</v>
      </c>
      <c r="B80" s="79" t="s">
        <v>73</v>
      </c>
      <c r="C80" s="80">
        <v>21.0</v>
      </c>
      <c r="D80" s="81" t="str">
        <f t="shared" si="4"/>
        <v>QUI.</v>
      </c>
      <c r="E80" s="13">
        <f t="shared" si="2"/>
        <v>4</v>
      </c>
      <c r="F80" s="35"/>
      <c r="G80" s="70"/>
      <c r="H80" s="36">
        <v>41.5</v>
      </c>
      <c r="I80" s="152" t="s">
        <v>17</v>
      </c>
      <c r="J80" s="199" t="s">
        <v>20</v>
      </c>
      <c r="K80" s="106"/>
      <c r="L80" s="106"/>
      <c r="M80" s="106"/>
      <c r="N80" s="106"/>
      <c r="O80" s="84"/>
      <c r="P80" s="84"/>
      <c r="Q80" s="84"/>
    </row>
    <row r="81">
      <c r="A81" s="11" t="s">
        <v>5</v>
      </c>
      <c r="B81" s="34" t="s">
        <v>373</v>
      </c>
      <c r="C81" s="13">
        <v>22.0</v>
      </c>
      <c r="D81" s="14" t="str">
        <f t="shared" si="4"/>
        <v>SEX.</v>
      </c>
      <c r="E81" s="13">
        <f t="shared" si="2"/>
        <v>4</v>
      </c>
      <c r="F81" s="94"/>
      <c r="G81" s="56"/>
      <c r="H81" s="63">
        <v>0.0</v>
      </c>
      <c r="I81" s="58" t="s">
        <v>17</v>
      </c>
      <c r="J81" s="21" t="s">
        <v>128</v>
      </c>
      <c r="K81" s="61"/>
      <c r="L81" s="61"/>
      <c r="M81" s="61"/>
      <c r="N81" s="61"/>
      <c r="O81" s="61"/>
      <c r="P81" s="61"/>
      <c r="Q81" s="61"/>
    </row>
    <row r="82">
      <c r="A82" s="11" t="s">
        <v>5</v>
      </c>
      <c r="B82" s="39" t="s">
        <v>134</v>
      </c>
      <c r="C82" s="13">
        <v>22.0</v>
      </c>
      <c r="D82" s="14" t="str">
        <f t="shared" si="4"/>
        <v>SEX.</v>
      </c>
      <c r="E82" s="13">
        <f t="shared" si="2"/>
        <v>4</v>
      </c>
      <c r="F82" s="43"/>
      <c r="G82" s="45"/>
      <c r="H82" s="46">
        <v>259.25</v>
      </c>
      <c r="I82" s="60" t="s">
        <v>13</v>
      </c>
      <c r="J82" s="21" t="s">
        <v>135</v>
      </c>
      <c r="K82" s="39"/>
      <c r="L82" s="39"/>
      <c r="M82" s="39"/>
      <c r="N82" s="39"/>
      <c r="O82" s="39"/>
      <c r="P82" s="39"/>
      <c r="Q82" s="39"/>
    </row>
    <row r="83">
      <c r="A83" s="11" t="s">
        <v>5</v>
      </c>
      <c r="B83" s="83" t="s">
        <v>772</v>
      </c>
      <c r="C83" s="80">
        <v>23.0</v>
      </c>
      <c r="D83" s="81" t="str">
        <f t="shared" si="4"/>
        <v>SÁB.</v>
      </c>
      <c r="E83" s="13">
        <f t="shared" si="2"/>
        <v>4</v>
      </c>
      <c r="F83" s="35"/>
      <c r="G83" s="70"/>
      <c r="H83" s="36">
        <v>99.0</v>
      </c>
      <c r="I83" s="152" t="s">
        <v>17</v>
      </c>
      <c r="J83" s="103" t="s">
        <v>773</v>
      </c>
      <c r="K83" s="106"/>
      <c r="L83" s="106"/>
      <c r="M83" s="106"/>
      <c r="N83" s="106"/>
      <c r="O83" s="84"/>
      <c r="P83" s="84"/>
      <c r="Q83" s="84"/>
    </row>
    <row r="84">
      <c r="A84" s="11" t="s">
        <v>5</v>
      </c>
      <c r="B84" s="83" t="s">
        <v>774</v>
      </c>
      <c r="C84" s="80">
        <v>23.0</v>
      </c>
      <c r="D84" s="81" t="str">
        <f t="shared" si="4"/>
        <v>SÁB.</v>
      </c>
      <c r="E84" s="13">
        <f t="shared" si="2"/>
        <v>4</v>
      </c>
      <c r="F84" s="35"/>
      <c r="G84" s="70"/>
      <c r="H84" s="36">
        <v>128.0</v>
      </c>
      <c r="I84" s="152" t="s">
        <v>17</v>
      </c>
      <c r="J84" s="103" t="s">
        <v>775</v>
      </c>
      <c r="K84" s="106"/>
      <c r="L84" s="106"/>
      <c r="M84" s="106"/>
      <c r="N84" s="106"/>
      <c r="O84" s="84"/>
      <c r="P84" s="84"/>
      <c r="Q84" s="84"/>
    </row>
    <row r="85">
      <c r="A85" s="11" t="s">
        <v>5</v>
      </c>
      <c r="B85" s="44" t="s">
        <v>776</v>
      </c>
      <c r="C85" s="13">
        <v>26.0</v>
      </c>
      <c r="D85" s="14" t="str">
        <f t="shared" si="4"/>
        <v>TER.</v>
      </c>
      <c r="E85" s="13">
        <f t="shared" si="2"/>
        <v>4</v>
      </c>
      <c r="F85" s="85"/>
      <c r="G85" s="45"/>
      <c r="H85" s="46">
        <v>200.0</v>
      </c>
      <c r="I85" s="58" t="s">
        <v>17</v>
      </c>
      <c r="J85" s="21" t="s">
        <v>777</v>
      </c>
      <c r="K85" s="21"/>
      <c r="L85" s="21"/>
      <c r="M85" s="21"/>
      <c r="N85" s="21"/>
      <c r="O85" s="39"/>
      <c r="P85" s="39"/>
      <c r="Q85" s="39"/>
    </row>
    <row r="86">
      <c r="A86" s="71" t="s">
        <v>5</v>
      </c>
      <c r="B86" s="29" t="s">
        <v>518</v>
      </c>
      <c r="C86" s="73">
        <v>26.0</v>
      </c>
      <c r="D86" s="74" t="str">
        <f t="shared" si="4"/>
        <v>TER.</v>
      </c>
      <c r="E86" s="193">
        <f t="shared" si="2"/>
        <v>4</v>
      </c>
      <c r="F86" s="30"/>
      <c r="G86" s="31"/>
      <c r="H86" s="32">
        <v>37.14</v>
      </c>
      <c r="I86" s="71" t="s">
        <v>252</v>
      </c>
      <c r="J86" s="72" t="s">
        <v>22</v>
      </c>
      <c r="K86" s="31"/>
      <c r="L86" s="31"/>
      <c r="M86" s="31"/>
      <c r="N86" s="31"/>
      <c r="O86" s="31"/>
      <c r="P86" s="31"/>
      <c r="Q86" s="31"/>
    </row>
    <row r="87">
      <c r="A87" s="11" t="s">
        <v>5</v>
      </c>
      <c r="B87" s="40" t="s">
        <v>248</v>
      </c>
      <c r="C87" s="62">
        <v>29.0</v>
      </c>
      <c r="D87" s="25" t="str">
        <f t="shared" si="4"/>
        <v>SEX.</v>
      </c>
      <c r="E87" s="13">
        <f t="shared" si="2"/>
        <v>4</v>
      </c>
      <c r="F87" s="26"/>
      <c r="G87" s="63">
        <v>330.0</v>
      </c>
      <c r="H87" s="101"/>
      <c r="I87" s="60" t="s">
        <v>249</v>
      </c>
      <c r="J87" s="90" t="s">
        <v>253</v>
      </c>
      <c r="K87" s="59"/>
      <c r="L87" s="59"/>
      <c r="M87" s="59"/>
      <c r="N87" s="59"/>
      <c r="O87" s="59"/>
      <c r="P87" s="59"/>
      <c r="Q87" s="59"/>
    </row>
    <row r="88">
      <c r="A88" s="11" t="s">
        <v>5</v>
      </c>
      <c r="B88" s="42" t="s">
        <v>251</v>
      </c>
      <c r="C88" s="62">
        <v>29.0</v>
      </c>
      <c r="D88" s="14" t="str">
        <f t="shared" si="4"/>
        <v>SEX.</v>
      </c>
      <c r="E88" s="13">
        <f t="shared" si="2"/>
        <v>4</v>
      </c>
      <c r="F88" s="43"/>
      <c r="G88" s="46">
        <v>700.0</v>
      </c>
      <c r="H88" s="53"/>
      <c r="I88" s="65" t="s">
        <v>252</v>
      </c>
      <c r="J88" s="42" t="s">
        <v>253</v>
      </c>
      <c r="K88" s="68"/>
      <c r="L88" s="68"/>
      <c r="M88" s="68"/>
      <c r="N88" s="68"/>
      <c r="O88" s="68"/>
      <c r="P88" s="68"/>
      <c r="Q88" s="68"/>
    </row>
    <row r="89">
      <c r="A89" s="11" t="s">
        <v>5</v>
      </c>
      <c r="B89" s="69" t="s">
        <v>531</v>
      </c>
      <c r="C89" s="13">
        <v>29.0</v>
      </c>
      <c r="D89" s="14" t="str">
        <f t="shared" si="4"/>
        <v>SEX.</v>
      </c>
      <c r="E89" s="13">
        <f t="shared" si="2"/>
        <v>4</v>
      </c>
      <c r="F89" s="54"/>
      <c r="G89" s="36">
        <v>3495.13</v>
      </c>
      <c r="H89" s="70"/>
      <c r="I89" s="47" t="s">
        <v>261</v>
      </c>
      <c r="J89" s="21" t="s">
        <v>532</v>
      </c>
      <c r="K89" s="70"/>
      <c r="L89" s="70"/>
      <c r="M89" s="70"/>
      <c r="N89" s="70"/>
      <c r="O89" s="70"/>
      <c r="P89" s="70"/>
      <c r="Q89" s="70"/>
    </row>
    <row r="90">
      <c r="A90" s="11" t="s">
        <v>25</v>
      </c>
      <c r="B90" s="61" t="s">
        <v>26</v>
      </c>
      <c r="C90" s="62">
        <v>29.0</v>
      </c>
      <c r="D90" s="25" t="str">
        <f t="shared" si="4"/>
        <v>SEX.</v>
      </c>
      <c r="E90" s="13">
        <f t="shared" si="2"/>
        <v>4</v>
      </c>
      <c r="F90" s="26"/>
      <c r="G90" s="56"/>
      <c r="H90" s="36">
        <v>3495.13</v>
      </c>
      <c r="I90" s="64" t="s">
        <v>261</v>
      </c>
      <c r="J90" s="40"/>
      <c r="K90" s="59"/>
      <c r="L90" s="59"/>
      <c r="M90" s="59"/>
      <c r="N90" s="59"/>
      <c r="O90" s="59"/>
      <c r="P90" s="59"/>
      <c r="Q90" s="59"/>
    </row>
    <row r="91">
      <c r="A91" s="11" t="s">
        <v>25</v>
      </c>
      <c r="B91" s="39" t="s">
        <v>27</v>
      </c>
      <c r="C91" s="62">
        <v>29.0</v>
      </c>
      <c r="D91" s="14" t="str">
        <f t="shared" si="4"/>
        <v>SEX.</v>
      </c>
      <c r="E91" s="13">
        <f t="shared" si="2"/>
        <v>4</v>
      </c>
      <c r="F91" s="43"/>
      <c r="G91" s="36">
        <v>3495.13</v>
      </c>
      <c r="H91" s="45"/>
      <c r="I91" s="67" t="s">
        <v>17</v>
      </c>
      <c r="J91" s="42"/>
      <c r="K91" s="68"/>
      <c r="L91" s="68"/>
      <c r="M91" s="68"/>
      <c r="N91" s="68"/>
      <c r="O91" s="68"/>
      <c r="P91" s="68"/>
      <c r="Q91" s="68"/>
    </row>
    <row r="92">
      <c r="A92" s="78" t="s">
        <v>5</v>
      </c>
      <c r="B92" s="69" t="s">
        <v>778</v>
      </c>
      <c r="C92" s="150">
        <v>29.0</v>
      </c>
      <c r="D92" s="81" t="str">
        <f t="shared" si="4"/>
        <v>SEX.</v>
      </c>
      <c r="E92" s="210">
        <f t="shared" si="2"/>
        <v>4</v>
      </c>
      <c r="F92" s="35"/>
      <c r="G92" s="70"/>
      <c r="H92" s="36">
        <v>77.5</v>
      </c>
      <c r="I92" s="47" t="s">
        <v>17</v>
      </c>
      <c r="J92" s="79" t="s">
        <v>20</v>
      </c>
      <c r="K92" s="70"/>
      <c r="L92" s="70"/>
      <c r="M92" s="70"/>
      <c r="N92" s="70"/>
      <c r="O92" s="70"/>
      <c r="P92" s="70"/>
      <c r="Q92" s="70"/>
    </row>
    <row r="93">
      <c r="A93" s="11" t="s">
        <v>5</v>
      </c>
      <c r="B93" s="76" t="s">
        <v>622</v>
      </c>
      <c r="C93" s="73">
        <v>30.0</v>
      </c>
      <c r="D93" s="74" t="str">
        <f t="shared" si="4"/>
        <v>SÁB.</v>
      </c>
      <c r="E93" s="13">
        <f t="shared" si="2"/>
        <v>4</v>
      </c>
      <c r="F93" s="54"/>
      <c r="G93" s="31"/>
      <c r="H93" s="32">
        <v>400.0</v>
      </c>
      <c r="I93" s="71" t="s">
        <v>17</v>
      </c>
      <c r="J93" s="76" t="s">
        <v>623</v>
      </c>
      <c r="K93" s="77"/>
      <c r="L93" s="77"/>
      <c r="M93" s="77"/>
      <c r="N93" s="77"/>
      <c r="O93" s="77"/>
      <c r="P93" s="77"/>
      <c r="Q93" s="77"/>
    </row>
    <row r="94">
      <c r="A94" s="11" t="s">
        <v>5</v>
      </c>
      <c r="B94" s="179" t="s">
        <v>779</v>
      </c>
      <c r="C94" s="62">
        <v>30.0</v>
      </c>
      <c r="D94" s="25" t="str">
        <f t="shared" si="4"/>
        <v>SÁB.</v>
      </c>
      <c r="E94" s="13">
        <f t="shared" si="2"/>
        <v>4</v>
      </c>
      <c r="F94" s="26"/>
      <c r="G94" s="56"/>
      <c r="H94" s="63">
        <v>64.0</v>
      </c>
      <c r="I94" s="33" t="s">
        <v>17</v>
      </c>
      <c r="J94" s="21" t="s">
        <v>756</v>
      </c>
      <c r="K94" s="56"/>
      <c r="L94" s="56"/>
      <c r="M94" s="56"/>
      <c r="N94" s="56"/>
      <c r="O94" s="56"/>
      <c r="P94" s="56"/>
      <c r="Q94" s="56"/>
    </row>
    <row r="95">
      <c r="A95" s="102" t="s">
        <v>5</v>
      </c>
      <c r="B95" s="69" t="s">
        <v>780</v>
      </c>
      <c r="C95" s="207">
        <v>30.0</v>
      </c>
      <c r="D95" s="81" t="str">
        <f t="shared" si="4"/>
        <v>SÁB.</v>
      </c>
      <c r="E95" s="207">
        <f t="shared" si="2"/>
        <v>4</v>
      </c>
      <c r="F95" s="35"/>
      <c r="G95" s="70"/>
      <c r="H95" s="36">
        <v>8.99</v>
      </c>
      <c r="I95" s="142" t="s">
        <v>17</v>
      </c>
      <c r="J95" s="199" t="s">
        <v>763</v>
      </c>
      <c r="K95" s="70"/>
      <c r="L95" s="70"/>
      <c r="M95" s="70"/>
      <c r="N95" s="70"/>
      <c r="O95" s="70"/>
      <c r="P95" s="70"/>
      <c r="Q95" s="70"/>
    </row>
    <row r="96">
      <c r="A96" s="11" t="s">
        <v>5</v>
      </c>
      <c r="B96" s="179" t="s">
        <v>762</v>
      </c>
      <c r="C96" s="62">
        <v>30.0</v>
      </c>
      <c r="D96" s="25" t="str">
        <f t="shared" si="4"/>
        <v>SÁB.</v>
      </c>
      <c r="E96" s="13">
        <f t="shared" si="2"/>
        <v>4</v>
      </c>
      <c r="F96" s="26"/>
      <c r="G96" s="56"/>
      <c r="H96" s="63">
        <v>18.24</v>
      </c>
      <c r="I96" s="33" t="s">
        <v>17</v>
      </c>
      <c r="J96" s="21" t="s">
        <v>763</v>
      </c>
      <c r="K96" s="56"/>
      <c r="L96" s="56"/>
      <c r="M96" s="56"/>
      <c r="N96" s="56"/>
      <c r="O96" s="56"/>
      <c r="P96" s="56"/>
      <c r="Q96" s="56"/>
    </row>
    <row r="97">
      <c r="A97" s="11" t="s">
        <v>5</v>
      </c>
      <c r="B97" s="179" t="s">
        <v>762</v>
      </c>
      <c r="C97" s="62">
        <v>30.0</v>
      </c>
      <c r="D97" s="25" t="str">
        <f t="shared" si="4"/>
        <v>SÁB.</v>
      </c>
      <c r="E97" s="13">
        <f t="shared" si="2"/>
        <v>4</v>
      </c>
      <c r="F97" s="26"/>
      <c r="G97" s="56"/>
      <c r="H97" s="63">
        <v>27.29</v>
      </c>
      <c r="I97" s="33" t="s">
        <v>17</v>
      </c>
      <c r="J97" s="21" t="s">
        <v>764</v>
      </c>
      <c r="K97" s="56"/>
      <c r="L97" s="56"/>
      <c r="M97" s="56"/>
      <c r="N97" s="56"/>
      <c r="O97" s="56"/>
      <c r="P97" s="56"/>
      <c r="Q97" s="56"/>
    </row>
    <row r="98">
      <c r="A98" s="158" t="s">
        <v>5</v>
      </c>
      <c r="B98" s="90" t="s">
        <v>781</v>
      </c>
      <c r="C98" s="33">
        <v>30.0</v>
      </c>
      <c r="D98" s="14" t="str">
        <f t="shared" si="4"/>
        <v>SÁB.</v>
      </c>
      <c r="E98" s="13">
        <f t="shared" si="2"/>
        <v>4</v>
      </c>
      <c r="F98" s="146"/>
      <c r="G98" s="212"/>
      <c r="H98" s="36">
        <v>20.0</v>
      </c>
      <c r="I98" s="213" t="s">
        <v>17</v>
      </c>
      <c r="J98" s="55" t="s">
        <v>415</v>
      </c>
      <c r="K98" s="55"/>
      <c r="L98" s="214"/>
      <c r="M98" s="39"/>
      <c r="N98" s="39"/>
      <c r="O98" s="39"/>
      <c r="P98" s="39"/>
      <c r="Q98" s="39"/>
    </row>
    <row r="99">
      <c r="A99" s="11" t="s">
        <v>5</v>
      </c>
      <c r="B99" s="177" t="s">
        <v>21</v>
      </c>
      <c r="C99" s="62">
        <v>30.0</v>
      </c>
      <c r="D99" s="25" t="str">
        <f t="shared" si="4"/>
        <v>SÁB.</v>
      </c>
      <c r="E99" s="13">
        <f t="shared" si="2"/>
        <v>4</v>
      </c>
      <c r="F99" s="26"/>
      <c r="G99" s="56"/>
      <c r="H99" s="63">
        <v>153.21</v>
      </c>
      <c r="I99" s="33" t="s">
        <v>252</v>
      </c>
      <c r="J99" s="173" t="s">
        <v>22</v>
      </c>
      <c r="K99" s="56"/>
      <c r="L99" s="56"/>
      <c r="M99" s="56"/>
      <c r="N99" s="56"/>
      <c r="O99" s="56"/>
      <c r="P99" s="56"/>
      <c r="Q99" s="56"/>
    </row>
    <row r="100">
      <c r="A100" s="11"/>
      <c r="B100" s="59"/>
      <c r="C100" s="26"/>
      <c r="D100" s="107"/>
      <c r="E100" s="26"/>
      <c r="F100" s="26"/>
      <c r="G100" s="56"/>
      <c r="H100" s="56"/>
      <c r="I100" s="47"/>
      <c r="J100" s="21"/>
      <c r="K100" s="59"/>
      <c r="L100" s="59"/>
      <c r="M100" s="59"/>
      <c r="N100" s="59"/>
      <c r="O100" s="59"/>
      <c r="P100" s="59"/>
      <c r="Q100" s="59"/>
    </row>
    <row r="101">
      <c r="A101" s="11"/>
      <c r="B101" s="68"/>
      <c r="C101" s="43"/>
      <c r="D101" s="108"/>
      <c r="E101" s="43"/>
      <c r="F101" s="43"/>
      <c r="G101" s="45"/>
      <c r="H101" s="45"/>
      <c r="I101" s="47"/>
      <c r="J101" s="21"/>
      <c r="K101" s="68"/>
      <c r="L101" s="68"/>
      <c r="M101" s="68"/>
      <c r="N101" s="68"/>
      <c r="O101" s="68"/>
      <c r="P101" s="68"/>
      <c r="Q101" s="68"/>
    </row>
    <row r="102">
      <c r="A102" s="109"/>
      <c r="B102" s="110"/>
      <c r="C102" s="111"/>
      <c r="D102" s="112"/>
      <c r="E102" s="111"/>
      <c r="F102" s="111"/>
      <c r="G102" s="113"/>
      <c r="H102" s="113"/>
      <c r="I102" s="114"/>
      <c r="J102" s="21"/>
      <c r="K102" s="110"/>
      <c r="L102" s="110"/>
      <c r="M102" s="110"/>
      <c r="N102" s="110"/>
      <c r="O102" s="110"/>
      <c r="P102" s="110"/>
      <c r="Q102" s="110"/>
    </row>
    <row r="103" ht="15.75" customHeight="1">
      <c r="A103" s="115"/>
      <c r="B103" s="116" t="s">
        <v>142</v>
      </c>
      <c r="C103" s="117"/>
      <c r="D103" s="118"/>
      <c r="E103" s="119"/>
      <c r="F103" s="119"/>
      <c r="G103" s="120">
        <f>SUMIF(A3:A102,"PAGO",G3:G102)</f>
        <v>18042.27</v>
      </c>
      <c r="H103" s="120">
        <f>SUMIF(A3:A102,"PAGO",H3:H102)</f>
        <v>9853.02</v>
      </c>
      <c r="I103" s="121"/>
      <c r="J103" s="117"/>
      <c r="K103" s="120">
        <f t="shared" ref="K103:K104" si="5">G103-H103</f>
        <v>8189.25</v>
      </c>
      <c r="L103" s="120"/>
      <c r="M103" s="120"/>
      <c r="N103" s="120"/>
      <c r="O103" s="120"/>
      <c r="P103" s="120"/>
      <c r="Q103" s="120"/>
    </row>
    <row r="104" ht="15.75" customHeight="1">
      <c r="A104" s="115"/>
      <c r="B104" s="122" t="s">
        <v>143</v>
      </c>
      <c r="C104" s="117"/>
      <c r="D104" s="123"/>
      <c r="E104" s="124"/>
      <c r="F104" s="124"/>
      <c r="G104" s="125">
        <f>SUMIF(A3:A102,"PAGO",G3:G102) + SUMIF(A3:A102,"PREVISTO",G3:G102)</f>
        <v>18042.27</v>
      </c>
      <c r="H104" s="125">
        <f>SUMIF(A3:A102,"PAGO",H3:H102) + SUMIF(A3:A102,"PREVISTO",H3:H102)</f>
        <v>9853.02</v>
      </c>
      <c r="I104" s="121"/>
      <c r="J104" s="122" t="s">
        <v>144</v>
      </c>
      <c r="K104" s="125">
        <f t="shared" si="5"/>
        <v>8189.25</v>
      </c>
      <c r="L104" s="125"/>
      <c r="M104" s="125"/>
      <c r="N104" s="125"/>
      <c r="O104" s="125"/>
      <c r="P104" s="125"/>
      <c r="Q104" s="125"/>
    </row>
    <row r="105">
      <c r="A105" s="126"/>
      <c r="B105" s="127"/>
      <c r="C105" s="93"/>
      <c r="D105" s="128"/>
      <c r="E105" s="129"/>
      <c r="F105" s="129"/>
      <c r="G105" s="130"/>
      <c r="H105" s="130"/>
      <c r="I105" s="131"/>
      <c r="J105" s="132" t="s">
        <v>13</v>
      </c>
      <c r="K105" s="133">
        <f t="shared" ref="K105:K111" si="6">(SUMIFS($G$3:$G$102,$I$3:$I$102,J105,$A$3:$A$102,"PAGO") + SUMIFS($G$3:$G$102,$I$3:$I$102,J105,$A$3:$A$102,"CONTAS")) - (SUMIFS($H$3:$H$102,$I$3:$I$102,J105,$A$3:$A$102,"PAGO") + SUMIFS($H$3:$H$102,$I$3:$I$102,J105,$A$3:$A$102,"CONTAS"))</f>
        <v>1101.87</v>
      </c>
      <c r="L105" s="133"/>
      <c r="M105" s="133"/>
      <c r="N105" s="133"/>
      <c r="O105" s="133"/>
      <c r="P105" s="133"/>
      <c r="Q105" s="133"/>
    </row>
    <row r="106">
      <c r="A106" s="134"/>
      <c r="B106" s="135"/>
      <c r="C106" s="93"/>
      <c r="D106" s="128"/>
      <c r="E106" s="129"/>
      <c r="F106" s="129"/>
      <c r="G106" s="130"/>
      <c r="H106" s="130"/>
      <c r="I106" s="131"/>
      <c r="J106" s="132" t="s">
        <v>15</v>
      </c>
      <c r="K106" s="133">
        <f t="shared" si="6"/>
        <v>30</v>
      </c>
      <c r="L106" s="133"/>
      <c r="M106" s="133"/>
      <c r="N106" s="133"/>
      <c r="O106" s="133"/>
      <c r="P106" s="133"/>
      <c r="Q106" s="133"/>
    </row>
    <row r="107">
      <c r="A107" s="134"/>
      <c r="B107" s="136"/>
      <c r="C107" s="137"/>
      <c r="D107" s="128"/>
      <c r="E107" s="129"/>
      <c r="F107" s="129"/>
      <c r="G107" s="130"/>
      <c r="H107" s="130"/>
      <c r="I107" s="131"/>
      <c r="J107" s="132" t="s">
        <v>17</v>
      </c>
      <c r="K107" s="133">
        <f t="shared" si="6"/>
        <v>5768.66</v>
      </c>
      <c r="L107" s="133"/>
      <c r="M107" s="133"/>
      <c r="N107" s="133"/>
      <c r="O107" s="133"/>
      <c r="P107" s="133"/>
      <c r="Q107" s="133"/>
    </row>
    <row r="108">
      <c r="A108" s="134"/>
      <c r="B108" s="93"/>
      <c r="C108" s="137"/>
      <c r="D108" s="138"/>
      <c r="E108" s="139"/>
      <c r="F108" s="139"/>
      <c r="G108" s="140"/>
      <c r="H108" s="140"/>
      <c r="I108" s="131"/>
      <c r="J108" s="132" t="s">
        <v>18</v>
      </c>
      <c r="K108" s="133">
        <f t="shared" si="6"/>
        <v>4.52</v>
      </c>
      <c r="L108" s="133"/>
      <c r="M108" s="133"/>
      <c r="N108" s="133"/>
      <c r="O108" s="133"/>
      <c r="P108" s="133"/>
      <c r="Q108" s="133"/>
    </row>
    <row r="109">
      <c r="A109" s="134"/>
      <c r="B109" s="137"/>
      <c r="C109" s="93"/>
      <c r="D109" s="138"/>
      <c r="E109" s="139"/>
      <c r="F109" s="139"/>
      <c r="G109" s="140"/>
      <c r="H109" s="140"/>
      <c r="I109" s="131"/>
      <c r="J109" s="183" t="s">
        <v>261</v>
      </c>
      <c r="K109" s="133">
        <f t="shared" si="6"/>
        <v>0</v>
      </c>
      <c r="L109" s="93"/>
      <c r="M109" s="93"/>
      <c r="N109" s="93"/>
      <c r="O109" s="93"/>
      <c r="P109" s="93"/>
      <c r="Q109" s="93"/>
    </row>
    <row r="110">
      <c r="A110" s="134"/>
      <c r="B110" s="137"/>
      <c r="C110" s="93"/>
      <c r="D110" s="138"/>
      <c r="E110" s="139"/>
      <c r="F110" s="139"/>
      <c r="G110" s="140"/>
      <c r="H110" s="140"/>
      <c r="I110" s="131"/>
      <c r="J110" s="182" t="s">
        <v>252</v>
      </c>
      <c r="K110" s="133">
        <f t="shared" si="6"/>
        <v>943.67</v>
      </c>
      <c r="L110" s="93"/>
      <c r="M110" s="93"/>
      <c r="N110" s="93"/>
      <c r="O110" s="93"/>
      <c r="P110" s="93"/>
      <c r="Q110" s="93"/>
    </row>
    <row r="111">
      <c r="A111" s="134"/>
      <c r="B111" s="137"/>
      <c r="C111" s="93"/>
      <c r="D111" s="138"/>
      <c r="E111" s="139"/>
      <c r="F111" s="139"/>
      <c r="G111" s="140"/>
      <c r="H111" s="140"/>
      <c r="I111" s="131"/>
      <c r="J111" s="182" t="s">
        <v>249</v>
      </c>
      <c r="K111" s="133">
        <f t="shared" si="6"/>
        <v>340.53</v>
      </c>
      <c r="L111" s="93"/>
      <c r="M111" s="93"/>
      <c r="N111" s="93"/>
      <c r="O111" s="93"/>
      <c r="P111" s="93"/>
      <c r="Q111" s="93"/>
    </row>
    <row r="112">
      <c r="A112" s="134"/>
      <c r="B112" s="137"/>
      <c r="C112" s="93"/>
      <c r="D112" s="138"/>
      <c r="E112" s="139"/>
      <c r="F112" s="139"/>
      <c r="G112" s="140"/>
      <c r="H112" s="140"/>
      <c r="I112" s="131"/>
      <c r="J112" s="219"/>
      <c r="K112" s="93"/>
      <c r="L112" s="93"/>
      <c r="M112" s="93"/>
      <c r="N112" s="93"/>
      <c r="O112" s="93"/>
      <c r="P112" s="93"/>
      <c r="Q112" s="93"/>
    </row>
  </sheetData>
  <customSheetViews>
    <customSheetView guid="{55ED7845-B94B-4003-AD57-D4008EE7E009}" filter="1" showAutoFilter="1">
      <autoFilter ref="$A$2:$K$12"/>
    </customSheetView>
    <customSheetView guid="{FF238D65-B29E-47B3-BB76-09A78DB37DDE}" filter="1" showAutoFilter="1">
      <autoFilter ref="$A$2:$K$3"/>
    </customSheetView>
    <customSheetView guid="{F6E0E906-D63E-467F-B486-84E6C0126E80}" filter="1" showAutoFilter="1">
      <autoFilter ref="$A$2:$K$3"/>
    </customSheetView>
    <customSheetView guid="{8E320149-1ED8-4245-AE83-2AF08A85D2EE}" filter="1" showAutoFilter="1">
      <autoFilter ref="$A$2:$K$3"/>
    </customSheetView>
    <customSheetView guid="{5F890A4C-8AFA-4126-80E7-AF0191C5590F}" filter="1" showAutoFilter="1">
      <autoFilter ref="$A$2:$K$3"/>
    </customSheetView>
  </customSheetViews>
  <conditionalFormatting sqref="A3:Q102">
    <cfRule type="expression" dxfId="0" priority="1">
      <formula>ISEVEN(ROW())</formula>
    </cfRule>
  </conditionalFormatting>
  <conditionalFormatting sqref="A3:Q102">
    <cfRule type="expression" dxfId="1" priority="2">
      <formula>ISODD(ROW())</formula>
    </cfRule>
  </conditionalFormatting>
  <dataValidations>
    <dataValidation type="list" allowBlank="1" sqref="A3:A101">
      <formula1>listas!$A$1:$A$17</formula1>
    </dataValidation>
    <dataValidation type="list" allowBlank="1" sqref="I3:I101">
      <formula1>listas!$B$1:$B$21</formula1>
    </dataValidation>
  </dataValidations>
  <drawing r:id="rId2"/>
  <legacyDrawing r:id="rId3"/>
  <tableParts count="2">
    <tablePart r:id="rId6"/>
    <tablePart r:id="rId7"/>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Row="1"/>
  <cols>
    <col customWidth="1" min="1" max="1" width="12.13"/>
    <col customWidth="1" min="2" max="2" width="38.63"/>
    <col customWidth="1" min="3" max="3" width="3.25"/>
    <col customWidth="1" min="4" max="4" width="3.63"/>
    <col customWidth="1" min="5" max="5" width="3.75"/>
    <col customWidth="1" min="6" max="8" width="8.88"/>
    <col customWidth="1" min="9" max="9" width="12.63"/>
    <col customWidth="1" min="10" max="10" width="44.75"/>
    <col customWidth="1" min="11" max="17" width="8.88"/>
  </cols>
  <sheetData>
    <row r="1">
      <c r="A1" s="1">
        <v>2022.0</v>
      </c>
      <c r="B1" s="2"/>
      <c r="C1" s="3"/>
      <c r="D1" s="4"/>
      <c r="E1" s="5"/>
      <c r="F1" s="5"/>
      <c r="G1" s="5"/>
      <c r="H1" s="5"/>
      <c r="I1" s="160"/>
      <c r="J1" s="5"/>
      <c r="K1" s="5"/>
      <c r="L1" s="5"/>
      <c r="M1" s="5"/>
      <c r="N1" s="5"/>
      <c r="O1" s="5"/>
      <c r="P1" s="5"/>
      <c r="Q1" s="5"/>
    </row>
    <row r="2">
      <c r="A2" s="6" t="s">
        <v>0</v>
      </c>
      <c r="B2" s="7" t="s">
        <v>1</v>
      </c>
      <c r="C2" s="6" t="s">
        <v>2</v>
      </c>
      <c r="D2" s="8" t="s">
        <v>3</v>
      </c>
      <c r="E2" s="7" t="s">
        <v>4</v>
      </c>
      <c r="F2" s="9" t="s">
        <v>5</v>
      </c>
      <c r="G2" s="10" t="s">
        <v>6</v>
      </c>
      <c r="H2" s="10" t="s">
        <v>7</v>
      </c>
      <c r="I2" s="6" t="s">
        <v>8</v>
      </c>
      <c r="J2" s="6" t="s">
        <v>9</v>
      </c>
      <c r="K2" s="6" t="s">
        <v>10</v>
      </c>
      <c r="L2" s="6"/>
      <c r="M2" s="6"/>
      <c r="N2" s="6"/>
      <c r="O2" s="6"/>
      <c r="P2" s="6"/>
      <c r="Q2" s="6"/>
    </row>
    <row r="3">
      <c r="A3" s="11"/>
      <c r="B3" s="12" t="s">
        <v>11</v>
      </c>
      <c r="C3" s="13">
        <v>5.0</v>
      </c>
      <c r="D3" s="14"/>
      <c r="E3" s="15"/>
      <c r="F3" s="15"/>
      <c r="G3" s="16"/>
      <c r="H3" s="17"/>
      <c r="I3" s="18"/>
      <c r="J3" s="19"/>
      <c r="K3" s="20"/>
      <c r="L3" s="20"/>
      <c r="M3" s="20"/>
      <c r="N3" s="20"/>
      <c r="O3" s="20"/>
      <c r="P3" s="20"/>
      <c r="Q3" s="20"/>
    </row>
    <row r="4">
      <c r="A4" s="11" t="s">
        <v>5</v>
      </c>
      <c r="B4" s="21" t="s">
        <v>145</v>
      </c>
      <c r="C4" s="13">
        <v>1.0</v>
      </c>
      <c r="D4" s="14" t="str">
        <f t="shared" ref="D4:D20" si="1">UPPER(TEXT(WEEKDAY(DATEVALUE(CONCATENATE(C4,"/",$C$3,"/",$A$1))),"DDD"))</f>
        <v>DOM.</v>
      </c>
      <c r="E4" s="13">
        <f t="shared" ref="E4:E78" si="2">$C$3</f>
        <v>5</v>
      </c>
      <c r="F4" s="15"/>
      <c r="G4" s="16">
        <f>'abril 2022'!K105</f>
        <v>1101.87</v>
      </c>
      <c r="H4" s="17"/>
      <c r="I4" s="18" t="s">
        <v>13</v>
      </c>
      <c r="J4" s="21" t="s">
        <v>14</v>
      </c>
      <c r="K4" s="22"/>
      <c r="L4" s="22"/>
      <c r="M4" s="22"/>
      <c r="N4" s="22"/>
      <c r="O4" s="22"/>
      <c r="P4" s="22"/>
      <c r="Q4" s="22"/>
    </row>
    <row r="5">
      <c r="A5" s="11" t="s">
        <v>5</v>
      </c>
      <c r="B5" s="21" t="s">
        <v>145</v>
      </c>
      <c r="C5" s="13">
        <v>1.0</v>
      </c>
      <c r="D5" s="14" t="str">
        <f t="shared" si="1"/>
        <v>DOM.</v>
      </c>
      <c r="E5" s="13">
        <f t="shared" si="2"/>
        <v>5</v>
      </c>
      <c r="F5" s="15"/>
      <c r="G5" s="16">
        <f>'abril 2022'!K106</f>
        <v>30</v>
      </c>
      <c r="H5" s="17"/>
      <c r="I5" s="18" t="s">
        <v>15</v>
      </c>
      <c r="J5" s="21" t="s">
        <v>14</v>
      </c>
      <c r="K5" s="22"/>
      <c r="L5" s="22"/>
      <c r="M5" s="22"/>
      <c r="N5" s="22"/>
      <c r="O5" s="22"/>
      <c r="P5" s="22"/>
      <c r="Q5" s="22"/>
    </row>
    <row r="6">
      <c r="A6" s="11" t="s">
        <v>5</v>
      </c>
      <c r="B6" s="21" t="s">
        <v>145</v>
      </c>
      <c r="C6" s="13">
        <v>1.0</v>
      </c>
      <c r="D6" s="14" t="str">
        <f t="shared" si="1"/>
        <v>DOM.</v>
      </c>
      <c r="E6" s="13">
        <f t="shared" si="2"/>
        <v>5</v>
      </c>
      <c r="F6" s="15"/>
      <c r="G6" s="16">
        <f>'abril 2022'!K107</f>
        <v>5768.66</v>
      </c>
      <c r="H6" s="17"/>
      <c r="I6" s="18" t="s">
        <v>17</v>
      </c>
      <c r="J6" s="21" t="s">
        <v>14</v>
      </c>
      <c r="K6" s="22"/>
      <c r="L6" s="22"/>
      <c r="M6" s="22"/>
      <c r="N6" s="22"/>
      <c r="O6" s="22"/>
      <c r="P6" s="22"/>
      <c r="Q6" s="22"/>
    </row>
    <row r="7">
      <c r="A7" s="11" t="s">
        <v>5</v>
      </c>
      <c r="B7" s="21" t="s">
        <v>145</v>
      </c>
      <c r="C7" s="13">
        <v>1.0</v>
      </c>
      <c r="D7" s="14" t="str">
        <f t="shared" si="1"/>
        <v>DOM.</v>
      </c>
      <c r="E7" s="13">
        <f t="shared" si="2"/>
        <v>5</v>
      </c>
      <c r="F7" s="15"/>
      <c r="G7" s="16">
        <f>'abril 2022'!K108</f>
        <v>4.52</v>
      </c>
      <c r="H7" s="17"/>
      <c r="I7" s="18" t="s">
        <v>18</v>
      </c>
      <c r="J7" s="21" t="s">
        <v>14</v>
      </c>
      <c r="K7" s="22"/>
      <c r="L7" s="22"/>
      <c r="M7" s="22"/>
      <c r="N7" s="22"/>
      <c r="O7" s="22"/>
      <c r="P7" s="22"/>
      <c r="Q7" s="22"/>
    </row>
    <row r="8">
      <c r="A8" s="11" t="s">
        <v>5</v>
      </c>
      <c r="B8" s="72" t="s">
        <v>145</v>
      </c>
      <c r="C8" s="193">
        <v>1.0</v>
      </c>
      <c r="D8" s="74" t="str">
        <f t="shared" si="1"/>
        <v>DOM.</v>
      </c>
      <c r="E8" s="13">
        <f t="shared" si="2"/>
        <v>5</v>
      </c>
      <c r="F8" s="30"/>
      <c r="G8" s="16">
        <f>'abril 2022'!K109</f>
        <v>0</v>
      </c>
      <c r="H8" s="31"/>
      <c r="I8" s="58" t="s">
        <v>261</v>
      </c>
      <c r="J8" s="72" t="s">
        <v>14</v>
      </c>
      <c r="K8" s="77"/>
      <c r="L8" s="77"/>
      <c r="M8" s="77"/>
      <c r="N8" s="77"/>
      <c r="O8" s="77"/>
      <c r="P8" s="77"/>
      <c r="Q8" s="77"/>
    </row>
    <row r="9">
      <c r="A9" s="11" t="s">
        <v>5</v>
      </c>
      <c r="B9" s="173" t="s">
        <v>145</v>
      </c>
      <c r="C9" s="184">
        <v>1.0</v>
      </c>
      <c r="D9" s="25" t="str">
        <f t="shared" si="1"/>
        <v>DOM.</v>
      </c>
      <c r="E9" s="13">
        <f t="shared" si="2"/>
        <v>5</v>
      </c>
      <c r="F9" s="26"/>
      <c r="G9" s="16">
        <f>'abril 2022'!K110</f>
        <v>943.67</v>
      </c>
      <c r="H9" s="56"/>
      <c r="I9" s="33" t="s">
        <v>252</v>
      </c>
      <c r="J9" s="173" t="s">
        <v>14</v>
      </c>
      <c r="K9" s="59"/>
      <c r="L9" s="59"/>
      <c r="M9" s="59"/>
      <c r="N9" s="59"/>
      <c r="O9" s="59"/>
      <c r="P9" s="59"/>
      <c r="Q9" s="59"/>
    </row>
    <row r="10">
      <c r="A10" s="11" t="s">
        <v>5</v>
      </c>
      <c r="B10" s="42" t="s">
        <v>145</v>
      </c>
      <c r="C10" s="144">
        <v>1.0</v>
      </c>
      <c r="D10" s="14" t="str">
        <f t="shared" si="1"/>
        <v>DOM.</v>
      </c>
      <c r="E10" s="13">
        <f t="shared" si="2"/>
        <v>5</v>
      </c>
      <c r="F10" s="43"/>
      <c r="G10" s="16">
        <f>'abril 2022'!K111</f>
        <v>340.53</v>
      </c>
      <c r="H10" s="45"/>
      <c r="I10" s="41" t="s">
        <v>249</v>
      </c>
      <c r="J10" s="42" t="s">
        <v>14</v>
      </c>
      <c r="K10" s="68"/>
      <c r="L10" s="68"/>
      <c r="M10" s="68"/>
      <c r="N10" s="68"/>
      <c r="O10" s="68"/>
      <c r="P10" s="68"/>
      <c r="Q10" s="68"/>
    </row>
    <row r="11">
      <c r="A11" s="11" t="s">
        <v>5</v>
      </c>
      <c r="B11" s="90" t="s">
        <v>706</v>
      </c>
      <c r="C11" s="13">
        <v>1.0</v>
      </c>
      <c r="D11" s="14" t="str">
        <f t="shared" si="1"/>
        <v>DOM.</v>
      </c>
      <c r="E11" s="13">
        <f t="shared" si="2"/>
        <v>5</v>
      </c>
      <c r="F11" s="26"/>
      <c r="G11" s="56"/>
      <c r="H11" s="88">
        <v>983.19</v>
      </c>
      <c r="I11" s="58" t="s">
        <v>17</v>
      </c>
      <c r="J11" s="21" t="s">
        <v>22</v>
      </c>
      <c r="K11" s="55"/>
      <c r="L11" s="55"/>
      <c r="M11" s="55"/>
      <c r="N11" s="55"/>
      <c r="O11" s="55"/>
      <c r="P11" s="55"/>
      <c r="Q11" s="55"/>
    </row>
    <row r="12">
      <c r="A12" s="11" t="s">
        <v>5</v>
      </c>
      <c r="B12" s="103" t="s">
        <v>533</v>
      </c>
      <c r="C12" s="13">
        <v>1.0</v>
      </c>
      <c r="D12" s="14" t="str">
        <f t="shared" si="1"/>
        <v>DOM.</v>
      </c>
      <c r="E12" s="13">
        <f t="shared" si="2"/>
        <v>5</v>
      </c>
      <c r="F12" s="54"/>
      <c r="G12" s="70"/>
      <c r="H12" s="86">
        <v>50.0</v>
      </c>
      <c r="I12" s="105" t="s">
        <v>17</v>
      </c>
      <c r="J12" s="21" t="s">
        <v>534</v>
      </c>
      <c r="K12" s="84"/>
      <c r="L12" s="84"/>
      <c r="M12" s="84"/>
      <c r="N12" s="84"/>
      <c r="O12" s="84"/>
      <c r="P12" s="84"/>
      <c r="Q12" s="84"/>
    </row>
    <row r="13">
      <c r="A13" s="102" t="s">
        <v>5</v>
      </c>
      <c r="B13" s="83" t="s">
        <v>611</v>
      </c>
      <c r="C13" s="80">
        <v>1.0</v>
      </c>
      <c r="D13" s="81" t="str">
        <f t="shared" si="1"/>
        <v>DOM.</v>
      </c>
      <c r="E13" s="13">
        <f t="shared" si="2"/>
        <v>5</v>
      </c>
      <c r="F13" s="35"/>
      <c r="G13" s="151"/>
      <c r="H13" s="36">
        <v>1000.0</v>
      </c>
      <c r="I13" s="78" t="s">
        <v>17</v>
      </c>
      <c r="J13" s="103" t="s">
        <v>38</v>
      </c>
      <c r="K13" s="84"/>
      <c r="L13" s="84"/>
      <c r="M13" s="84"/>
      <c r="N13" s="84"/>
      <c r="O13" s="84"/>
      <c r="P13" s="84"/>
      <c r="Q13" s="84"/>
    </row>
    <row r="14">
      <c r="A14" s="11" t="s">
        <v>5</v>
      </c>
      <c r="B14" s="178" t="s">
        <v>782</v>
      </c>
      <c r="C14" s="66">
        <v>2.0</v>
      </c>
      <c r="D14" s="14" t="str">
        <f t="shared" si="1"/>
        <v>SEG.</v>
      </c>
      <c r="E14" s="13">
        <f t="shared" si="2"/>
        <v>5</v>
      </c>
      <c r="F14" s="43"/>
      <c r="G14" s="45"/>
      <c r="H14" s="46">
        <v>8.0</v>
      </c>
      <c r="I14" s="41" t="s">
        <v>17</v>
      </c>
      <c r="J14" s="44" t="s">
        <v>783</v>
      </c>
      <c r="K14" s="45"/>
      <c r="L14" s="45"/>
      <c r="M14" s="45"/>
      <c r="N14" s="45"/>
      <c r="O14" s="45"/>
      <c r="P14" s="45"/>
      <c r="Q14" s="45"/>
    </row>
    <row r="15">
      <c r="A15" s="11" t="s">
        <v>5</v>
      </c>
      <c r="B15" s="29" t="s">
        <v>148</v>
      </c>
      <c r="C15" s="73">
        <v>2.0</v>
      </c>
      <c r="D15" s="74" t="str">
        <f t="shared" si="1"/>
        <v>SEG.</v>
      </c>
      <c r="E15" s="193">
        <f t="shared" si="2"/>
        <v>5</v>
      </c>
      <c r="F15" s="30"/>
      <c r="G15" s="31"/>
      <c r="H15" s="32">
        <v>52.52</v>
      </c>
      <c r="I15" s="154" t="s">
        <v>13</v>
      </c>
      <c r="J15" s="72" t="s">
        <v>149</v>
      </c>
      <c r="K15" s="29"/>
      <c r="L15" s="29"/>
      <c r="M15" s="29"/>
      <c r="N15" s="29"/>
      <c r="O15" s="29"/>
      <c r="P15" s="29"/>
      <c r="Q15" s="29"/>
    </row>
    <row r="16">
      <c r="A16" s="11" t="s">
        <v>5</v>
      </c>
      <c r="B16" s="159" t="s">
        <v>664</v>
      </c>
      <c r="C16" s="73">
        <v>3.0</v>
      </c>
      <c r="D16" s="25" t="str">
        <f t="shared" si="1"/>
        <v>TER.</v>
      </c>
      <c r="E16" s="13">
        <f t="shared" si="2"/>
        <v>5</v>
      </c>
      <c r="F16" s="87">
        <v>44652.0</v>
      </c>
      <c r="G16" s="31"/>
      <c r="H16" s="32">
        <v>400.0</v>
      </c>
      <c r="I16" s="58" t="s">
        <v>17</v>
      </c>
      <c r="J16" s="76" t="s">
        <v>466</v>
      </c>
      <c r="K16" s="31"/>
      <c r="L16" s="31"/>
      <c r="M16" s="31"/>
      <c r="N16" s="31"/>
      <c r="O16" s="31"/>
      <c r="P16" s="31"/>
      <c r="Q16" s="31"/>
    </row>
    <row r="17">
      <c r="A17" s="11" t="s">
        <v>5</v>
      </c>
      <c r="B17" s="79" t="s">
        <v>119</v>
      </c>
      <c r="C17" s="80">
        <v>3.0</v>
      </c>
      <c r="D17" s="81" t="str">
        <f t="shared" si="1"/>
        <v>TER.</v>
      </c>
      <c r="E17" s="207">
        <f t="shared" si="2"/>
        <v>5</v>
      </c>
      <c r="F17" s="35"/>
      <c r="G17" s="36">
        <v>0.08</v>
      </c>
      <c r="H17" s="70"/>
      <c r="I17" s="152" t="s">
        <v>13</v>
      </c>
      <c r="J17" s="199" t="s">
        <v>120</v>
      </c>
      <c r="K17" s="84"/>
      <c r="L17" s="84"/>
      <c r="M17" s="84"/>
      <c r="N17" s="84"/>
      <c r="O17" s="84"/>
      <c r="P17" s="84"/>
      <c r="Q17" s="84"/>
    </row>
    <row r="18">
      <c r="A18" s="215" t="s">
        <v>5</v>
      </c>
      <c r="B18" s="83" t="s">
        <v>784</v>
      </c>
      <c r="C18" s="80">
        <v>5.0</v>
      </c>
      <c r="D18" s="81" t="str">
        <f t="shared" si="1"/>
        <v>QUI.</v>
      </c>
      <c r="E18" s="207">
        <f t="shared" si="2"/>
        <v>5</v>
      </c>
      <c r="F18" s="35"/>
      <c r="G18" s="36"/>
      <c r="H18" s="63">
        <v>1000.0</v>
      </c>
      <c r="I18" s="82" t="s">
        <v>13</v>
      </c>
      <c r="J18" s="103" t="s">
        <v>785</v>
      </c>
      <c r="K18" s="84"/>
      <c r="L18" s="84"/>
      <c r="M18" s="84"/>
      <c r="N18" s="84"/>
      <c r="O18" s="84"/>
      <c r="P18" s="84"/>
      <c r="Q18" s="84"/>
    </row>
    <row r="19">
      <c r="A19" s="11" t="s">
        <v>5</v>
      </c>
      <c r="B19" s="83" t="s">
        <v>732</v>
      </c>
      <c r="C19" s="13">
        <v>6.0</v>
      </c>
      <c r="D19" s="14" t="str">
        <f t="shared" si="1"/>
        <v>SEX.</v>
      </c>
      <c r="E19" s="13">
        <f t="shared" si="2"/>
        <v>5</v>
      </c>
      <c r="F19" s="35"/>
      <c r="G19" s="36">
        <v>0.0</v>
      </c>
      <c r="H19" s="70"/>
      <c r="I19" s="78" t="s">
        <v>17</v>
      </c>
      <c r="J19" s="21" t="s">
        <v>390</v>
      </c>
      <c r="K19" s="84"/>
      <c r="L19" s="84"/>
      <c r="M19" s="84"/>
      <c r="N19" s="84"/>
      <c r="O19" s="84"/>
      <c r="P19" s="84"/>
      <c r="Q19" s="84"/>
    </row>
    <row r="20">
      <c r="A20" s="11" t="s">
        <v>5</v>
      </c>
      <c r="B20" s="99" t="s">
        <v>119</v>
      </c>
      <c r="C20" s="13">
        <v>6.0</v>
      </c>
      <c r="D20" s="14" t="str">
        <f t="shared" si="1"/>
        <v>SEX.</v>
      </c>
      <c r="E20" s="13">
        <f t="shared" si="2"/>
        <v>5</v>
      </c>
      <c r="F20" s="35"/>
      <c r="G20" s="36">
        <v>2.46</v>
      </c>
      <c r="H20" s="70"/>
      <c r="I20" s="78" t="s">
        <v>17</v>
      </c>
      <c r="J20" s="21" t="s">
        <v>120</v>
      </c>
      <c r="K20" s="84"/>
      <c r="L20" s="84"/>
      <c r="M20" s="84"/>
      <c r="N20" s="84"/>
      <c r="O20" s="84"/>
      <c r="P20" s="84"/>
      <c r="Q20" s="84"/>
    </row>
    <row r="21">
      <c r="A21" s="23" t="s">
        <v>5</v>
      </c>
      <c r="B21" s="40" t="s">
        <v>295</v>
      </c>
      <c r="C21" s="62">
        <v>6.0</v>
      </c>
      <c r="D21" s="25" t="str">
        <f>UPPER(TEXT(WEEKDAY(C21),"DDD"))</f>
        <v>SEX.</v>
      </c>
      <c r="E21" s="184">
        <f t="shared" si="2"/>
        <v>5</v>
      </c>
      <c r="F21" s="25"/>
      <c r="G21" s="63">
        <v>366.76</v>
      </c>
      <c r="H21" s="101"/>
      <c r="I21" s="23" t="s">
        <v>13</v>
      </c>
      <c r="J21" s="173" t="s">
        <v>296</v>
      </c>
      <c r="K21" s="59"/>
      <c r="L21" s="59"/>
      <c r="M21" s="59"/>
      <c r="N21" s="59"/>
      <c r="O21" s="59"/>
      <c r="P21" s="59"/>
      <c r="Q21" s="59"/>
    </row>
    <row r="22">
      <c r="A22" s="11" t="s">
        <v>5</v>
      </c>
      <c r="B22" s="44" t="s">
        <v>786</v>
      </c>
      <c r="C22" s="13">
        <v>6.0</v>
      </c>
      <c r="D22" s="14" t="str">
        <f t="shared" ref="D22:D26" si="3">UPPER(TEXT(WEEKDAY(DATEVALUE(CONCATENATE(C22,"/",$C$3,"/",$A$1))),"DDD"))</f>
        <v>SEX.</v>
      </c>
      <c r="E22" s="13">
        <f t="shared" si="2"/>
        <v>5</v>
      </c>
      <c r="F22" s="85"/>
      <c r="G22" s="45"/>
      <c r="H22" s="46">
        <v>110.89</v>
      </c>
      <c r="I22" s="58" t="s">
        <v>17</v>
      </c>
      <c r="J22" s="21" t="s">
        <v>20</v>
      </c>
      <c r="K22" s="21"/>
      <c r="L22" s="21"/>
      <c r="M22" s="21"/>
      <c r="N22" s="21"/>
      <c r="O22" s="39"/>
      <c r="P22" s="39"/>
      <c r="Q22" s="39"/>
    </row>
    <row r="23">
      <c r="A23" s="11" t="s">
        <v>25</v>
      </c>
      <c r="B23" s="39" t="s">
        <v>26</v>
      </c>
      <c r="C23" s="66">
        <v>6.0</v>
      </c>
      <c r="D23" s="14" t="str">
        <f t="shared" si="3"/>
        <v>SEX.</v>
      </c>
      <c r="E23" s="13">
        <f t="shared" si="2"/>
        <v>5</v>
      </c>
      <c r="F23" s="87"/>
      <c r="G23" s="45"/>
      <c r="H23" s="46">
        <v>366.76</v>
      </c>
      <c r="I23" s="149" t="s">
        <v>13</v>
      </c>
      <c r="J23" s="42"/>
      <c r="K23" s="68"/>
      <c r="L23" s="68"/>
      <c r="M23" s="68"/>
      <c r="N23" s="68"/>
      <c r="O23" s="68"/>
      <c r="P23" s="68"/>
      <c r="Q23" s="68"/>
    </row>
    <row r="24">
      <c r="A24" s="11" t="s">
        <v>25</v>
      </c>
      <c r="B24" s="61" t="s">
        <v>27</v>
      </c>
      <c r="C24" s="148">
        <v>6.0</v>
      </c>
      <c r="D24" s="25" t="str">
        <f t="shared" si="3"/>
        <v>SEX.</v>
      </c>
      <c r="E24" s="13">
        <f t="shared" si="2"/>
        <v>5</v>
      </c>
      <c r="F24" s="87"/>
      <c r="G24" s="63">
        <v>366.76</v>
      </c>
      <c r="H24" s="56"/>
      <c r="I24" s="37" t="s">
        <v>17</v>
      </c>
      <c r="J24" s="40"/>
      <c r="K24" s="59"/>
      <c r="L24" s="59"/>
      <c r="M24" s="59"/>
      <c r="N24" s="59"/>
      <c r="O24" s="59"/>
      <c r="P24" s="59"/>
      <c r="Q24" s="59"/>
    </row>
    <row r="25">
      <c r="A25" s="11" t="s">
        <v>5</v>
      </c>
      <c r="B25" s="179" t="s">
        <v>762</v>
      </c>
      <c r="C25" s="62">
        <v>7.0</v>
      </c>
      <c r="D25" s="25" t="str">
        <f t="shared" si="3"/>
        <v>SÁB.</v>
      </c>
      <c r="E25" s="13">
        <f t="shared" si="2"/>
        <v>5</v>
      </c>
      <c r="F25" s="26"/>
      <c r="G25" s="56"/>
      <c r="H25" s="63">
        <v>59.7</v>
      </c>
      <c r="I25" s="33" t="s">
        <v>17</v>
      </c>
      <c r="J25" s="21" t="s">
        <v>763</v>
      </c>
      <c r="K25" s="56"/>
      <c r="L25" s="56"/>
      <c r="M25" s="56"/>
      <c r="N25" s="56"/>
      <c r="O25" s="56"/>
      <c r="P25" s="56"/>
      <c r="Q25" s="56"/>
    </row>
    <row r="26" collapsed="1">
      <c r="A26" s="11" t="s">
        <v>5</v>
      </c>
      <c r="B26" s="44" t="s">
        <v>39</v>
      </c>
      <c r="C26" s="13">
        <v>8.0</v>
      </c>
      <c r="D26" s="14" t="str">
        <f t="shared" si="3"/>
        <v>DOM.</v>
      </c>
      <c r="E26" s="13">
        <f t="shared" si="2"/>
        <v>5</v>
      </c>
      <c r="F26" s="87">
        <v>44653.0</v>
      </c>
      <c r="G26" s="45"/>
      <c r="H26" s="46">
        <f>sum(H27:H30)</f>
        <v>385.1</v>
      </c>
      <c r="I26" s="47" t="s">
        <v>17</v>
      </c>
      <c r="J26" s="21"/>
      <c r="K26" s="39"/>
      <c r="L26" s="39"/>
      <c r="M26" s="39"/>
      <c r="N26" s="39"/>
      <c r="O26" s="39"/>
      <c r="P26" s="39"/>
      <c r="Q26" s="39"/>
    </row>
    <row r="27" hidden="1" outlineLevel="1">
      <c r="A27" s="11" t="s">
        <v>40</v>
      </c>
      <c r="B27" s="83" t="s">
        <v>787</v>
      </c>
      <c r="C27" s="194"/>
      <c r="D27" s="195"/>
      <c r="E27" s="207">
        <f t="shared" si="2"/>
        <v>5</v>
      </c>
      <c r="F27" s="196">
        <v>44511.0</v>
      </c>
      <c r="G27" s="70"/>
      <c r="H27" s="151">
        <v>223.38</v>
      </c>
      <c r="I27" s="197"/>
      <c r="J27" s="79" t="s">
        <v>591</v>
      </c>
      <c r="K27" s="84"/>
      <c r="L27" s="84"/>
      <c r="M27" s="84"/>
      <c r="N27" s="84"/>
      <c r="O27" s="84"/>
      <c r="P27" s="84"/>
      <c r="Q27" s="84"/>
    </row>
    <row r="28" hidden="1" outlineLevel="1">
      <c r="A28" s="11" t="s">
        <v>40</v>
      </c>
      <c r="B28" s="76" t="s">
        <v>788</v>
      </c>
      <c r="C28" s="155"/>
      <c r="D28" s="156"/>
      <c r="E28" s="193">
        <f t="shared" si="2"/>
        <v>5</v>
      </c>
      <c r="F28" s="225">
        <v>44655.0</v>
      </c>
      <c r="G28" s="31"/>
      <c r="H28" s="32">
        <v>26.1</v>
      </c>
      <c r="I28" s="157"/>
      <c r="J28" s="76" t="s">
        <v>789</v>
      </c>
      <c r="K28" s="77"/>
      <c r="L28" s="77"/>
      <c r="M28" s="77"/>
      <c r="N28" s="77"/>
      <c r="O28" s="77"/>
      <c r="P28" s="77"/>
      <c r="Q28" s="77"/>
    </row>
    <row r="29" hidden="1" outlineLevel="1">
      <c r="A29" s="11" t="s">
        <v>40</v>
      </c>
      <c r="B29" s="76" t="s">
        <v>790</v>
      </c>
      <c r="C29" s="155"/>
      <c r="D29" s="156"/>
      <c r="E29" s="193">
        <f t="shared" si="2"/>
        <v>5</v>
      </c>
      <c r="F29" s="225">
        <v>44655.0</v>
      </c>
      <c r="G29" s="31"/>
      <c r="H29" s="32">
        <v>34.82</v>
      </c>
      <c r="I29" s="157"/>
      <c r="J29" s="76" t="s">
        <v>791</v>
      </c>
      <c r="K29" s="77"/>
      <c r="L29" s="77"/>
      <c r="M29" s="77"/>
      <c r="N29" s="77"/>
      <c r="O29" s="77"/>
      <c r="P29" s="77"/>
      <c r="Q29" s="77"/>
    </row>
    <row r="30" hidden="1" outlineLevel="1">
      <c r="A30" s="11" t="s">
        <v>40</v>
      </c>
      <c r="B30" s="76" t="s">
        <v>737</v>
      </c>
      <c r="C30" s="155"/>
      <c r="D30" s="156"/>
      <c r="E30" s="193">
        <f t="shared" si="2"/>
        <v>5</v>
      </c>
      <c r="F30" s="225">
        <v>44655.0</v>
      </c>
      <c r="G30" s="31"/>
      <c r="H30" s="32">
        <v>100.8</v>
      </c>
      <c r="I30" s="157"/>
      <c r="J30" s="76" t="s">
        <v>792</v>
      </c>
      <c r="K30" s="77"/>
      <c r="L30" s="77"/>
      <c r="M30" s="77"/>
      <c r="N30" s="77"/>
      <c r="O30" s="77"/>
      <c r="P30" s="77"/>
      <c r="Q30" s="77"/>
    </row>
    <row r="31">
      <c r="A31" s="11" t="s">
        <v>5</v>
      </c>
      <c r="B31" s="90" t="s">
        <v>59</v>
      </c>
      <c r="C31" s="13">
        <v>8.0</v>
      </c>
      <c r="D31" s="14" t="str">
        <f t="shared" ref="D31:D39" si="4">UPPER(TEXT(WEEKDAY(DATEVALUE(CONCATENATE(C31,"/",$C$3,"/",$A$1))),"DDD"))</f>
        <v>DOM.</v>
      </c>
      <c r="E31" s="13">
        <f t="shared" si="2"/>
        <v>5</v>
      </c>
      <c r="F31" s="87">
        <v>44653.0</v>
      </c>
      <c r="G31" s="56"/>
      <c r="H31" s="88">
        <v>495.76</v>
      </c>
      <c r="I31" s="58" t="s">
        <v>17</v>
      </c>
      <c r="J31" s="21" t="s">
        <v>60</v>
      </c>
      <c r="K31" s="59"/>
      <c r="L31" s="59"/>
      <c r="M31" s="59"/>
      <c r="N31" s="59"/>
      <c r="O31" s="59"/>
      <c r="P31" s="59"/>
      <c r="Q31" s="59"/>
    </row>
    <row r="32">
      <c r="A32" s="11" t="s">
        <v>5</v>
      </c>
      <c r="B32" s="39" t="s">
        <v>61</v>
      </c>
      <c r="C32" s="13">
        <v>8.0</v>
      </c>
      <c r="D32" s="14" t="str">
        <f t="shared" si="4"/>
        <v>DOM.</v>
      </c>
      <c r="E32" s="13">
        <f t="shared" si="2"/>
        <v>5</v>
      </c>
      <c r="F32" s="87">
        <v>44655.0</v>
      </c>
      <c r="G32" s="45"/>
      <c r="H32" s="46">
        <v>117.09</v>
      </c>
      <c r="I32" s="58" t="s">
        <v>17</v>
      </c>
      <c r="J32" s="21" t="s">
        <v>62</v>
      </c>
      <c r="K32" s="39"/>
      <c r="L32" s="39"/>
      <c r="M32" s="39"/>
      <c r="N32" s="39"/>
      <c r="O32" s="39"/>
      <c r="P32" s="39"/>
      <c r="Q32" s="39"/>
    </row>
    <row r="33">
      <c r="A33" s="11" t="s">
        <v>5</v>
      </c>
      <c r="B33" s="83" t="s">
        <v>442</v>
      </c>
      <c r="C33" s="207">
        <v>8.0</v>
      </c>
      <c r="D33" s="81" t="str">
        <f t="shared" si="4"/>
        <v>DOM.</v>
      </c>
      <c r="E33" s="207">
        <f t="shared" si="2"/>
        <v>5</v>
      </c>
      <c r="F33" s="87">
        <v>44655.0</v>
      </c>
      <c r="G33" s="70"/>
      <c r="H33" s="36">
        <v>39.9</v>
      </c>
      <c r="I33" s="47" t="s">
        <v>17</v>
      </c>
      <c r="J33" s="103" t="s">
        <v>443</v>
      </c>
      <c r="K33" s="99"/>
      <c r="L33" s="99"/>
      <c r="M33" s="99"/>
      <c r="N33" s="99"/>
      <c r="O33" s="99"/>
      <c r="P33" s="99"/>
      <c r="Q33" s="99"/>
    </row>
    <row r="34">
      <c r="A34" s="78" t="s">
        <v>5</v>
      </c>
      <c r="B34" s="69" t="s">
        <v>793</v>
      </c>
      <c r="C34" s="150">
        <v>8.0</v>
      </c>
      <c r="D34" s="81" t="str">
        <f t="shared" si="4"/>
        <v>DOM.</v>
      </c>
      <c r="E34" s="210">
        <f t="shared" si="2"/>
        <v>5</v>
      </c>
      <c r="F34" s="35"/>
      <c r="G34" s="70"/>
      <c r="H34" s="36">
        <v>63.6</v>
      </c>
      <c r="I34" s="47" t="s">
        <v>17</v>
      </c>
      <c r="J34" s="79" t="s">
        <v>20</v>
      </c>
      <c r="K34" s="70"/>
      <c r="L34" s="70"/>
      <c r="M34" s="70"/>
      <c r="N34" s="70"/>
      <c r="O34" s="70"/>
      <c r="P34" s="70"/>
      <c r="Q34" s="70"/>
    </row>
    <row r="35">
      <c r="A35" s="71" t="s">
        <v>5</v>
      </c>
      <c r="B35" s="29" t="s">
        <v>518</v>
      </c>
      <c r="C35" s="73">
        <v>9.0</v>
      </c>
      <c r="D35" s="74" t="str">
        <f t="shared" si="4"/>
        <v>SEG.</v>
      </c>
      <c r="E35" s="193">
        <f t="shared" si="2"/>
        <v>5</v>
      </c>
      <c r="F35" s="30"/>
      <c r="G35" s="31"/>
      <c r="H35" s="32">
        <v>107.27</v>
      </c>
      <c r="I35" s="71" t="s">
        <v>252</v>
      </c>
      <c r="J35" s="72" t="s">
        <v>22</v>
      </c>
      <c r="K35" s="31"/>
      <c r="L35" s="31"/>
      <c r="M35" s="31"/>
      <c r="N35" s="31"/>
      <c r="O35" s="31"/>
      <c r="P35" s="31"/>
      <c r="Q35" s="31"/>
    </row>
    <row r="36">
      <c r="A36" s="181" t="s">
        <v>5</v>
      </c>
      <c r="B36" s="42" t="s">
        <v>297</v>
      </c>
      <c r="C36" s="66">
        <v>10.0</v>
      </c>
      <c r="D36" s="14" t="str">
        <f t="shared" si="4"/>
        <v>TER.</v>
      </c>
      <c r="E36" s="144">
        <f t="shared" si="2"/>
        <v>5</v>
      </c>
      <c r="F36" s="43"/>
      <c r="G36" s="45"/>
      <c r="H36" s="46">
        <v>366.76</v>
      </c>
      <c r="I36" s="65" t="s">
        <v>17</v>
      </c>
      <c r="J36" s="42" t="s">
        <v>101</v>
      </c>
      <c r="K36" s="68"/>
      <c r="L36" s="68"/>
      <c r="M36" s="68"/>
      <c r="N36" s="68"/>
      <c r="O36" s="68"/>
      <c r="P36" s="68"/>
      <c r="Q36" s="68"/>
    </row>
    <row r="37">
      <c r="A37" s="71" t="s">
        <v>5</v>
      </c>
      <c r="B37" s="76" t="s">
        <v>794</v>
      </c>
      <c r="C37" s="73">
        <v>10.0</v>
      </c>
      <c r="D37" s="74" t="str">
        <f t="shared" si="4"/>
        <v>TER.</v>
      </c>
      <c r="E37" s="193">
        <f t="shared" si="2"/>
        <v>5</v>
      </c>
      <c r="F37" s="30"/>
      <c r="G37" s="31"/>
      <c r="H37" s="32">
        <v>200.0</v>
      </c>
      <c r="I37" s="75" t="s">
        <v>17</v>
      </c>
      <c r="J37" s="76" t="s">
        <v>795</v>
      </c>
      <c r="K37" s="77"/>
      <c r="L37" s="77"/>
      <c r="M37" s="77"/>
      <c r="N37" s="77"/>
      <c r="O37" s="77"/>
      <c r="P37" s="77"/>
      <c r="Q37" s="77"/>
    </row>
    <row r="38">
      <c r="A38" s="11" t="s">
        <v>5</v>
      </c>
      <c r="B38" s="34" t="s">
        <v>444</v>
      </c>
      <c r="C38" s="13">
        <v>10.0</v>
      </c>
      <c r="D38" s="14" t="str">
        <f t="shared" si="4"/>
        <v>TER.</v>
      </c>
      <c r="E38" s="13">
        <f t="shared" si="2"/>
        <v>5</v>
      </c>
      <c r="F38" s="87">
        <v>44653.0</v>
      </c>
      <c r="G38" s="56"/>
      <c r="H38" s="63">
        <v>637.0</v>
      </c>
      <c r="I38" s="58" t="s">
        <v>17</v>
      </c>
      <c r="J38" s="21" t="s">
        <v>67</v>
      </c>
      <c r="K38" s="59"/>
      <c r="L38" s="59"/>
      <c r="M38" s="59"/>
      <c r="N38" s="59"/>
      <c r="O38" s="59"/>
      <c r="P38" s="59"/>
      <c r="Q38" s="59"/>
    </row>
    <row r="39" collapsed="1">
      <c r="A39" s="11" t="s">
        <v>5</v>
      </c>
      <c r="B39" s="177" t="s">
        <v>84</v>
      </c>
      <c r="C39" s="148">
        <v>11.0</v>
      </c>
      <c r="D39" s="25" t="str">
        <f t="shared" si="4"/>
        <v>QUA.</v>
      </c>
      <c r="E39" s="13">
        <f t="shared" si="2"/>
        <v>5</v>
      </c>
      <c r="F39" s="87">
        <v>44655.0</v>
      </c>
      <c r="G39" s="56"/>
      <c r="H39" s="101">
        <f>SUM(H40:H51)</f>
        <v>1049.31</v>
      </c>
      <c r="I39" s="23" t="s">
        <v>17</v>
      </c>
      <c r="J39" s="40"/>
      <c r="K39" s="56"/>
      <c r="L39" s="56"/>
      <c r="M39" s="56"/>
      <c r="N39" s="56"/>
      <c r="O39" s="56"/>
      <c r="P39" s="56"/>
      <c r="Q39" s="56"/>
    </row>
    <row r="40" hidden="1" outlineLevel="1">
      <c r="A40" s="11" t="s">
        <v>40</v>
      </c>
      <c r="B40" s="44" t="s">
        <v>796</v>
      </c>
      <c r="C40" s="187"/>
      <c r="D40" s="108"/>
      <c r="E40" s="193">
        <f t="shared" si="2"/>
        <v>5</v>
      </c>
      <c r="F40" s="226"/>
      <c r="G40" s="45"/>
      <c r="H40" s="46">
        <v>77.39</v>
      </c>
      <c r="I40" s="45"/>
      <c r="J40" s="44" t="s">
        <v>797</v>
      </c>
      <c r="K40" s="68"/>
      <c r="L40" s="68"/>
      <c r="M40" s="68"/>
      <c r="N40" s="68"/>
      <c r="O40" s="68"/>
      <c r="P40" s="68"/>
      <c r="Q40" s="68"/>
    </row>
    <row r="41" hidden="1" outlineLevel="1">
      <c r="A41" s="11" t="s">
        <v>40</v>
      </c>
      <c r="B41" s="44" t="s">
        <v>798</v>
      </c>
      <c r="C41" s="187"/>
      <c r="D41" s="108"/>
      <c r="E41" s="193">
        <f t="shared" si="2"/>
        <v>5</v>
      </c>
      <c r="F41" s="226"/>
      <c r="G41" s="45"/>
      <c r="H41" s="46">
        <v>179.08</v>
      </c>
      <c r="I41" s="45"/>
      <c r="J41" s="44" t="s">
        <v>797</v>
      </c>
      <c r="K41" s="68"/>
      <c r="L41" s="68"/>
      <c r="M41" s="68"/>
      <c r="N41" s="68"/>
      <c r="O41" s="68"/>
      <c r="P41" s="68"/>
      <c r="Q41" s="68"/>
    </row>
    <row r="42" hidden="1" outlineLevel="1">
      <c r="A42" s="11" t="s">
        <v>40</v>
      </c>
      <c r="B42" s="44" t="s">
        <v>799</v>
      </c>
      <c r="C42" s="187"/>
      <c r="D42" s="108"/>
      <c r="E42" s="193">
        <f t="shared" si="2"/>
        <v>5</v>
      </c>
      <c r="F42" s="226"/>
      <c r="G42" s="45"/>
      <c r="H42" s="46">
        <v>23.49</v>
      </c>
      <c r="I42" s="45"/>
      <c r="J42" s="44" t="s">
        <v>797</v>
      </c>
      <c r="K42" s="68"/>
      <c r="L42" s="68"/>
      <c r="M42" s="68"/>
      <c r="N42" s="68"/>
      <c r="O42" s="68"/>
      <c r="P42" s="68"/>
      <c r="Q42" s="68"/>
    </row>
    <row r="43" hidden="1" outlineLevel="1">
      <c r="A43" s="11" t="s">
        <v>40</v>
      </c>
      <c r="B43" s="83" t="s">
        <v>800</v>
      </c>
      <c r="C43" s="194"/>
      <c r="D43" s="195"/>
      <c r="E43" s="210">
        <f t="shared" si="2"/>
        <v>5</v>
      </c>
      <c r="F43" s="196">
        <v>44658.0</v>
      </c>
      <c r="G43" s="70"/>
      <c r="H43" s="36">
        <v>100.0</v>
      </c>
      <c r="I43" s="70"/>
      <c r="J43" s="83" t="s">
        <v>801</v>
      </c>
      <c r="K43" s="84"/>
      <c r="L43" s="84"/>
      <c r="M43" s="84"/>
      <c r="N43" s="84"/>
      <c r="O43" s="84"/>
      <c r="P43" s="84"/>
      <c r="Q43" s="84"/>
    </row>
    <row r="44" hidden="1" outlineLevel="1">
      <c r="A44" s="11" t="s">
        <v>40</v>
      </c>
      <c r="B44" s="83" t="s">
        <v>802</v>
      </c>
      <c r="C44" s="194"/>
      <c r="D44" s="195"/>
      <c r="E44" s="210">
        <f t="shared" si="2"/>
        <v>5</v>
      </c>
      <c r="F44" s="196">
        <v>44660.0</v>
      </c>
      <c r="G44" s="70"/>
      <c r="H44" s="36">
        <v>124.19</v>
      </c>
      <c r="I44" s="70"/>
      <c r="J44" s="83" t="s">
        <v>803</v>
      </c>
      <c r="K44" s="84"/>
      <c r="L44" s="84"/>
      <c r="M44" s="84"/>
      <c r="N44" s="84"/>
      <c r="O44" s="84"/>
      <c r="P44" s="84"/>
      <c r="Q44" s="84"/>
    </row>
    <row r="45" hidden="1" outlineLevel="1">
      <c r="A45" s="11" t="s">
        <v>40</v>
      </c>
      <c r="B45" s="83" t="s">
        <v>601</v>
      </c>
      <c r="C45" s="194"/>
      <c r="D45" s="195"/>
      <c r="E45" s="193">
        <f t="shared" si="2"/>
        <v>5</v>
      </c>
      <c r="F45" s="196">
        <v>44661.0</v>
      </c>
      <c r="G45" s="70"/>
      <c r="H45" s="36">
        <v>16.24</v>
      </c>
      <c r="I45" s="70"/>
      <c r="J45" s="83" t="s">
        <v>88</v>
      </c>
      <c r="K45" s="84"/>
      <c r="L45" s="84"/>
      <c r="M45" s="84"/>
      <c r="N45" s="84"/>
      <c r="O45" s="84"/>
      <c r="P45" s="84"/>
      <c r="Q45" s="84"/>
    </row>
    <row r="46" hidden="1" outlineLevel="1">
      <c r="A46" s="11" t="s">
        <v>40</v>
      </c>
      <c r="B46" s="83" t="s">
        <v>804</v>
      </c>
      <c r="C46" s="194"/>
      <c r="D46" s="195"/>
      <c r="E46" s="210">
        <f t="shared" si="2"/>
        <v>5</v>
      </c>
      <c r="F46" s="196">
        <v>44665.0</v>
      </c>
      <c r="G46" s="70"/>
      <c r="H46" s="36">
        <v>69.9</v>
      </c>
      <c r="I46" s="70"/>
      <c r="J46" s="83" t="s">
        <v>805</v>
      </c>
      <c r="K46" s="84"/>
      <c r="L46" s="84"/>
      <c r="M46" s="84"/>
      <c r="N46" s="84"/>
      <c r="O46" s="84"/>
      <c r="P46" s="84"/>
      <c r="Q46" s="84"/>
    </row>
    <row r="47" hidden="1" outlineLevel="1">
      <c r="A47" s="11" t="s">
        <v>40</v>
      </c>
      <c r="B47" s="76" t="s">
        <v>563</v>
      </c>
      <c r="C47" s="155"/>
      <c r="D47" s="156"/>
      <c r="E47" s="193">
        <f t="shared" si="2"/>
        <v>5</v>
      </c>
      <c r="F47" s="196">
        <v>44676.0</v>
      </c>
      <c r="G47" s="31"/>
      <c r="H47" s="32">
        <v>31.9</v>
      </c>
      <c r="I47" s="31"/>
      <c r="J47" s="83" t="s">
        <v>88</v>
      </c>
      <c r="K47" s="77"/>
      <c r="L47" s="77"/>
      <c r="M47" s="77"/>
      <c r="N47" s="77"/>
      <c r="O47" s="77"/>
      <c r="P47" s="77"/>
      <c r="Q47" s="77"/>
    </row>
    <row r="48" hidden="1" outlineLevel="1">
      <c r="A48" s="11" t="s">
        <v>40</v>
      </c>
      <c r="B48" s="79" t="s">
        <v>87</v>
      </c>
      <c r="C48" s="194"/>
      <c r="D48" s="195"/>
      <c r="E48" s="193">
        <f t="shared" si="2"/>
        <v>5</v>
      </c>
      <c r="F48" s="196">
        <v>44677.0</v>
      </c>
      <c r="G48" s="70"/>
      <c r="H48" s="151">
        <v>9.9</v>
      </c>
      <c r="I48" s="70"/>
      <c r="J48" s="83" t="s">
        <v>88</v>
      </c>
      <c r="K48" s="84"/>
      <c r="L48" s="84"/>
      <c r="M48" s="84"/>
      <c r="N48" s="84"/>
      <c r="O48" s="84"/>
      <c r="P48" s="84"/>
      <c r="Q48" s="84"/>
    </row>
    <row r="49" hidden="1" outlineLevel="1">
      <c r="A49" s="11" t="s">
        <v>40</v>
      </c>
      <c r="B49" s="83" t="s">
        <v>806</v>
      </c>
      <c r="C49" s="194"/>
      <c r="D49" s="195"/>
      <c r="E49" s="210">
        <f t="shared" si="2"/>
        <v>5</v>
      </c>
      <c r="F49" s="196">
        <v>44677.0</v>
      </c>
      <c r="G49" s="70"/>
      <c r="H49" s="36">
        <v>109.9</v>
      </c>
      <c r="I49" s="70"/>
      <c r="J49" s="83" t="s">
        <v>807</v>
      </c>
      <c r="K49" s="84"/>
      <c r="L49" s="84"/>
      <c r="M49" s="84"/>
      <c r="N49" s="84"/>
      <c r="O49" s="84"/>
      <c r="P49" s="84"/>
      <c r="Q49" s="84"/>
    </row>
    <row r="50" hidden="1" outlineLevel="1">
      <c r="A50" s="11" t="s">
        <v>40</v>
      </c>
      <c r="B50" s="44" t="s">
        <v>808</v>
      </c>
      <c r="C50" s="187"/>
      <c r="D50" s="108"/>
      <c r="E50" s="193">
        <f t="shared" si="2"/>
        <v>5</v>
      </c>
      <c r="F50" s="226"/>
      <c r="G50" s="45"/>
      <c r="H50" s="46">
        <v>262.33</v>
      </c>
      <c r="I50" s="45"/>
      <c r="J50" s="44" t="s">
        <v>652</v>
      </c>
      <c r="K50" s="68"/>
      <c r="L50" s="68"/>
      <c r="M50" s="68"/>
      <c r="N50" s="68"/>
      <c r="O50" s="68"/>
      <c r="P50" s="68"/>
      <c r="Q50" s="68"/>
    </row>
    <row r="51" hidden="1" outlineLevel="1">
      <c r="A51" s="11" t="s">
        <v>40</v>
      </c>
      <c r="B51" s="76" t="s">
        <v>515</v>
      </c>
      <c r="C51" s="155"/>
      <c r="D51" s="156"/>
      <c r="E51" s="193">
        <f t="shared" si="2"/>
        <v>5</v>
      </c>
      <c r="F51" s="54"/>
      <c r="G51" s="31"/>
      <c r="H51" s="32">
        <v>44.99</v>
      </c>
      <c r="I51" s="31"/>
      <c r="J51" s="76" t="s">
        <v>516</v>
      </c>
      <c r="K51" s="77"/>
      <c r="L51" s="77"/>
      <c r="M51" s="77"/>
      <c r="N51" s="77"/>
      <c r="O51" s="77"/>
      <c r="P51" s="77"/>
      <c r="Q51" s="77"/>
    </row>
    <row r="52">
      <c r="A52" s="11" t="s">
        <v>5</v>
      </c>
      <c r="B52" s="185" t="s">
        <v>138</v>
      </c>
      <c r="C52" s="66">
        <v>11.0</v>
      </c>
      <c r="D52" s="14" t="str">
        <f t="shared" ref="D52:D78" si="5">UPPER(TEXT(WEEKDAY(DATEVALUE(CONCATENATE(C52,"/",$C$3,"/",$A$1))),"DDD"))</f>
        <v>QUA.</v>
      </c>
      <c r="E52" s="13">
        <f t="shared" si="2"/>
        <v>5</v>
      </c>
      <c r="F52" s="43"/>
      <c r="G52" s="45"/>
      <c r="H52" s="46">
        <v>29.9</v>
      </c>
      <c r="I52" s="41" t="s">
        <v>252</v>
      </c>
      <c r="J52" s="42" t="s">
        <v>20</v>
      </c>
      <c r="K52" s="45"/>
      <c r="L52" s="45"/>
      <c r="M52" s="45"/>
      <c r="N52" s="45"/>
      <c r="O52" s="45"/>
      <c r="P52" s="45"/>
      <c r="Q52" s="45"/>
    </row>
    <row r="53">
      <c r="A53" s="11" t="s">
        <v>5</v>
      </c>
      <c r="B53" s="177" t="s">
        <v>21</v>
      </c>
      <c r="C53" s="62">
        <v>11.0</v>
      </c>
      <c r="D53" s="25" t="str">
        <f t="shared" si="5"/>
        <v>QUA.</v>
      </c>
      <c r="E53" s="13">
        <f t="shared" si="2"/>
        <v>5</v>
      </c>
      <c r="F53" s="26"/>
      <c r="G53" s="56"/>
      <c r="H53" s="63">
        <v>248.68</v>
      </c>
      <c r="I53" s="33" t="s">
        <v>252</v>
      </c>
      <c r="J53" s="173" t="s">
        <v>22</v>
      </c>
      <c r="K53" s="56"/>
      <c r="L53" s="56"/>
      <c r="M53" s="56"/>
      <c r="N53" s="56"/>
      <c r="O53" s="56"/>
      <c r="P53" s="56"/>
      <c r="Q53" s="56"/>
    </row>
    <row r="54">
      <c r="A54" s="11" t="s">
        <v>5</v>
      </c>
      <c r="B54" s="178" t="s">
        <v>609</v>
      </c>
      <c r="C54" s="66">
        <v>13.0</v>
      </c>
      <c r="D54" s="14" t="str">
        <f t="shared" si="5"/>
        <v>SEX.</v>
      </c>
      <c r="E54" s="144">
        <f t="shared" si="2"/>
        <v>5</v>
      </c>
      <c r="F54" s="43"/>
      <c r="G54" s="46">
        <v>4975.39</v>
      </c>
      <c r="H54" s="45"/>
      <c r="I54" s="65" t="s">
        <v>261</v>
      </c>
      <c r="J54" s="42" t="s">
        <v>64</v>
      </c>
      <c r="K54" s="45"/>
      <c r="L54" s="45"/>
      <c r="M54" s="45"/>
      <c r="N54" s="45"/>
      <c r="O54" s="45"/>
      <c r="P54" s="45"/>
      <c r="Q54" s="45"/>
    </row>
    <row r="55">
      <c r="A55" s="11" t="s">
        <v>25</v>
      </c>
      <c r="B55" s="39" t="s">
        <v>26</v>
      </c>
      <c r="C55" s="66">
        <v>13.0</v>
      </c>
      <c r="D55" s="14" t="str">
        <f t="shared" si="5"/>
        <v>SEX.</v>
      </c>
      <c r="E55" s="13">
        <f t="shared" si="2"/>
        <v>5</v>
      </c>
      <c r="F55" s="87"/>
      <c r="G55" s="45"/>
      <c r="H55" s="46">
        <v>4975.39</v>
      </c>
      <c r="I55" s="67" t="s">
        <v>261</v>
      </c>
      <c r="J55" s="42"/>
      <c r="K55" s="68"/>
      <c r="L55" s="68"/>
      <c r="M55" s="68"/>
      <c r="N55" s="68"/>
      <c r="O55" s="68"/>
      <c r="P55" s="68"/>
      <c r="Q55" s="68"/>
    </row>
    <row r="56">
      <c r="A56" s="11" t="s">
        <v>25</v>
      </c>
      <c r="B56" s="61" t="s">
        <v>27</v>
      </c>
      <c r="C56" s="148">
        <v>13.0</v>
      </c>
      <c r="D56" s="25" t="str">
        <f t="shared" si="5"/>
        <v>SEX.</v>
      </c>
      <c r="E56" s="13">
        <f t="shared" si="2"/>
        <v>5</v>
      </c>
      <c r="F56" s="87"/>
      <c r="G56" s="63">
        <v>4975.39</v>
      </c>
      <c r="H56" s="56"/>
      <c r="I56" s="37" t="s">
        <v>17</v>
      </c>
      <c r="J56" s="40"/>
      <c r="K56" s="59"/>
      <c r="L56" s="59"/>
      <c r="M56" s="59"/>
      <c r="N56" s="59"/>
      <c r="O56" s="59"/>
      <c r="P56" s="59"/>
      <c r="Q56" s="59"/>
    </row>
    <row r="57">
      <c r="A57" s="158" t="s">
        <v>25</v>
      </c>
      <c r="B57" s="61" t="s">
        <v>26</v>
      </c>
      <c r="C57" s="148">
        <v>13.0</v>
      </c>
      <c r="D57" s="25" t="str">
        <f t="shared" si="5"/>
        <v>SEX.</v>
      </c>
      <c r="E57" s="184">
        <f t="shared" si="2"/>
        <v>5</v>
      </c>
      <c r="F57" s="26"/>
      <c r="G57" s="56"/>
      <c r="H57" s="63">
        <v>300.0</v>
      </c>
      <c r="I57" s="37" t="s">
        <v>17</v>
      </c>
      <c r="J57" s="218"/>
      <c r="K57" s="59"/>
      <c r="L57" s="59"/>
      <c r="M57" s="59"/>
      <c r="N57" s="59"/>
      <c r="O57" s="59"/>
      <c r="P57" s="59"/>
      <c r="Q57" s="59"/>
    </row>
    <row r="58">
      <c r="A58" s="95" t="s">
        <v>25</v>
      </c>
      <c r="B58" s="39" t="s">
        <v>27</v>
      </c>
      <c r="C58" s="66">
        <v>13.0</v>
      </c>
      <c r="D58" s="14" t="str">
        <f t="shared" si="5"/>
        <v>SEX.</v>
      </c>
      <c r="E58" s="144">
        <f t="shared" si="2"/>
        <v>5</v>
      </c>
      <c r="F58" s="43"/>
      <c r="G58" s="46">
        <v>300.0</v>
      </c>
      <c r="H58" s="45"/>
      <c r="I58" s="149" t="s">
        <v>13</v>
      </c>
      <c r="J58" s="188"/>
      <c r="K58" s="68"/>
      <c r="L58" s="68"/>
      <c r="M58" s="68"/>
      <c r="N58" s="68"/>
      <c r="O58" s="68"/>
      <c r="P58" s="68"/>
      <c r="Q58" s="68"/>
    </row>
    <row r="59">
      <c r="A59" s="97" t="s">
        <v>5</v>
      </c>
      <c r="B59" s="29" t="s">
        <v>782</v>
      </c>
      <c r="C59" s="73">
        <v>13.0</v>
      </c>
      <c r="D59" s="74" t="str">
        <f t="shared" si="5"/>
        <v>SEX.</v>
      </c>
      <c r="E59" s="193">
        <f t="shared" si="2"/>
        <v>5</v>
      </c>
      <c r="F59" s="30"/>
      <c r="G59" s="31"/>
      <c r="H59" s="32">
        <v>4.5</v>
      </c>
      <c r="I59" s="71" t="s">
        <v>17</v>
      </c>
      <c r="J59" s="72" t="s">
        <v>783</v>
      </c>
      <c r="K59" s="31"/>
      <c r="L59" s="31"/>
      <c r="M59" s="31"/>
      <c r="N59" s="31"/>
      <c r="O59" s="31"/>
      <c r="P59" s="31"/>
      <c r="Q59" s="31"/>
    </row>
    <row r="60">
      <c r="A60" s="11" t="s">
        <v>5</v>
      </c>
      <c r="B60" s="39" t="s">
        <v>102</v>
      </c>
      <c r="C60" s="13">
        <v>15.0</v>
      </c>
      <c r="D60" s="14" t="str">
        <f t="shared" si="5"/>
        <v>DOM.</v>
      </c>
      <c r="E60" s="13">
        <f t="shared" si="2"/>
        <v>5</v>
      </c>
      <c r="F60" s="87">
        <v>44694.0</v>
      </c>
      <c r="G60" s="45"/>
      <c r="H60" s="46">
        <v>182.43</v>
      </c>
      <c r="I60" s="58" t="s">
        <v>17</v>
      </c>
      <c r="J60" s="21" t="s">
        <v>75</v>
      </c>
      <c r="K60" s="39"/>
      <c r="L60" s="39"/>
      <c r="M60" s="39"/>
      <c r="N60" s="39"/>
      <c r="O60" s="39"/>
      <c r="P60" s="39"/>
      <c r="Q60" s="39"/>
    </row>
    <row r="61">
      <c r="A61" s="11" t="s">
        <v>5</v>
      </c>
      <c r="B61" s="61" t="s">
        <v>103</v>
      </c>
      <c r="C61" s="13">
        <v>15.0</v>
      </c>
      <c r="D61" s="14" t="str">
        <f t="shared" si="5"/>
        <v>DOM.</v>
      </c>
      <c r="E61" s="13">
        <f t="shared" si="2"/>
        <v>5</v>
      </c>
      <c r="F61" s="87">
        <v>44694.0</v>
      </c>
      <c r="G61" s="56"/>
      <c r="H61" s="63">
        <v>182.43</v>
      </c>
      <c r="I61" s="58" t="s">
        <v>17</v>
      </c>
      <c r="J61" s="21" t="s">
        <v>75</v>
      </c>
      <c r="K61" s="61"/>
      <c r="L61" s="61"/>
      <c r="M61" s="61"/>
      <c r="N61" s="61"/>
      <c r="O61" s="61"/>
      <c r="P61" s="61"/>
      <c r="Q61" s="61"/>
    </row>
    <row r="62">
      <c r="A62" s="11" t="s">
        <v>5</v>
      </c>
      <c r="B62" s="39" t="s">
        <v>104</v>
      </c>
      <c r="C62" s="13">
        <v>15.0</v>
      </c>
      <c r="D62" s="14" t="str">
        <f t="shared" si="5"/>
        <v>DOM.</v>
      </c>
      <c r="E62" s="13">
        <f t="shared" si="2"/>
        <v>5</v>
      </c>
      <c r="F62" s="87">
        <v>44694.0</v>
      </c>
      <c r="G62" s="45"/>
      <c r="H62" s="46">
        <v>230.66</v>
      </c>
      <c r="I62" s="58" t="s">
        <v>17</v>
      </c>
      <c r="J62" s="21" t="s">
        <v>75</v>
      </c>
      <c r="K62" s="39"/>
      <c r="L62" s="39"/>
      <c r="M62" s="39"/>
      <c r="N62" s="39"/>
      <c r="O62" s="39"/>
      <c r="P62" s="39"/>
      <c r="Q62" s="39"/>
    </row>
    <row r="63">
      <c r="A63" s="11" t="s">
        <v>595</v>
      </c>
      <c r="B63" s="42" t="s">
        <v>109</v>
      </c>
      <c r="C63" s="13">
        <v>15.0</v>
      </c>
      <c r="D63" s="14" t="str">
        <f t="shared" si="5"/>
        <v>DOM.</v>
      </c>
      <c r="E63" s="13">
        <f t="shared" si="2"/>
        <v>5</v>
      </c>
      <c r="F63" s="14"/>
      <c r="G63" s="53">
        <v>2500.0</v>
      </c>
      <c r="H63" s="53"/>
      <c r="I63" s="58" t="s">
        <v>17</v>
      </c>
      <c r="J63" s="44" t="s">
        <v>411</v>
      </c>
      <c r="K63" s="42"/>
      <c r="L63" s="96"/>
      <c r="M63" s="21"/>
      <c r="N63" s="21"/>
      <c r="O63" s="39"/>
      <c r="P63" s="39"/>
      <c r="Q63" s="39"/>
    </row>
    <row r="64">
      <c r="A64" s="11" t="s">
        <v>595</v>
      </c>
      <c r="B64" s="72" t="s">
        <v>117</v>
      </c>
      <c r="C64" s="73">
        <v>15.0</v>
      </c>
      <c r="D64" s="74" t="str">
        <f t="shared" si="5"/>
        <v>DOM.</v>
      </c>
      <c r="E64" s="193">
        <f t="shared" si="2"/>
        <v>5</v>
      </c>
      <c r="F64" s="30"/>
      <c r="G64" s="31"/>
      <c r="H64" s="153">
        <v>20.0</v>
      </c>
      <c r="I64" s="71" t="s">
        <v>17</v>
      </c>
      <c r="J64" s="72" t="s">
        <v>118</v>
      </c>
      <c r="K64" s="157"/>
      <c r="L64" s="157"/>
      <c r="M64" s="157"/>
      <c r="N64" s="157"/>
      <c r="O64" s="77"/>
      <c r="P64" s="77"/>
      <c r="Q64" s="77"/>
    </row>
    <row r="65">
      <c r="A65" s="11" t="s">
        <v>595</v>
      </c>
      <c r="B65" s="179" t="s">
        <v>21</v>
      </c>
      <c r="C65" s="62">
        <v>18.0</v>
      </c>
      <c r="D65" s="25" t="str">
        <f t="shared" si="5"/>
        <v>QUA.</v>
      </c>
      <c r="E65" s="13">
        <f t="shared" si="2"/>
        <v>5</v>
      </c>
      <c r="F65" s="26"/>
      <c r="G65" s="56"/>
      <c r="H65" s="63">
        <v>17.65</v>
      </c>
      <c r="I65" s="33" t="s">
        <v>252</v>
      </c>
      <c r="J65" s="173" t="s">
        <v>22</v>
      </c>
      <c r="K65" s="56"/>
      <c r="L65" s="56"/>
      <c r="M65" s="56"/>
      <c r="N65" s="56"/>
      <c r="O65" s="56"/>
      <c r="P65" s="56"/>
      <c r="Q65" s="56"/>
    </row>
    <row r="66">
      <c r="A66" s="11" t="s">
        <v>595</v>
      </c>
      <c r="B66" s="76" t="s">
        <v>661</v>
      </c>
      <c r="C66" s="80">
        <v>19.0</v>
      </c>
      <c r="D66" s="81" t="str">
        <f t="shared" si="5"/>
        <v>QUI.</v>
      </c>
      <c r="E66" s="193">
        <f t="shared" si="2"/>
        <v>5</v>
      </c>
      <c r="F66" s="54"/>
      <c r="G66" s="31"/>
      <c r="H66" s="32">
        <v>237.17</v>
      </c>
      <c r="I66" s="180" t="s">
        <v>17</v>
      </c>
      <c r="J66" s="83" t="s">
        <v>31</v>
      </c>
      <c r="K66" s="77"/>
      <c r="L66" s="77"/>
      <c r="M66" s="77"/>
      <c r="N66" s="77"/>
      <c r="O66" s="77"/>
      <c r="P66" s="77"/>
      <c r="Q66" s="77"/>
    </row>
    <row r="67">
      <c r="A67" s="11" t="s">
        <v>595</v>
      </c>
      <c r="B67" s="90" t="s">
        <v>91</v>
      </c>
      <c r="C67" s="13">
        <v>19.0</v>
      </c>
      <c r="D67" s="14" t="str">
        <f t="shared" si="5"/>
        <v>QUI.</v>
      </c>
      <c r="E67" s="13">
        <f t="shared" si="2"/>
        <v>5</v>
      </c>
      <c r="F67" s="26"/>
      <c r="G67" s="56"/>
      <c r="H67" s="88">
        <v>665.02</v>
      </c>
      <c r="I67" s="58" t="s">
        <v>17</v>
      </c>
      <c r="J67" s="21" t="s">
        <v>92</v>
      </c>
      <c r="K67" s="55"/>
      <c r="L67" s="55"/>
      <c r="M67" s="55"/>
      <c r="N67" s="55"/>
      <c r="O67" s="55"/>
      <c r="P67" s="55"/>
      <c r="Q67" s="55"/>
    </row>
    <row r="68">
      <c r="A68" s="11" t="s">
        <v>5</v>
      </c>
      <c r="B68" s="39" t="s">
        <v>125</v>
      </c>
      <c r="C68" s="13">
        <v>20.0</v>
      </c>
      <c r="D68" s="14" t="str">
        <f t="shared" si="5"/>
        <v>SEX.</v>
      </c>
      <c r="E68" s="13">
        <f t="shared" si="2"/>
        <v>5</v>
      </c>
      <c r="F68" s="87">
        <v>44694.0</v>
      </c>
      <c r="G68" s="45"/>
      <c r="H68" s="46">
        <v>342.83</v>
      </c>
      <c r="I68" s="58" t="s">
        <v>17</v>
      </c>
      <c r="J68" s="21" t="s">
        <v>126</v>
      </c>
      <c r="K68" s="39"/>
      <c r="L68" s="39"/>
      <c r="M68" s="39"/>
      <c r="N68" s="39"/>
      <c r="O68" s="39"/>
      <c r="P68" s="39"/>
      <c r="Q68" s="39"/>
    </row>
    <row r="69">
      <c r="A69" s="11" t="s">
        <v>595</v>
      </c>
      <c r="B69" s="103" t="s">
        <v>130</v>
      </c>
      <c r="C69" s="80">
        <v>21.0</v>
      </c>
      <c r="D69" s="81" t="str">
        <f t="shared" si="5"/>
        <v>SÁB.</v>
      </c>
      <c r="E69" s="207">
        <f t="shared" si="2"/>
        <v>5</v>
      </c>
      <c r="F69" s="104"/>
      <c r="G69" s="70"/>
      <c r="H69" s="86">
        <v>5.0</v>
      </c>
      <c r="I69" s="142" t="s">
        <v>17</v>
      </c>
      <c r="J69" s="103" t="s">
        <v>695</v>
      </c>
      <c r="K69" s="84"/>
      <c r="L69" s="84"/>
      <c r="M69" s="84"/>
      <c r="N69" s="84"/>
      <c r="O69" s="84"/>
      <c r="P69" s="84"/>
      <c r="Q69" s="84"/>
    </row>
    <row r="70">
      <c r="A70" s="11" t="s">
        <v>595</v>
      </c>
      <c r="B70" s="34" t="s">
        <v>373</v>
      </c>
      <c r="C70" s="13">
        <v>22.0</v>
      </c>
      <c r="D70" s="14" t="str">
        <f t="shared" si="5"/>
        <v>DOM.</v>
      </c>
      <c r="E70" s="13">
        <f t="shared" si="2"/>
        <v>5</v>
      </c>
      <c r="F70" s="94"/>
      <c r="G70" s="56"/>
      <c r="H70" s="63">
        <v>0.0</v>
      </c>
      <c r="I70" s="58" t="s">
        <v>17</v>
      </c>
      <c r="J70" s="21" t="s">
        <v>128</v>
      </c>
      <c r="K70" s="61"/>
      <c r="L70" s="61"/>
      <c r="M70" s="61"/>
      <c r="N70" s="61"/>
      <c r="O70" s="61"/>
      <c r="P70" s="61"/>
      <c r="Q70" s="61"/>
    </row>
    <row r="71">
      <c r="A71" s="11" t="s">
        <v>595</v>
      </c>
      <c r="B71" s="39" t="s">
        <v>134</v>
      </c>
      <c r="C71" s="13">
        <v>23.0</v>
      </c>
      <c r="D71" s="14" t="str">
        <f t="shared" si="5"/>
        <v>SEG.</v>
      </c>
      <c r="E71" s="13">
        <f t="shared" si="2"/>
        <v>5</v>
      </c>
      <c r="F71" s="43"/>
      <c r="G71" s="45"/>
      <c r="H71" s="46">
        <v>269.8</v>
      </c>
      <c r="I71" s="60" t="s">
        <v>13</v>
      </c>
      <c r="J71" s="21" t="s">
        <v>135</v>
      </c>
      <c r="K71" s="39"/>
      <c r="L71" s="39"/>
      <c r="M71" s="39"/>
      <c r="N71" s="39"/>
      <c r="O71" s="39"/>
      <c r="P71" s="39"/>
      <c r="Q71" s="39"/>
    </row>
    <row r="72">
      <c r="A72" s="11" t="s">
        <v>595</v>
      </c>
      <c r="B72" s="179" t="s">
        <v>21</v>
      </c>
      <c r="C72" s="62">
        <v>25.0</v>
      </c>
      <c r="D72" s="25" t="str">
        <f t="shared" si="5"/>
        <v>QUA.</v>
      </c>
      <c r="E72" s="13">
        <f t="shared" si="2"/>
        <v>5</v>
      </c>
      <c r="F72" s="26"/>
      <c r="G72" s="56"/>
      <c r="H72" s="63">
        <v>221.91</v>
      </c>
      <c r="I72" s="33" t="s">
        <v>17</v>
      </c>
      <c r="J72" s="173" t="s">
        <v>22</v>
      </c>
      <c r="K72" s="56"/>
      <c r="L72" s="56"/>
      <c r="M72" s="56"/>
      <c r="N72" s="56"/>
      <c r="O72" s="56"/>
      <c r="P72" s="56"/>
      <c r="Q72" s="56"/>
    </row>
    <row r="73">
      <c r="A73" s="11" t="s">
        <v>595</v>
      </c>
      <c r="B73" s="40" t="s">
        <v>248</v>
      </c>
      <c r="C73" s="62">
        <v>28.0</v>
      </c>
      <c r="D73" s="25" t="str">
        <f t="shared" si="5"/>
        <v>SÁB.</v>
      </c>
      <c r="E73" s="13">
        <f t="shared" si="2"/>
        <v>5</v>
      </c>
      <c r="F73" s="26"/>
      <c r="G73" s="63">
        <v>330.0</v>
      </c>
      <c r="H73" s="101"/>
      <c r="I73" s="60" t="s">
        <v>249</v>
      </c>
      <c r="J73" s="90" t="s">
        <v>253</v>
      </c>
      <c r="K73" s="59"/>
      <c r="L73" s="59"/>
      <c r="M73" s="59"/>
      <c r="N73" s="59"/>
      <c r="O73" s="59"/>
      <c r="P73" s="59"/>
      <c r="Q73" s="59"/>
    </row>
    <row r="74">
      <c r="A74" s="11" t="s">
        <v>595</v>
      </c>
      <c r="B74" s="42" t="s">
        <v>251</v>
      </c>
      <c r="C74" s="62">
        <v>28.0</v>
      </c>
      <c r="D74" s="14" t="str">
        <f t="shared" si="5"/>
        <v>SÁB.</v>
      </c>
      <c r="E74" s="13">
        <f t="shared" si="2"/>
        <v>5</v>
      </c>
      <c r="F74" s="43"/>
      <c r="G74" s="46">
        <v>700.0</v>
      </c>
      <c r="H74" s="53"/>
      <c r="I74" s="65" t="s">
        <v>252</v>
      </c>
      <c r="J74" s="42" t="s">
        <v>253</v>
      </c>
      <c r="K74" s="68"/>
      <c r="L74" s="68"/>
      <c r="M74" s="68"/>
      <c r="N74" s="68"/>
      <c r="O74" s="68"/>
      <c r="P74" s="68"/>
      <c r="Q74" s="68"/>
    </row>
    <row r="75">
      <c r="A75" s="11" t="s">
        <v>595</v>
      </c>
      <c r="B75" s="69" t="s">
        <v>260</v>
      </c>
      <c r="C75" s="62">
        <v>28.0</v>
      </c>
      <c r="D75" s="14" t="str">
        <f t="shared" si="5"/>
        <v>SÁB.</v>
      </c>
      <c r="E75" s="13">
        <f t="shared" si="2"/>
        <v>5</v>
      </c>
      <c r="F75" s="87"/>
      <c r="G75" s="36">
        <v>2563.78</v>
      </c>
      <c r="H75" s="70"/>
      <c r="I75" s="47" t="s">
        <v>261</v>
      </c>
      <c r="J75" s="21" t="s">
        <v>64</v>
      </c>
      <c r="K75" s="70"/>
      <c r="L75" s="70"/>
      <c r="M75" s="70"/>
      <c r="N75" s="70"/>
      <c r="O75" s="70"/>
      <c r="P75" s="70"/>
      <c r="Q75" s="70"/>
    </row>
    <row r="76">
      <c r="A76" s="11" t="s">
        <v>809</v>
      </c>
      <c r="B76" s="61" t="s">
        <v>26</v>
      </c>
      <c r="C76" s="62">
        <v>28.0</v>
      </c>
      <c r="D76" s="25" t="str">
        <f t="shared" si="5"/>
        <v>SÁB.</v>
      </c>
      <c r="E76" s="13">
        <f t="shared" si="2"/>
        <v>5</v>
      </c>
      <c r="F76" s="26"/>
      <c r="G76" s="56"/>
      <c r="H76" s="36">
        <v>2563.78</v>
      </c>
      <c r="I76" s="64" t="s">
        <v>261</v>
      </c>
      <c r="J76" s="40"/>
      <c r="K76" s="59"/>
      <c r="L76" s="59"/>
      <c r="M76" s="59"/>
      <c r="N76" s="59"/>
      <c r="O76" s="59"/>
      <c r="P76" s="59"/>
      <c r="Q76" s="59"/>
    </row>
    <row r="77">
      <c r="A77" s="11" t="s">
        <v>809</v>
      </c>
      <c r="B77" s="39" t="s">
        <v>27</v>
      </c>
      <c r="C77" s="62">
        <v>28.0</v>
      </c>
      <c r="D77" s="14" t="str">
        <f t="shared" si="5"/>
        <v>SÁB.</v>
      </c>
      <c r="E77" s="13">
        <f t="shared" si="2"/>
        <v>5</v>
      </c>
      <c r="F77" s="43"/>
      <c r="G77" s="36">
        <v>2563.78</v>
      </c>
      <c r="H77" s="45"/>
      <c r="I77" s="67" t="s">
        <v>17</v>
      </c>
      <c r="J77" s="42"/>
      <c r="K77" s="68"/>
      <c r="L77" s="68"/>
      <c r="M77" s="68"/>
      <c r="N77" s="68"/>
      <c r="O77" s="68"/>
      <c r="P77" s="68"/>
      <c r="Q77" s="68"/>
    </row>
    <row r="78">
      <c r="A78" s="11" t="s">
        <v>595</v>
      </c>
      <c r="B78" s="99" t="s">
        <v>119</v>
      </c>
      <c r="C78" s="80">
        <v>28.0</v>
      </c>
      <c r="D78" s="81" t="str">
        <f t="shared" si="5"/>
        <v>SÁB.</v>
      </c>
      <c r="E78" s="207">
        <f t="shared" si="2"/>
        <v>5</v>
      </c>
      <c r="F78" s="35"/>
      <c r="G78" s="36">
        <v>0.03</v>
      </c>
      <c r="H78" s="70"/>
      <c r="I78" s="82" t="s">
        <v>13</v>
      </c>
      <c r="J78" s="199" t="s">
        <v>120</v>
      </c>
      <c r="K78" s="84"/>
      <c r="L78" s="84"/>
      <c r="M78" s="84"/>
      <c r="N78" s="84"/>
      <c r="O78" s="84"/>
      <c r="P78" s="84"/>
      <c r="Q78" s="84"/>
    </row>
    <row r="79">
      <c r="A79" s="11"/>
      <c r="B79" s="59"/>
      <c r="C79" s="26"/>
      <c r="D79" s="107"/>
      <c r="E79" s="26"/>
      <c r="F79" s="26"/>
      <c r="G79" s="56"/>
      <c r="H79" s="56"/>
      <c r="I79" s="47"/>
      <c r="J79" s="21"/>
      <c r="K79" s="59"/>
      <c r="L79" s="59"/>
      <c r="M79" s="59"/>
      <c r="N79" s="59"/>
      <c r="O79" s="59"/>
      <c r="P79" s="59"/>
      <c r="Q79" s="59"/>
    </row>
    <row r="80">
      <c r="A80" s="11"/>
      <c r="B80" s="68"/>
      <c r="C80" s="43"/>
      <c r="D80" s="108"/>
      <c r="E80" s="43"/>
      <c r="F80" s="43"/>
      <c r="G80" s="45"/>
      <c r="H80" s="45"/>
      <c r="I80" s="47"/>
      <c r="J80" s="21"/>
      <c r="K80" s="68"/>
      <c r="L80" s="68"/>
      <c r="M80" s="68"/>
      <c r="N80" s="68"/>
      <c r="O80" s="68"/>
      <c r="P80" s="68"/>
      <c r="Q80" s="68"/>
    </row>
    <row r="81">
      <c r="A81" s="109"/>
      <c r="B81" s="110"/>
      <c r="C81" s="111"/>
      <c r="D81" s="112"/>
      <c r="E81" s="111"/>
      <c r="F81" s="111"/>
      <c r="G81" s="113"/>
      <c r="H81" s="113"/>
      <c r="I81" s="114"/>
      <c r="J81" s="21"/>
      <c r="K81" s="110"/>
      <c r="L81" s="110"/>
      <c r="M81" s="110"/>
      <c r="N81" s="110"/>
      <c r="O81" s="110"/>
      <c r="P81" s="110"/>
      <c r="Q81" s="110"/>
    </row>
    <row r="82" ht="15.75" customHeight="1">
      <c r="A82" s="115"/>
      <c r="B82" s="116" t="s">
        <v>142</v>
      </c>
      <c r="C82" s="117"/>
      <c r="D82" s="118"/>
      <c r="E82" s="119"/>
      <c r="F82" s="119"/>
      <c r="G82" s="120">
        <f>SUMIF(A3:A81,"PAGO",G3:G81)</f>
        <v>13533.94</v>
      </c>
      <c r="H82" s="120">
        <f>SUMIF(A3:A81,"PAGO",H3:H81)</f>
        <v>8347.52</v>
      </c>
      <c r="I82" s="121"/>
      <c r="J82" s="117"/>
      <c r="K82" s="120">
        <f t="shared" ref="K82:K83" si="6">G82-H82</f>
        <v>5186.42</v>
      </c>
      <c r="L82" s="120"/>
      <c r="M82" s="120"/>
      <c r="N82" s="120"/>
      <c r="O82" s="120"/>
      <c r="P82" s="120"/>
      <c r="Q82" s="120"/>
    </row>
    <row r="83" ht="15.75" customHeight="1">
      <c r="A83" s="115"/>
      <c r="B83" s="122" t="s">
        <v>143</v>
      </c>
      <c r="C83" s="117"/>
      <c r="D83" s="123"/>
      <c r="E83" s="124"/>
      <c r="F83" s="124"/>
      <c r="G83" s="125">
        <f>SUMIF(A3:A81,"PAGO",G3:G81) + SUMIF(A3:A81,"PREVISTO",G3:G81)</f>
        <v>19627.75</v>
      </c>
      <c r="H83" s="125">
        <f>SUMIF(A3:A81,"PAGO",H3:H81) + SUMIF(A3:A81,"PREVISTO",H3:H81)</f>
        <v>9784.07</v>
      </c>
      <c r="I83" s="121"/>
      <c r="J83" s="122" t="s">
        <v>144</v>
      </c>
      <c r="K83" s="125">
        <f t="shared" si="6"/>
        <v>9843.68</v>
      </c>
      <c r="L83" s="125"/>
      <c r="M83" s="125"/>
      <c r="N83" s="125"/>
      <c r="O83" s="125"/>
      <c r="P83" s="125"/>
      <c r="Q83" s="125"/>
    </row>
    <row r="84">
      <c r="A84" s="126"/>
      <c r="B84" s="127"/>
      <c r="C84" s="93"/>
      <c r="D84" s="128"/>
      <c r="E84" s="129"/>
      <c r="F84" s="129"/>
      <c r="G84" s="130"/>
      <c r="H84" s="130"/>
      <c r="I84" s="131"/>
      <c r="J84" s="132" t="s">
        <v>13</v>
      </c>
      <c r="K84" s="133">
        <f t="shared" ref="K84:K90" si="7">(SUMIFS($G$3:$G$81,$I$3:$I$81,J84,$A$3:$A$81,"PAGO") + SUMIFS($G$3:$G$81,$I$3:$I$81,J84,$A$3:$A$81,"CONTAS")) - (SUMIFS($H$3:$H$81,$I$3:$I$81,J84,$A$3:$A$81,"PAGO") + SUMIFS($H$3:$H$81,$I$3:$I$81,J84,$A$3:$A$81,"CONTAS"))</f>
        <v>349.43</v>
      </c>
      <c r="L84" s="133"/>
      <c r="M84" s="133"/>
      <c r="N84" s="133"/>
      <c r="O84" s="133"/>
      <c r="P84" s="133"/>
      <c r="Q84" s="133"/>
    </row>
    <row r="85">
      <c r="A85" s="134"/>
      <c r="B85" s="135"/>
      <c r="C85" s="93"/>
      <c r="D85" s="128"/>
      <c r="E85" s="129"/>
      <c r="F85" s="129"/>
      <c r="G85" s="130"/>
      <c r="H85" s="130"/>
      <c r="I85" s="131"/>
      <c r="J85" s="132" t="s">
        <v>15</v>
      </c>
      <c r="K85" s="133">
        <f t="shared" si="7"/>
        <v>30</v>
      </c>
      <c r="L85" s="133"/>
      <c r="M85" s="133"/>
      <c r="N85" s="133"/>
      <c r="O85" s="133"/>
      <c r="P85" s="133"/>
      <c r="Q85" s="133"/>
    </row>
    <row r="86">
      <c r="A86" s="134"/>
      <c r="B86" s="136"/>
      <c r="C86" s="137"/>
      <c r="D86" s="128"/>
      <c r="E86" s="129"/>
      <c r="F86" s="129"/>
      <c r="G86" s="130"/>
      <c r="H86" s="130"/>
      <c r="I86" s="131"/>
      <c r="J86" s="132" t="s">
        <v>17</v>
      </c>
      <c r="K86" s="133">
        <f t="shared" si="7"/>
        <v>3904.12</v>
      </c>
      <c r="L86" s="133"/>
      <c r="M86" s="133"/>
      <c r="N86" s="133"/>
      <c r="O86" s="133"/>
      <c r="P86" s="133"/>
      <c r="Q86" s="133"/>
    </row>
    <row r="87">
      <c r="A87" s="134"/>
      <c r="B87" s="93"/>
      <c r="C87" s="137"/>
      <c r="D87" s="138"/>
      <c r="E87" s="139"/>
      <c r="F87" s="139"/>
      <c r="G87" s="140"/>
      <c r="H87" s="140"/>
      <c r="I87" s="131"/>
      <c r="J87" s="132" t="s">
        <v>18</v>
      </c>
      <c r="K87" s="133">
        <f t="shared" si="7"/>
        <v>4.52</v>
      </c>
      <c r="L87" s="133"/>
      <c r="M87" s="133"/>
      <c r="N87" s="133"/>
      <c r="O87" s="133"/>
      <c r="P87" s="133"/>
      <c r="Q87" s="133"/>
    </row>
    <row r="88">
      <c r="A88" s="134"/>
      <c r="B88" s="137"/>
      <c r="C88" s="93"/>
      <c r="D88" s="138"/>
      <c r="E88" s="139"/>
      <c r="F88" s="139"/>
      <c r="G88" s="140"/>
      <c r="H88" s="140"/>
      <c r="I88" s="131"/>
      <c r="J88" s="183" t="s">
        <v>261</v>
      </c>
      <c r="K88" s="133">
        <f t="shared" si="7"/>
        <v>0</v>
      </c>
      <c r="L88" s="93"/>
      <c r="M88" s="93"/>
      <c r="N88" s="93"/>
      <c r="O88" s="93"/>
      <c r="P88" s="93"/>
      <c r="Q88" s="93"/>
    </row>
    <row r="89">
      <c r="A89" s="134"/>
      <c r="B89" s="137"/>
      <c r="C89" s="93"/>
      <c r="D89" s="138"/>
      <c r="E89" s="139"/>
      <c r="F89" s="139"/>
      <c r="G89" s="140"/>
      <c r="H89" s="140"/>
      <c r="I89" s="131"/>
      <c r="J89" s="182" t="s">
        <v>252</v>
      </c>
      <c r="K89" s="133">
        <f t="shared" si="7"/>
        <v>557.82</v>
      </c>
      <c r="L89" s="93"/>
      <c r="M89" s="93"/>
      <c r="N89" s="93"/>
      <c r="O89" s="93"/>
      <c r="P89" s="93"/>
      <c r="Q89" s="93"/>
    </row>
    <row r="90">
      <c r="A90" s="134"/>
      <c r="B90" s="137"/>
      <c r="C90" s="93"/>
      <c r="D90" s="138"/>
      <c r="E90" s="139"/>
      <c r="F90" s="139"/>
      <c r="G90" s="140"/>
      <c r="H90" s="140"/>
      <c r="I90" s="131"/>
      <c r="J90" s="182" t="s">
        <v>249</v>
      </c>
      <c r="K90" s="133">
        <f t="shared" si="7"/>
        <v>340.53</v>
      </c>
      <c r="L90" s="93"/>
      <c r="M90" s="93"/>
      <c r="N90" s="93"/>
      <c r="O90" s="93"/>
      <c r="P90" s="93"/>
      <c r="Q90" s="93"/>
    </row>
    <row r="91">
      <c r="A91" s="134"/>
      <c r="B91" s="137"/>
      <c r="C91" s="93"/>
      <c r="D91" s="138"/>
      <c r="E91" s="139"/>
      <c r="F91" s="139"/>
      <c r="G91" s="140"/>
      <c r="H91" s="140"/>
      <c r="I91" s="131"/>
      <c r="J91" s="219"/>
      <c r="K91" s="93"/>
      <c r="L91" s="93"/>
      <c r="M91" s="93"/>
      <c r="N91" s="93"/>
      <c r="O91" s="93"/>
      <c r="P91" s="93"/>
      <c r="Q91" s="93"/>
    </row>
  </sheetData>
  <customSheetViews>
    <customSheetView guid="{55ED7845-B94B-4003-AD57-D4008EE7E009}" filter="1" showAutoFilter="1">
      <autoFilter ref="$A$2:$K$14"/>
    </customSheetView>
    <customSheetView guid="{5F890A4C-8AFA-4126-80E7-AF0191C5590F}" filter="1" showAutoFilter="1">
      <autoFilter ref="$A$2:$K$3"/>
    </customSheetView>
    <customSheetView guid="{FF238D65-B29E-47B3-BB76-09A78DB37DDE}" filter="1" showAutoFilter="1">
      <autoFilter ref="$A$2:$K$3"/>
    </customSheetView>
    <customSheetView guid="{F6E0E906-D63E-467F-B486-84E6C0126E80}" filter="1" showAutoFilter="1">
      <autoFilter ref="$A$2:$K$3"/>
    </customSheetView>
    <customSheetView guid="{8E320149-1ED8-4245-AE83-2AF08A85D2EE}" filter="1" showAutoFilter="1">
      <autoFilter ref="$A$2:$K$3"/>
    </customSheetView>
  </customSheetViews>
  <conditionalFormatting sqref="A3:Q81">
    <cfRule type="expression" dxfId="0" priority="1">
      <formula>ISEVEN(ROW())</formula>
    </cfRule>
  </conditionalFormatting>
  <conditionalFormatting sqref="A3:Q81">
    <cfRule type="expression" dxfId="1" priority="2">
      <formula>ISODD(ROW())</formula>
    </cfRule>
  </conditionalFormatting>
  <dataValidations>
    <dataValidation type="list" allowBlank="1" sqref="A3:A80">
      <formula1>listas!$A$1:$A$17</formula1>
    </dataValidation>
    <dataValidation type="list" allowBlank="1" sqref="I3:I80">
      <formula1>listas!$B$1:$B$21</formula1>
    </dataValidation>
  </dataValidations>
  <drawing r:id="rId2"/>
  <legacyDrawing r:id="rId3"/>
  <tableParts count="2">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0"/>
    <col customWidth="1" min="4" max="4" width="4.88"/>
    <col customWidth="1" min="5" max="5" width="3.88"/>
    <col customWidth="1" min="6" max="7" width="7.25"/>
    <col customWidth="1" min="8" max="8" width="9.25"/>
    <col customWidth="1" min="9" max="9" width="38.63"/>
    <col customWidth="1" min="10" max="10" width="45.13"/>
  </cols>
  <sheetData>
    <row r="1">
      <c r="A1" s="6" t="s">
        <v>0</v>
      </c>
      <c r="B1" s="7" t="s">
        <v>1</v>
      </c>
      <c r="C1" s="6" t="s">
        <v>2</v>
      </c>
      <c r="D1" s="8" t="s">
        <v>3</v>
      </c>
      <c r="E1" s="10" t="s">
        <v>4</v>
      </c>
      <c r="F1" s="9" t="s">
        <v>5</v>
      </c>
      <c r="G1" s="10" t="s">
        <v>6</v>
      </c>
      <c r="H1" s="10" t="s">
        <v>7</v>
      </c>
      <c r="I1" s="6" t="s">
        <v>8</v>
      </c>
      <c r="J1" s="6" t="s">
        <v>9</v>
      </c>
      <c r="K1" s="6" t="s">
        <v>10</v>
      </c>
      <c r="L1" s="6"/>
      <c r="M1" s="6"/>
      <c r="N1" s="6"/>
      <c r="O1" s="6"/>
      <c r="P1" s="6"/>
      <c r="Q1" s="6"/>
    </row>
    <row r="2">
      <c r="A2" s="11" t="str">
        <f>IFERROR(__xludf.DUMMYFUNCTION("QUERY({aba01JAN;aba02FEV;aba03MAR;aba04ABR;aba05MAI;aba06JUN;aba07JUL;aba08AGO;aba09SET;aba10OUT;aba11NOV;aba12DEZ},""SELECT * "")"),"PAGO")</f>
        <v>PAGO</v>
      </c>
      <c r="B2" s="98" t="str">
        <f>IFERROR(__xludf.DUMMYFUNCTION("""COMPUTED_VALUE"""),"Entrada ano anterior")</f>
        <v>Entrada ano anterior</v>
      </c>
      <c r="C2" s="13">
        <f>IFERROR(__xludf.DUMMYFUNCTION("""COMPUTED_VALUE"""),1.0)</f>
        <v>1</v>
      </c>
      <c r="D2" s="13" t="str">
        <f>IFERROR(__xludf.DUMMYFUNCTION("""COMPUTED_VALUE"""),"SEX.")</f>
        <v>SEX.</v>
      </c>
      <c r="E2" s="13">
        <f>IFERROR(__xludf.DUMMYFUNCTION("""COMPUTED_VALUE"""),1.0)</f>
        <v>1</v>
      </c>
      <c r="F2" s="15"/>
      <c r="G2" s="16">
        <f>IFERROR(__xludf.DUMMYFUNCTION("""COMPUTED_VALUE"""),26.78)</f>
        <v>26.78</v>
      </c>
      <c r="H2" s="227"/>
      <c r="I2" s="21" t="str">
        <f>IFERROR(__xludf.DUMMYFUNCTION("""COMPUTED_VALUE"""),"ITAU")</f>
        <v>ITAU</v>
      </c>
      <c r="J2" s="21" t="str">
        <f>IFERROR(__xludf.DUMMYFUNCTION("""COMPUTED_VALUE"""),"#Recebimentos #Ajuste #Variavel")</f>
        <v>#Recebimentos #Ajuste #Variavel</v>
      </c>
      <c r="K2" s="228"/>
      <c r="L2" s="228"/>
      <c r="M2" s="228"/>
      <c r="N2" s="228"/>
      <c r="O2" s="228"/>
      <c r="P2" s="228"/>
      <c r="Q2" s="228"/>
    </row>
    <row r="3">
      <c r="A3" s="11" t="str">
        <f>IFERROR(__xludf.DUMMYFUNCTION("""COMPUTED_VALUE"""),"PAGO")</f>
        <v>PAGO</v>
      </c>
      <c r="B3" s="98" t="str">
        <f>IFERROR(__xludf.DUMMYFUNCTION("""COMPUTED_VALUE"""),"Entrada ano anterior")</f>
        <v>Entrada ano anterior</v>
      </c>
      <c r="C3" s="13">
        <f>IFERROR(__xludf.DUMMYFUNCTION("""COMPUTED_VALUE"""),1.0)</f>
        <v>1</v>
      </c>
      <c r="D3" s="13" t="str">
        <f>IFERROR(__xludf.DUMMYFUNCTION("""COMPUTED_VALUE"""),"SEX.")</f>
        <v>SEX.</v>
      </c>
      <c r="E3" s="13">
        <f>IFERROR(__xludf.DUMMYFUNCTION("""COMPUTED_VALUE"""),1.0)</f>
        <v>1</v>
      </c>
      <c r="F3" s="15"/>
      <c r="G3" s="16">
        <f>IFERROR(__xludf.DUMMYFUNCTION("""COMPUTED_VALUE"""),2.85)</f>
        <v>2.85</v>
      </c>
      <c r="H3" s="227"/>
      <c r="I3" s="21" t="str">
        <f>IFERROR(__xludf.DUMMYFUNCTION("""COMPUTED_VALUE"""),"INTER")</f>
        <v>INTER</v>
      </c>
      <c r="J3" s="21" t="str">
        <f>IFERROR(__xludf.DUMMYFUNCTION("""COMPUTED_VALUE"""),"#Recebimentos #Ajuste #Variavel")</f>
        <v>#Recebimentos #Ajuste #Variavel</v>
      </c>
      <c r="K3" s="216"/>
      <c r="L3" s="216"/>
      <c r="M3" s="216"/>
      <c r="N3" s="216"/>
      <c r="O3" s="216"/>
      <c r="P3" s="216"/>
      <c r="Q3" s="216"/>
    </row>
    <row r="4">
      <c r="A4" s="11" t="str">
        <f>IFERROR(__xludf.DUMMYFUNCTION("""COMPUTED_VALUE"""),"PAGO")</f>
        <v>PAGO</v>
      </c>
      <c r="B4" s="98" t="str">
        <f>IFERROR(__xludf.DUMMYFUNCTION("""COMPUTED_VALUE"""),"Entrada ano anterior")</f>
        <v>Entrada ano anterior</v>
      </c>
      <c r="C4" s="13">
        <f>IFERROR(__xludf.DUMMYFUNCTION("""COMPUTED_VALUE"""),1.0)</f>
        <v>1</v>
      </c>
      <c r="D4" s="13" t="str">
        <f>IFERROR(__xludf.DUMMYFUNCTION("""COMPUTED_VALUE"""),"SEX.")</f>
        <v>SEX.</v>
      </c>
      <c r="E4" s="13">
        <f>IFERROR(__xludf.DUMMYFUNCTION("""COMPUTED_VALUE"""),1.0)</f>
        <v>1</v>
      </c>
      <c r="F4" s="15"/>
      <c r="G4" s="16">
        <f>IFERROR(__xludf.DUMMYFUNCTION("""COMPUTED_VALUE"""),46.14)</f>
        <v>46.14</v>
      </c>
      <c r="H4" s="227"/>
      <c r="I4" s="21" t="str">
        <f>IFERROR(__xludf.DUMMYFUNCTION("""COMPUTED_VALUE"""),"INTER-PJ")</f>
        <v>INTER-PJ</v>
      </c>
      <c r="J4" s="21" t="str">
        <f>IFERROR(__xludf.DUMMYFUNCTION("""COMPUTED_VALUE"""),"#Recebimentos #Ajuste #Variavel")</f>
        <v>#Recebimentos #Ajuste #Variavel</v>
      </c>
      <c r="K4" s="216"/>
      <c r="L4" s="216"/>
      <c r="M4" s="216"/>
      <c r="N4" s="216"/>
      <c r="O4" s="216"/>
      <c r="P4" s="216"/>
      <c r="Q4" s="216"/>
    </row>
    <row r="5">
      <c r="A5" s="11" t="str">
        <f>IFERROR(__xludf.DUMMYFUNCTION("""COMPUTED_VALUE"""),"PAGO")</f>
        <v>PAGO</v>
      </c>
      <c r="B5" s="98" t="str">
        <f>IFERROR(__xludf.DUMMYFUNCTION("""COMPUTED_VALUE"""),"Entrada ano anterior")</f>
        <v>Entrada ano anterior</v>
      </c>
      <c r="C5" s="13">
        <f>IFERROR(__xludf.DUMMYFUNCTION("""COMPUTED_VALUE"""),1.0)</f>
        <v>1</v>
      </c>
      <c r="D5" s="13" t="str">
        <f>IFERROR(__xludf.DUMMYFUNCTION("""COMPUTED_VALUE"""),"SEX.")</f>
        <v>SEX.</v>
      </c>
      <c r="E5" s="13">
        <f>IFERROR(__xludf.DUMMYFUNCTION("""COMPUTED_VALUE"""),1.0)</f>
        <v>1</v>
      </c>
      <c r="F5" s="15"/>
      <c r="G5" s="16">
        <f>IFERROR(__xludf.DUMMYFUNCTION("""COMPUTED_VALUE"""),223.4)</f>
        <v>223.4</v>
      </c>
      <c r="H5" s="227"/>
      <c r="I5" s="21" t="str">
        <f>IFERROR(__xludf.DUMMYFUNCTION("""COMPUTED_VALUE"""),"NUBANK")</f>
        <v>NUBANK</v>
      </c>
      <c r="J5" s="21" t="str">
        <f>IFERROR(__xludf.DUMMYFUNCTION("""COMPUTED_VALUE"""),"#Recebimentos #Ajuste #Variavel")</f>
        <v>#Recebimentos #Ajuste #Variavel</v>
      </c>
      <c r="K5" s="216"/>
      <c r="L5" s="216"/>
      <c r="M5" s="216"/>
      <c r="N5" s="216"/>
      <c r="O5" s="216"/>
      <c r="P5" s="216"/>
      <c r="Q5" s="216"/>
    </row>
    <row r="6">
      <c r="A6" s="11" t="str">
        <f>IFERROR(__xludf.DUMMYFUNCTION("""COMPUTED_VALUE"""),"PAGO")</f>
        <v>PAGO</v>
      </c>
      <c r="B6" s="98" t="str">
        <f>IFERROR(__xludf.DUMMYFUNCTION("""COMPUTED_VALUE"""),"Entrada ano anterior")</f>
        <v>Entrada ano anterior</v>
      </c>
      <c r="C6" s="13">
        <f>IFERROR(__xludf.DUMMYFUNCTION("""COMPUTED_VALUE"""),1.0)</f>
        <v>1</v>
      </c>
      <c r="D6" s="13" t="str">
        <f>IFERROR(__xludf.DUMMYFUNCTION("""COMPUTED_VALUE"""),"SEX.")</f>
        <v>SEX.</v>
      </c>
      <c r="E6" s="13">
        <f>IFERROR(__xludf.DUMMYFUNCTION("""COMPUTED_VALUE"""),1.0)</f>
        <v>1</v>
      </c>
      <c r="F6" s="15"/>
      <c r="G6" s="16">
        <f>IFERROR(__xludf.DUMMYFUNCTION("""COMPUTED_VALUE"""),9.52)</f>
        <v>9.52</v>
      </c>
      <c r="H6" s="227"/>
      <c r="I6" s="21" t="str">
        <f>IFERROR(__xludf.DUMMYFUNCTION("""COMPUTED_VALUE"""),"C6BANK")</f>
        <v>C6BANK</v>
      </c>
      <c r="J6" s="21" t="str">
        <f>IFERROR(__xludf.DUMMYFUNCTION("""COMPUTED_VALUE"""),"#Recebimentos #Ajuste #Variavel")</f>
        <v>#Recebimentos #Ajuste #Variavel</v>
      </c>
      <c r="K6" s="216"/>
      <c r="L6" s="216"/>
      <c r="M6" s="216"/>
      <c r="N6" s="216"/>
      <c r="O6" s="216"/>
      <c r="P6" s="216"/>
      <c r="Q6" s="216"/>
    </row>
    <row r="7">
      <c r="A7" s="11" t="str">
        <f>IFERROR(__xludf.DUMMYFUNCTION("""COMPUTED_VALUE"""),"PAGO")</f>
        <v>PAGO</v>
      </c>
      <c r="B7" s="98" t="str">
        <f>IFERROR(__xludf.DUMMYFUNCTION("""COMPUTED_VALUE"""),"Jo Pizzaria e Esfiharia")</f>
        <v>Jo Pizzaria e Esfiharia</v>
      </c>
      <c r="C7" s="13">
        <f>IFERROR(__xludf.DUMMYFUNCTION("""COMPUTED_VALUE"""),2.0)</f>
        <v>2</v>
      </c>
      <c r="D7" s="13" t="str">
        <f>IFERROR(__xludf.DUMMYFUNCTION("""COMPUTED_VALUE"""),"SÁB.")</f>
        <v>SÁB.</v>
      </c>
      <c r="E7" s="13">
        <f>IFERROR(__xludf.DUMMYFUNCTION("""COMPUTED_VALUE"""),1.0)</f>
        <v>1</v>
      </c>
      <c r="F7" s="15"/>
      <c r="G7" s="16"/>
      <c r="H7" s="227">
        <f>IFERROR(__xludf.DUMMYFUNCTION("""COMPUTED_VALUE"""),61.8)</f>
        <v>61.8</v>
      </c>
      <c r="I7" s="21" t="str">
        <f>IFERROR(__xludf.DUMMYFUNCTION("""COMPUTED_VALUE"""),"NUBANK")</f>
        <v>NUBANK</v>
      </c>
      <c r="J7" s="21" t="str">
        <f>IFERROR(__xludf.DUMMYFUNCTION("""COMPUTED_VALUE"""),"#Lazer #Comida #Variavel")</f>
        <v>#Lazer #Comida #Variavel</v>
      </c>
      <c r="K7" s="216"/>
      <c r="L7" s="216"/>
      <c r="M7" s="216"/>
      <c r="N7" s="216"/>
      <c r="O7" s="216"/>
      <c r="P7" s="216"/>
      <c r="Q7" s="216"/>
    </row>
    <row r="8">
      <c r="A8" s="11" t="str">
        <f>IFERROR(__xludf.DUMMYFUNCTION("""COMPUTED_VALUE"""),"PAGO")</f>
        <v>PAGO</v>
      </c>
      <c r="B8" s="98" t="str">
        <f>IFERROR(__xludf.DUMMYFUNCTION("""COMPUTED_VALUE"""),"Shibata")</f>
        <v>Shibata</v>
      </c>
      <c r="C8" s="13">
        <f>IFERROR(__xludf.DUMMYFUNCTION("""COMPUTED_VALUE"""),4.0)</f>
        <v>4</v>
      </c>
      <c r="D8" s="13" t="str">
        <f>IFERROR(__xludf.DUMMYFUNCTION("""COMPUTED_VALUE"""),"SEG.")</f>
        <v>SEG.</v>
      </c>
      <c r="E8" s="13">
        <f>IFERROR(__xludf.DUMMYFUNCTION("""COMPUTED_VALUE"""),1.0)</f>
        <v>1</v>
      </c>
      <c r="F8" s="15"/>
      <c r="G8" s="16"/>
      <c r="H8" s="227">
        <f>IFERROR(__xludf.DUMMYFUNCTION("""COMPUTED_VALUE"""),241.22)</f>
        <v>241.22</v>
      </c>
      <c r="I8" s="21" t="str">
        <f>IFERROR(__xludf.DUMMYFUNCTION("""COMPUTED_VALUE"""),"ITAU")</f>
        <v>ITAU</v>
      </c>
      <c r="J8" s="21" t="str">
        <f>IFERROR(__xludf.DUMMYFUNCTION("""COMPUTED_VALUE"""),"#Moradia #Essencial #Mercado #Variavel #Alimentação ")</f>
        <v>#Moradia #Essencial #Mercado #Variavel #Alimentação </v>
      </c>
      <c r="K8" s="216"/>
      <c r="L8" s="216"/>
      <c r="M8" s="216"/>
      <c r="N8" s="216"/>
      <c r="O8" s="216"/>
      <c r="P8" s="216"/>
      <c r="Q8" s="216"/>
    </row>
    <row r="9">
      <c r="A9" s="11" t="str">
        <f>IFERROR(__xludf.DUMMYFUNCTION("""COMPUTED_VALUE"""),"PAGO")</f>
        <v>PAGO</v>
      </c>
      <c r="B9" s="98" t="str">
        <f>IFERROR(__xludf.DUMMYFUNCTION("""COMPUTED_VALUE"""),"IOF")</f>
        <v>IOF</v>
      </c>
      <c r="C9" s="13">
        <f>IFERROR(__xludf.DUMMYFUNCTION("""COMPUTED_VALUE"""),4.0)</f>
        <v>4</v>
      </c>
      <c r="D9" s="13" t="str">
        <f>IFERROR(__xludf.DUMMYFUNCTION("""COMPUTED_VALUE"""),"SEG.")</f>
        <v>SEG.</v>
      </c>
      <c r="E9" s="13">
        <f>IFERROR(__xludf.DUMMYFUNCTION("""COMPUTED_VALUE"""),1.0)</f>
        <v>1</v>
      </c>
      <c r="F9" s="15"/>
      <c r="G9" s="16"/>
      <c r="H9" s="227">
        <f>IFERROR(__xludf.DUMMYFUNCTION("""COMPUTED_VALUE"""),9.17)</f>
        <v>9.17</v>
      </c>
      <c r="I9" s="21" t="str">
        <f>IFERROR(__xludf.DUMMYFUNCTION("""COMPUTED_VALUE"""),"ITAU")</f>
        <v>ITAU</v>
      </c>
      <c r="J9" s="21" t="str">
        <f>IFERROR(__xludf.DUMMYFUNCTION("""COMPUTED_VALUE"""),"#Encargos #IOF #Variavel")</f>
        <v>#Encargos #IOF #Variavel</v>
      </c>
      <c r="K9" s="216"/>
      <c r="L9" s="216"/>
      <c r="M9" s="216"/>
      <c r="N9" s="216"/>
      <c r="O9" s="216"/>
      <c r="P9" s="216"/>
      <c r="Q9" s="216"/>
    </row>
    <row r="10">
      <c r="A10" s="11" t="str">
        <f>IFERROR(__xludf.DUMMYFUNCTION("""COMPUTED_VALUE"""),"CONTAS")</f>
        <v>CONTAS</v>
      </c>
      <c r="B10" s="98" t="str">
        <f>IFERROR(__xludf.DUMMYFUNCTION("""COMPUTED_VALUE"""),"Transferencia via PIX")</f>
        <v>Transferencia via PIX</v>
      </c>
      <c r="C10" s="13">
        <f>IFERROR(__xludf.DUMMYFUNCTION("""COMPUTED_VALUE"""),4.0)</f>
        <v>4</v>
      </c>
      <c r="D10" s="13" t="str">
        <f>IFERROR(__xludf.DUMMYFUNCTION("""COMPUTED_VALUE"""),"SEG.")</f>
        <v>SEG.</v>
      </c>
      <c r="E10" s="13">
        <f>IFERROR(__xludf.DUMMYFUNCTION("""COMPUTED_VALUE"""),1.0)</f>
        <v>1</v>
      </c>
      <c r="F10" s="15"/>
      <c r="G10" s="16"/>
      <c r="H10" s="227">
        <f>IFERROR(__xludf.DUMMYFUNCTION("""COMPUTED_VALUE"""),160.0)</f>
        <v>160</v>
      </c>
      <c r="I10" s="21" t="str">
        <f>IFERROR(__xludf.DUMMYFUNCTION("""COMPUTED_VALUE"""),"NUBANK")</f>
        <v>NUBANK</v>
      </c>
      <c r="J10" s="21"/>
      <c r="K10" s="216"/>
      <c r="L10" s="216"/>
      <c r="M10" s="216"/>
      <c r="N10" s="216"/>
      <c r="O10" s="216"/>
      <c r="P10" s="216"/>
      <c r="Q10" s="216"/>
    </row>
    <row r="11">
      <c r="A11" s="11" t="str">
        <f>IFERROR(__xludf.DUMMYFUNCTION("""COMPUTED_VALUE"""),"CONTAS")</f>
        <v>CONTAS</v>
      </c>
      <c r="B11" s="98" t="str">
        <f>IFERROR(__xludf.DUMMYFUNCTION("""COMPUTED_VALUE"""),"Recebimento via PIX")</f>
        <v>Recebimento via PIX</v>
      </c>
      <c r="C11" s="13">
        <f>IFERROR(__xludf.DUMMYFUNCTION("""COMPUTED_VALUE"""),4.0)</f>
        <v>4</v>
      </c>
      <c r="D11" s="13" t="str">
        <f>IFERROR(__xludf.DUMMYFUNCTION("""COMPUTED_VALUE"""),"SEG.")</f>
        <v>SEG.</v>
      </c>
      <c r="E11" s="13">
        <f>IFERROR(__xludf.DUMMYFUNCTION("""COMPUTED_VALUE"""),1.0)</f>
        <v>1</v>
      </c>
      <c r="F11" s="15"/>
      <c r="G11" s="16">
        <f>IFERROR(__xludf.DUMMYFUNCTION("""COMPUTED_VALUE"""),160.0)</f>
        <v>160</v>
      </c>
      <c r="H11" s="227"/>
      <c r="I11" s="21" t="str">
        <f>IFERROR(__xludf.DUMMYFUNCTION("""COMPUTED_VALUE"""),"ITAU")</f>
        <v>ITAU</v>
      </c>
      <c r="J11" s="21"/>
      <c r="K11" s="216"/>
      <c r="L11" s="216"/>
      <c r="M11" s="216"/>
      <c r="N11" s="216"/>
      <c r="O11" s="216"/>
      <c r="P11" s="216"/>
      <c r="Q11" s="216"/>
    </row>
    <row r="12">
      <c r="A12" s="11" t="str">
        <f>IFERROR(__xludf.DUMMYFUNCTION("""COMPUTED_VALUE"""),"PAGO")</f>
        <v>PAGO</v>
      </c>
      <c r="B12" s="98" t="str">
        <f>IFERROR(__xludf.DUMMYFUNCTION("""COMPUTED_VALUE"""),"Estacionamento - Via Park - Cardiologista")</f>
        <v>Estacionamento - Via Park - Cardiologista</v>
      </c>
      <c r="C12" s="13">
        <f>IFERROR(__xludf.DUMMYFUNCTION("""COMPUTED_VALUE"""),6.0)</f>
        <v>6</v>
      </c>
      <c r="D12" s="13" t="str">
        <f>IFERROR(__xludf.DUMMYFUNCTION("""COMPUTED_VALUE"""),"QUA.")</f>
        <v>QUA.</v>
      </c>
      <c r="E12" s="13">
        <f>IFERROR(__xludf.DUMMYFUNCTION("""COMPUTED_VALUE"""),1.0)</f>
        <v>1</v>
      </c>
      <c r="F12" s="15"/>
      <c r="G12" s="16"/>
      <c r="H12" s="227">
        <f>IFERROR(__xludf.DUMMYFUNCTION("""COMPUTED_VALUE"""),8.0)</f>
        <v>8</v>
      </c>
      <c r="I12" s="21" t="str">
        <f>IFERROR(__xludf.DUMMYFUNCTION("""COMPUTED_VALUE"""),"ITAU")</f>
        <v>ITAU</v>
      </c>
      <c r="J12" s="21" t="str">
        <f>IFERROR(__xludf.DUMMYFUNCTION("""COMPUTED_VALUE"""),"#Carro #Estacionamento #Variavel")</f>
        <v>#Carro #Estacionamento #Variavel</v>
      </c>
      <c r="K12" s="216"/>
      <c r="L12" s="216"/>
      <c r="M12" s="216"/>
      <c r="N12" s="216"/>
      <c r="O12" s="216"/>
      <c r="P12" s="216"/>
      <c r="Q12" s="216"/>
    </row>
    <row r="13">
      <c r="A13" s="11" t="str">
        <f>IFERROR(__xludf.DUMMYFUNCTION("""COMPUTED_VALUE"""),"PAGO")</f>
        <v>PAGO</v>
      </c>
      <c r="B13" s="98" t="str">
        <f>IFERROR(__xludf.DUMMYFUNCTION("""COMPUTED_VALUE"""),"Combustivel")</f>
        <v>Combustivel</v>
      </c>
      <c r="C13" s="13">
        <f>IFERROR(__xludf.DUMMYFUNCTION("""COMPUTED_VALUE"""),6.0)</f>
        <v>6</v>
      </c>
      <c r="D13" s="13" t="str">
        <f>IFERROR(__xludf.DUMMYFUNCTION("""COMPUTED_VALUE"""),"QUA.")</f>
        <v>QUA.</v>
      </c>
      <c r="E13" s="13">
        <f>IFERROR(__xludf.DUMMYFUNCTION("""COMPUTED_VALUE"""),1.0)</f>
        <v>1</v>
      </c>
      <c r="F13" s="15"/>
      <c r="G13" s="16"/>
      <c r="H13" s="227">
        <f>IFERROR(__xludf.DUMMYFUNCTION("""COMPUTED_VALUE"""),60.0)</f>
        <v>60</v>
      </c>
      <c r="I13" s="21" t="str">
        <f>IFERROR(__xludf.DUMMYFUNCTION("""COMPUTED_VALUE"""),"ITAU")</f>
        <v>ITAU</v>
      </c>
      <c r="J13" s="21" t="str">
        <f>IFERROR(__xludf.DUMMYFUNCTION("""COMPUTED_VALUE"""),"#Carro #Combustivel #Variavel")</f>
        <v>#Carro #Combustivel #Variavel</v>
      </c>
      <c r="K13" s="216"/>
      <c r="L13" s="216"/>
      <c r="M13" s="216"/>
      <c r="N13" s="216"/>
      <c r="O13" s="216"/>
      <c r="P13" s="216"/>
      <c r="Q13" s="216"/>
    </row>
    <row r="14">
      <c r="A14" s="11" t="str">
        <f>IFERROR(__xludf.DUMMYFUNCTION("""COMPUTED_VALUE"""),"PAGO")</f>
        <v>PAGO</v>
      </c>
      <c r="B14" s="98" t="str">
        <f>IFERROR(__xludf.DUMMYFUNCTION("""COMPUTED_VALUE"""),"Casa das polpas")</f>
        <v>Casa das polpas</v>
      </c>
      <c r="C14" s="13">
        <f>IFERROR(__xludf.DUMMYFUNCTION("""COMPUTED_VALUE"""),7.0)</f>
        <v>7</v>
      </c>
      <c r="D14" s="13" t="str">
        <f>IFERROR(__xludf.DUMMYFUNCTION("""COMPUTED_VALUE"""),"QUI.")</f>
        <v>QUI.</v>
      </c>
      <c r="E14" s="13">
        <f>IFERROR(__xludf.DUMMYFUNCTION("""COMPUTED_VALUE"""),1.0)</f>
        <v>1</v>
      </c>
      <c r="F14" s="15"/>
      <c r="G14" s="16"/>
      <c r="H14" s="227">
        <f>IFERROR(__xludf.DUMMYFUNCTION("""COMPUTED_VALUE"""),55.0)</f>
        <v>55</v>
      </c>
      <c r="I14" s="21" t="str">
        <f>IFERROR(__xludf.DUMMYFUNCTION("""COMPUTED_VALUE"""),"ITAU")</f>
        <v>ITAU</v>
      </c>
      <c r="J14" s="21" t="str">
        <f>IFERROR(__xludf.DUMMYFUNCTION("""COMPUTED_VALUE"""),"#Mercado #Variavel #Comida")</f>
        <v>#Mercado #Variavel #Comida</v>
      </c>
      <c r="K14" s="216"/>
      <c r="L14" s="216"/>
      <c r="M14" s="216"/>
      <c r="N14" s="216"/>
      <c r="O14" s="216"/>
      <c r="P14" s="216"/>
      <c r="Q14" s="216"/>
    </row>
    <row r="15">
      <c r="A15" s="11" t="str">
        <f>IFERROR(__xludf.DUMMYFUNCTION("""COMPUTED_VALUE"""),"PAGO")</f>
        <v>PAGO</v>
      </c>
      <c r="B15" s="98" t="str">
        <f>IFERROR(__xludf.DUMMYFUNCTION("""COMPUTED_VALUE"""),"Estacionamento - Liomar - Lojas Otimma")</f>
        <v>Estacionamento - Liomar - Lojas Otimma</v>
      </c>
      <c r="C15" s="13">
        <f>IFERROR(__xludf.DUMMYFUNCTION("""COMPUTED_VALUE"""),7.0)</f>
        <v>7</v>
      </c>
      <c r="D15" s="13" t="str">
        <f>IFERROR(__xludf.DUMMYFUNCTION("""COMPUTED_VALUE"""),"QUI.")</f>
        <v>QUI.</v>
      </c>
      <c r="E15" s="13">
        <f>IFERROR(__xludf.DUMMYFUNCTION("""COMPUTED_VALUE"""),1.0)</f>
        <v>1</v>
      </c>
      <c r="F15" s="15"/>
      <c r="G15" s="16"/>
      <c r="H15" s="227">
        <f>IFERROR(__xludf.DUMMYFUNCTION("""COMPUTED_VALUE"""),3.0)</f>
        <v>3</v>
      </c>
      <c r="I15" s="21" t="str">
        <f>IFERROR(__xludf.DUMMYFUNCTION("""COMPUTED_VALUE"""),"ITAU")</f>
        <v>ITAU</v>
      </c>
      <c r="J15" s="21" t="str">
        <f>IFERROR(__xludf.DUMMYFUNCTION("""COMPUTED_VALUE"""),"#Carro #Estacionamento #Variavel")</f>
        <v>#Carro #Estacionamento #Variavel</v>
      </c>
      <c r="K15" s="216"/>
      <c r="L15" s="216"/>
      <c r="M15" s="216"/>
      <c r="N15" s="216"/>
      <c r="O15" s="216"/>
      <c r="P15" s="216"/>
      <c r="Q15" s="216"/>
    </row>
    <row r="16">
      <c r="A16" s="11" t="str">
        <f>IFERROR(__xludf.DUMMYFUNCTION("""COMPUTED_VALUE"""),"PAGO")</f>
        <v>PAGO</v>
      </c>
      <c r="B16" s="98" t="str">
        <f>IFERROR(__xludf.DUMMYFUNCTION("""COMPUTED_VALUE"""),"Lojas Otimma")</f>
        <v>Lojas Otimma</v>
      </c>
      <c r="C16" s="13">
        <f>IFERROR(__xludf.DUMMYFUNCTION("""COMPUTED_VALUE"""),7.0)</f>
        <v>7</v>
      </c>
      <c r="D16" s="13" t="str">
        <f>IFERROR(__xludf.DUMMYFUNCTION("""COMPUTED_VALUE"""),"QUI.")</f>
        <v>QUI.</v>
      </c>
      <c r="E16" s="13">
        <f>IFERROR(__xludf.DUMMYFUNCTION("""COMPUTED_VALUE"""),1.0)</f>
        <v>1</v>
      </c>
      <c r="F16" s="15"/>
      <c r="G16" s="16"/>
      <c r="H16" s="227">
        <f>IFERROR(__xludf.DUMMYFUNCTION("""COMPUTED_VALUE"""),131.18)</f>
        <v>131.18</v>
      </c>
      <c r="I16" s="21" t="str">
        <f>IFERROR(__xludf.DUMMYFUNCTION("""COMPUTED_VALUE"""),"ITAU")</f>
        <v>ITAU</v>
      </c>
      <c r="J16" s="21" t="str">
        <f>IFERROR(__xludf.DUMMYFUNCTION("""COMPUTED_VALUE"""),"#Presentes #Lazer #Variavel")</f>
        <v>#Presentes #Lazer #Variavel</v>
      </c>
      <c r="K16" s="216"/>
      <c r="L16" s="216"/>
      <c r="M16" s="216"/>
      <c r="N16" s="216"/>
      <c r="O16" s="216"/>
      <c r="P16" s="216"/>
      <c r="Q16" s="216"/>
    </row>
    <row r="17">
      <c r="A17" s="11" t="str">
        <f>IFERROR(__xludf.DUMMYFUNCTION("""COMPUTED_VALUE"""),"PAGO")</f>
        <v>PAGO</v>
      </c>
      <c r="B17" s="98" t="str">
        <f>IFERROR(__xludf.DUMMYFUNCTION("""COMPUTED_VALUE"""),"Resgate reserva de emergencia")</f>
        <v>Resgate reserva de emergencia</v>
      </c>
      <c r="C17" s="13">
        <f>IFERROR(__xludf.DUMMYFUNCTION("""COMPUTED_VALUE"""),8.0)</f>
        <v>8</v>
      </c>
      <c r="D17" s="13" t="str">
        <f>IFERROR(__xludf.DUMMYFUNCTION("""COMPUTED_VALUE"""),"SEX.")</f>
        <v>SEX.</v>
      </c>
      <c r="E17" s="13">
        <f>IFERROR(__xludf.DUMMYFUNCTION("""COMPUTED_VALUE"""),1.0)</f>
        <v>1</v>
      </c>
      <c r="F17" s="15"/>
      <c r="G17" s="16">
        <f>IFERROR(__xludf.DUMMYFUNCTION("""COMPUTED_VALUE"""),4200.0)</f>
        <v>4200</v>
      </c>
      <c r="H17" s="227"/>
      <c r="I17" s="21" t="str">
        <f>IFERROR(__xludf.DUMMYFUNCTION("""COMPUTED_VALUE"""),"NUBANK")</f>
        <v>NUBANK</v>
      </c>
      <c r="J17" s="21" t="str">
        <f>IFERROR(__xludf.DUMMYFUNCTION("""COMPUTED_VALUE"""),"#Resgate #Nubank #Variavel")</f>
        <v>#Resgate #Nubank #Variavel</v>
      </c>
      <c r="K17" s="216"/>
      <c r="L17" s="216"/>
      <c r="M17" s="216"/>
      <c r="N17" s="216"/>
      <c r="O17" s="216"/>
      <c r="P17" s="216"/>
      <c r="Q17" s="216"/>
    </row>
    <row r="18">
      <c r="A18" s="11" t="str">
        <f>IFERROR(__xludf.DUMMYFUNCTION("""COMPUTED_VALUE"""),"PAGO")</f>
        <v>PAGO</v>
      </c>
      <c r="B18" s="98" t="str">
        <f>IFERROR(__xludf.DUMMYFUNCTION("""COMPUTED_VALUE"""),"Cartao Roberta")</f>
        <v>Cartao Roberta</v>
      </c>
      <c r="C18" s="13">
        <f>IFERROR(__xludf.DUMMYFUNCTION("""COMPUTED_VALUE"""),8.0)</f>
        <v>8</v>
      </c>
      <c r="D18" s="13" t="str">
        <f>IFERROR(__xludf.DUMMYFUNCTION("""COMPUTED_VALUE"""),"SEX.")</f>
        <v>SEX.</v>
      </c>
      <c r="E18" s="13">
        <f>IFERROR(__xludf.DUMMYFUNCTION("""COMPUTED_VALUE"""),1.0)</f>
        <v>1</v>
      </c>
      <c r="F18" s="15"/>
      <c r="G18" s="16"/>
      <c r="H18" s="227">
        <f>IFERROR(__xludf.DUMMYFUNCTION("""COMPUTED_VALUE"""),576.2499999999999)</f>
        <v>576.25</v>
      </c>
      <c r="I18" s="21" t="str">
        <f>IFERROR(__xludf.DUMMYFUNCTION("""COMPUTED_VALUE"""),"NUBANK")</f>
        <v>NUBANK</v>
      </c>
      <c r="J18" s="21"/>
      <c r="K18" s="216"/>
      <c r="L18" s="216"/>
      <c r="M18" s="216"/>
      <c r="N18" s="216"/>
      <c r="O18" s="216"/>
      <c r="P18" s="216"/>
      <c r="Q18" s="216"/>
    </row>
    <row r="19">
      <c r="A19" s="11" t="str">
        <f>IFERROR(__xludf.DUMMYFUNCTION("""COMPUTED_VALUE"""),"CREDITO")</f>
        <v>CREDITO</v>
      </c>
      <c r="B19" s="98" t="str">
        <f>IFERROR(__xludf.DUMMYFUNCTION("""COMPUTED_VALUE"""),"SPITI")</f>
        <v>SPITI</v>
      </c>
      <c r="C19" s="13"/>
      <c r="D19" s="13"/>
      <c r="E19" s="13">
        <f>IFERROR(__xludf.DUMMYFUNCTION("""COMPUTED_VALUE"""),1.0)</f>
        <v>1</v>
      </c>
      <c r="F19" s="15">
        <f>IFERROR(__xludf.DUMMYFUNCTION("""COMPUTED_VALUE"""),44165.0)</f>
        <v>44165</v>
      </c>
      <c r="G19" s="16"/>
      <c r="H19" s="227">
        <f>IFERROR(__xludf.DUMMYFUNCTION("""COMPUTED_VALUE"""),1.0)</f>
        <v>1</v>
      </c>
      <c r="I19" s="21"/>
      <c r="J19" s="21" t="str">
        <f>IFERROR(__xludf.DUMMYFUNCTION("""COMPUTED_VALUE"""),"#CartaoDeCredito #Roberta #Lazer #Roberta #Variavel")</f>
        <v>#CartaoDeCredito #Roberta #Lazer #Roberta #Variavel</v>
      </c>
      <c r="K19" s="216"/>
      <c r="L19" s="216"/>
      <c r="M19" s="216"/>
      <c r="N19" s="216"/>
      <c r="O19" s="216"/>
      <c r="P19" s="216"/>
      <c r="Q19" s="216"/>
    </row>
    <row r="20">
      <c r="A20" s="11" t="str">
        <f>IFERROR(__xludf.DUMMYFUNCTION("""COMPUTED_VALUE"""),"CREDITO")</f>
        <v>CREDITO</v>
      </c>
      <c r="B20" s="98" t="str">
        <f>IFERROR(__xludf.DUMMYFUNCTION("""COMPUTED_VALUE"""),"PG*Farma22")</f>
        <v>PG*Farma22</v>
      </c>
      <c r="C20" s="13"/>
      <c r="D20" s="13"/>
      <c r="E20" s="13">
        <f>IFERROR(__xludf.DUMMYFUNCTION("""COMPUTED_VALUE"""),1.0)</f>
        <v>1</v>
      </c>
      <c r="F20" s="15">
        <f>IFERROR(__xludf.DUMMYFUNCTION("""COMPUTED_VALUE"""),44175.0)</f>
        <v>44175</v>
      </c>
      <c r="G20" s="16"/>
      <c r="H20" s="227">
        <f>IFERROR(__xludf.DUMMYFUNCTION("""COMPUTED_VALUE"""),30.34)</f>
        <v>30.34</v>
      </c>
      <c r="I20" s="21"/>
      <c r="J20" s="21" t="str">
        <f>IFERROR(__xludf.DUMMYFUNCTION("""COMPUTED_VALUE"""),"#CartaoDeCredito #Roberta #Remedios #Variavel")</f>
        <v>#CartaoDeCredito #Roberta #Remedios #Variavel</v>
      </c>
      <c r="K20" s="216"/>
      <c r="L20" s="216"/>
      <c r="M20" s="216"/>
      <c r="N20" s="216"/>
      <c r="O20" s="216"/>
      <c r="P20" s="216"/>
      <c r="Q20" s="216"/>
    </row>
    <row r="21">
      <c r="A21" s="11" t="str">
        <f>IFERROR(__xludf.DUMMYFUNCTION("""COMPUTED_VALUE"""),"CREDITO")</f>
        <v>CREDITO</v>
      </c>
      <c r="B21" s="98" t="str">
        <f>IFERROR(__xludf.DUMMYFUNCTION("""COMPUTED_VALUE"""),"Jequiti")</f>
        <v>Jequiti</v>
      </c>
      <c r="C21" s="13"/>
      <c r="D21" s="13"/>
      <c r="E21" s="13">
        <f>IFERROR(__xludf.DUMMYFUNCTION("""COMPUTED_VALUE"""),1.0)</f>
        <v>1</v>
      </c>
      <c r="F21" s="15">
        <f>IFERROR(__xludf.DUMMYFUNCTION("""COMPUTED_VALUE"""),44176.0)</f>
        <v>44176</v>
      </c>
      <c r="G21" s="16"/>
      <c r="H21" s="227">
        <f>IFERROR(__xludf.DUMMYFUNCTION("""COMPUTED_VALUE"""),204.48)</f>
        <v>204.48</v>
      </c>
      <c r="I21" s="21"/>
      <c r="J21" s="21" t="str">
        <f>IFERROR(__xludf.DUMMYFUNCTION("""COMPUTED_VALUE"""),"#CartaoDeCredito #Roberta #Variavel #Roberta")</f>
        <v>#CartaoDeCredito #Roberta #Variavel #Roberta</v>
      </c>
      <c r="K21" s="216"/>
      <c r="L21" s="216"/>
      <c r="M21" s="216"/>
      <c r="N21" s="216"/>
      <c r="O21" s="216"/>
      <c r="P21" s="216"/>
      <c r="Q21" s="216"/>
    </row>
    <row r="22">
      <c r="A22" s="11" t="str">
        <f>IFERROR(__xludf.DUMMYFUNCTION("""COMPUTED_VALUE"""),"CREDITO")</f>
        <v>CREDITO</v>
      </c>
      <c r="B22" s="98" t="str">
        <f>IFERROR(__xludf.DUMMYFUNCTION("""COMPUTED_VALUE"""),"PG*Farma22")</f>
        <v>PG*Farma22</v>
      </c>
      <c r="C22" s="13"/>
      <c r="D22" s="13"/>
      <c r="E22" s="13">
        <f>IFERROR(__xludf.DUMMYFUNCTION("""COMPUTED_VALUE"""),1.0)</f>
        <v>1</v>
      </c>
      <c r="F22" s="15">
        <f>IFERROR(__xludf.DUMMYFUNCTION("""COMPUTED_VALUE"""),44179.0)</f>
        <v>44179</v>
      </c>
      <c r="G22" s="16"/>
      <c r="H22" s="227">
        <f>IFERROR(__xludf.DUMMYFUNCTION("""COMPUTED_VALUE"""),-2.49)</f>
        <v>-2.49</v>
      </c>
      <c r="I22" s="21"/>
      <c r="J22" s="21" t="str">
        <f>IFERROR(__xludf.DUMMYFUNCTION("""COMPUTED_VALUE"""),"#CartaoDeCredito #Roberta #Remedios #Variavel")</f>
        <v>#CartaoDeCredito #Roberta #Remedios #Variavel</v>
      </c>
      <c r="K22" s="216"/>
      <c r="L22" s="216"/>
      <c r="M22" s="216"/>
      <c r="N22" s="216"/>
      <c r="O22" s="216"/>
      <c r="P22" s="216"/>
      <c r="Q22" s="216"/>
    </row>
    <row r="23">
      <c r="A23" s="11" t="str">
        <f>IFERROR(__xludf.DUMMYFUNCTION("""COMPUTED_VALUE"""),"CREDITO")</f>
        <v>CREDITO</v>
      </c>
      <c r="B23" s="98" t="str">
        <f>IFERROR(__xludf.DUMMYFUNCTION("""COMPUTED_VALUE"""),"SEGURO RESIDENCIAL ITAU")</f>
        <v>SEGURO RESIDENCIAL ITAU</v>
      </c>
      <c r="C23" s="13"/>
      <c r="D23" s="13"/>
      <c r="E23" s="13">
        <f>IFERROR(__xludf.DUMMYFUNCTION("""COMPUTED_VALUE"""),1.0)</f>
        <v>1</v>
      </c>
      <c r="F23" s="15">
        <f>IFERROR(__xludf.DUMMYFUNCTION("""COMPUTED_VALUE"""),44182.0)</f>
        <v>44182</v>
      </c>
      <c r="G23" s="16"/>
      <c r="H23" s="227">
        <f>IFERROR(__xludf.DUMMYFUNCTION("""COMPUTED_VALUE"""),13.7)</f>
        <v>13.7</v>
      </c>
      <c r="I23" s="21"/>
      <c r="J23" s="21" t="str">
        <f>IFERROR(__xludf.DUMMYFUNCTION("""COMPUTED_VALUE"""),"#CartaoDeCredito #Roberta #Essencial #Fixo #Moradia")</f>
        <v>#CartaoDeCredito #Roberta #Essencial #Fixo #Moradia</v>
      </c>
      <c r="K23" s="216"/>
      <c r="L23" s="216"/>
      <c r="M23" s="216"/>
      <c r="N23" s="216"/>
      <c r="O23" s="216"/>
      <c r="P23" s="216"/>
      <c r="Q23" s="216"/>
    </row>
    <row r="24">
      <c r="A24" s="11" t="str">
        <f>IFERROR(__xludf.DUMMYFUNCTION("""COMPUTED_VALUE"""),"CREDITO")</f>
        <v>CREDITO</v>
      </c>
      <c r="B24" s="98" t="str">
        <f>IFERROR(__xludf.DUMMYFUNCTION("""COMPUTED_VALUE"""),"SHIBATA - PIZZA")</f>
        <v>SHIBATA - PIZZA</v>
      </c>
      <c r="C24" s="13"/>
      <c r="D24" s="13"/>
      <c r="E24" s="13">
        <f>IFERROR(__xludf.DUMMYFUNCTION("""COMPUTED_VALUE"""),1.0)</f>
        <v>1</v>
      </c>
      <c r="F24" s="15">
        <f>IFERROR(__xludf.DUMMYFUNCTION("""COMPUTED_VALUE"""),44183.0)</f>
        <v>44183</v>
      </c>
      <c r="G24" s="16"/>
      <c r="H24" s="227">
        <f>IFERROR(__xludf.DUMMYFUNCTION("""COMPUTED_VALUE"""),57.8)</f>
        <v>57.8</v>
      </c>
      <c r="I24" s="21"/>
      <c r="J24" s="21" t="str">
        <f>IFERROR(__xludf.DUMMYFUNCTION("""COMPUTED_VALUE"""),"#CartaoDeCredito #Roberta #Lazer #Moradia #Mercado #Variavel #Alimentação ")</f>
        <v>#CartaoDeCredito #Roberta #Lazer #Moradia #Mercado #Variavel #Alimentação </v>
      </c>
      <c r="K24" s="216"/>
      <c r="L24" s="216"/>
      <c r="M24" s="216"/>
      <c r="N24" s="216"/>
      <c r="O24" s="216"/>
      <c r="P24" s="216"/>
      <c r="Q24" s="216"/>
    </row>
    <row r="25">
      <c r="A25" s="11" t="str">
        <f>IFERROR(__xludf.DUMMYFUNCTION("""COMPUTED_VALUE"""),"CREDITO")</f>
        <v>CREDITO</v>
      </c>
      <c r="B25" s="98" t="str">
        <f>IFERROR(__xludf.DUMMYFUNCTION("""COMPUTED_VALUE"""),"SHIBATA")</f>
        <v>SHIBATA</v>
      </c>
      <c r="C25" s="13"/>
      <c r="D25" s="13"/>
      <c r="E25" s="13">
        <f>IFERROR(__xludf.DUMMYFUNCTION("""COMPUTED_VALUE"""),1.0)</f>
        <v>1</v>
      </c>
      <c r="F25" s="15">
        <f>IFERROR(__xludf.DUMMYFUNCTION("""COMPUTED_VALUE"""),44183.0)</f>
        <v>44183</v>
      </c>
      <c r="G25" s="16"/>
      <c r="H25" s="227">
        <f>IFERROR(__xludf.DUMMYFUNCTION("""COMPUTED_VALUE"""),89.89)</f>
        <v>89.89</v>
      </c>
      <c r="I25" s="21"/>
      <c r="J25" s="21" t="str">
        <f>IFERROR(__xludf.DUMMYFUNCTION("""COMPUTED_VALUE"""),"#CartaoDeCredito #Roberta #Moradia #Essencial #Mercado #Variavel #Alimentação ")</f>
        <v>#CartaoDeCredito #Roberta #Moradia #Essencial #Mercado #Variavel #Alimentação </v>
      </c>
      <c r="K25" s="216"/>
      <c r="L25" s="216"/>
      <c r="M25" s="216"/>
      <c r="N25" s="216"/>
      <c r="O25" s="216"/>
      <c r="P25" s="216"/>
      <c r="Q25" s="216"/>
    </row>
    <row r="26">
      <c r="A26" s="11" t="str">
        <f>IFERROR(__xludf.DUMMYFUNCTION("""COMPUTED_VALUE"""),"CREDITO")</f>
        <v>CREDITO</v>
      </c>
      <c r="B26" s="98" t="str">
        <f>IFERROR(__xludf.DUMMYFUNCTION("""COMPUTED_VALUE"""),"ZAE SAO JOSE DIVERSOS .RECIFE")</f>
        <v>ZAE SAO JOSE DIVERSOS .RECIFE</v>
      </c>
      <c r="C26" s="13"/>
      <c r="D26" s="13"/>
      <c r="E26" s="13">
        <f>IFERROR(__xludf.DUMMYFUNCTION("""COMPUTED_VALUE"""),1.0)</f>
        <v>1</v>
      </c>
      <c r="F26" s="15">
        <f>IFERROR(__xludf.DUMMYFUNCTION("""COMPUTED_VALUE"""),44186.0)</f>
        <v>44186</v>
      </c>
      <c r="G26" s="16"/>
      <c r="H26" s="227">
        <f>IFERROR(__xludf.DUMMYFUNCTION("""COMPUTED_VALUE"""),4.0)</f>
        <v>4</v>
      </c>
      <c r="I26" s="21"/>
      <c r="J26" s="21" t="str">
        <f>IFERROR(__xludf.DUMMYFUNCTION("""COMPUTED_VALUE"""),"#CartaoDeCredito #Roberta #Carro #Estacionamento #Variavel #Natal #AnoNovo")</f>
        <v>#CartaoDeCredito #Roberta #Carro #Estacionamento #Variavel #Natal #AnoNovo</v>
      </c>
      <c r="K26" s="216"/>
      <c r="L26" s="216"/>
      <c r="M26" s="216"/>
      <c r="N26" s="216"/>
      <c r="O26" s="216"/>
      <c r="P26" s="216"/>
      <c r="Q26" s="216"/>
    </row>
    <row r="27">
      <c r="A27" s="11" t="str">
        <f>IFERROR(__xludf.DUMMYFUNCTION("""COMPUTED_VALUE"""),"CREDITO")</f>
        <v>CREDITO</v>
      </c>
      <c r="B27" s="98" t="str">
        <f>IFERROR(__xludf.DUMMYFUNCTION("""COMPUTED_VALUE"""),"TORRA TORRA VESTUÁRIO 01/03")</f>
        <v>TORRA TORRA VESTUÁRIO 01/03</v>
      </c>
      <c r="C27" s="13"/>
      <c r="D27" s="13"/>
      <c r="E27" s="13">
        <f>IFERROR(__xludf.DUMMYFUNCTION("""COMPUTED_VALUE"""),1.0)</f>
        <v>1</v>
      </c>
      <c r="F27" s="15">
        <f>IFERROR(__xludf.DUMMYFUNCTION("""COMPUTED_VALUE"""),44186.0)</f>
        <v>44186</v>
      </c>
      <c r="G27" s="16"/>
      <c r="H27" s="227">
        <f>IFERROR(__xludf.DUMMYFUNCTION("""COMPUTED_VALUE"""),144.63)</f>
        <v>144.63</v>
      </c>
      <c r="I27" s="21"/>
      <c r="J27" s="21" t="str">
        <f>IFERROR(__xludf.DUMMYFUNCTION("""COMPUTED_VALUE"""),"#CartaoDeCredito #Roberta #Lazer #Presentes #Variavel #Natal #AnoNovo")</f>
        <v>#CartaoDeCredito #Roberta #Lazer #Presentes #Variavel #Natal #AnoNovo</v>
      </c>
      <c r="K27" s="216"/>
      <c r="L27" s="216"/>
      <c r="M27" s="216"/>
      <c r="N27" s="216"/>
      <c r="O27" s="216"/>
      <c r="P27" s="216"/>
      <c r="Q27" s="216"/>
    </row>
    <row r="28">
      <c r="A28" s="11" t="str">
        <f>IFERROR(__xludf.DUMMYFUNCTION("""COMPUTED_VALUE"""),"CREDITO")</f>
        <v>CREDITO</v>
      </c>
      <c r="B28" s="98" t="str">
        <f>IFERROR(__xludf.DUMMYFUNCTION("""COMPUTED_VALUE"""),"NETFLIX.COM DIVERSOS.SAO PAULO")</f>
        <v>NETFLIX.COM DIVERSOS.SAO PAULO</v>
      </c>
      <c r="C28" s="13"/>
      <c r="D28" s="13"/>
      <c r="E28" s="13">
        <f>IFERROR(__xludf.DUMMYFUNCTION("""COMPUTED_VALUE"""),1.0)</f>
        <v>1</v>
      </c>
      <c r="F28" s="15">
        <f>IFERROR(__xludf.DUMMYFUNCTION("""COMPUTED_VALUE"""),44186.0)</f>
        <v>44186</v>
      </c>
      <c r="G28" s="16"/>
      <c r="H28" s="227">
        <f>IFERROR(__xludf.DUMMYFUNCTION("""COMPUTED_VALUE"""),32.9)</f>
        <v>32.9</v>
      </c>
      <c r="I28" s="21"/>
      <c r="J28" s="21" t="str">
        <f>IFERROR(__xludf.DUMMYFUNCTION("""COMPUTED_VALUE"""),"#CartaoDeCredito #Roberta #Streaming #Fixo ")</f>
        <v>#CartaoDeCredito #Roberta #Streaming #Fixo </v>
      </c>
      <c r="K28" s="216"/>
      <c r="L28" s="216"/>
      <c r="M28" s="216"/>
      <c r="N28" s="216"/>
      <c r="O28" s="216"/>
      <c r="P28" s="216"/>
      <c r="Q28" s="216"/>
    </row>
    <row r="29">
      <c r="A29" s="11"/>
      <c r="B29" s="98"/>
      <c r="C29" s="13"/>
      <c r="D29" s="13"/>
      <c r="E29" s="13">
        <f>IFERROR(__xludf.DUMMYFUNCTION("""COMPUTED_VALUE"""),1.0)</f>
        <v>1</v>
      </c>
      <c r="F29" s="15"/>
      <c r="G29" s="16"/>
      <c r="H29" s="227"/>
      <c r="I29" s="21"/>
      <c r="J29" s="21"/>
      <c r="K29" s="216"/>
      <c r="L29" s="216"/>
      <c r="M29" s="216"/>
      <c r="N29" s="216"/>
      <c r="O29" s="216"/>
      <c r="P29" s="216"/>
      <c r="Q29" s="216"/>
    </row>
    <row r="30">
      <c r="A30" s="11" t="str">
        <f>IFERROR(__xludf.DUMMYFUNCTION("""COMPUTED_VALUE"""),"PAGO")</f>
        <v>PAGO</v>
      </c>
      <c r="B30" s="98" t="str">
        <f>IFERROR(__xludf.DUMMYFUNCTION("""COMPUTED_VALUE"""),"Convenio Sr. Antonio - São Cristovão")</f>
        <v>Convenio Sr. Antonio - São Cristovão</v>
      </c>
      <c r="C30" s="13">
        <f>IFERROR(__xludf.DUMMYFUNCTION("""COMPUTED_VALUE"""),8.0)</f>
        <v>8</v>
      </c>
      <c r="D30" s="13" t="str">
        <f>IFERROR(__xludf.DUMMYFUNCTION("""COMPUTED_VALUE"""),"SEX.")</f>
        <v>SEX.</v>
      </c>
      <c r="E30" s="13">
        <f>IFERROR(__xludf.DUMMYFUNCTION("""COMPUTED_VALUE"""),1.0)</f>
        <v>1</v>
      </c>
      <c r="F30" s="15"/>
      <c r="G30" s="16"/>
      <c r="H30" s="227">
        <f>IFERROR(__xludf.DUMMYFUNCTION("""COMPUTED_VALUE"""),539.99)</f>
        <v>539.99</v>
      </c>
      <c r="I30" s="21" t="str">
        <f>IFERROR(__xludf.DUMMYFUNCTION("""COMPUTED_VALUE"""),"NUBANK")</f>
        <v>NUBANK</v>
      </c>
      <c r="J30" s="21" t="str">
        <f>IFERROR(__xludf.DUMMYFUNCTION("""COMPUTED_VALUE"""),"#Essencial #Saude #Convenio #Papai #Fixo")</f>
        <v>#Essencial #Saude #Convenio #Papai #Fixo</v>
      </c>
      <c r="K30" s="216"/>
      <c r="L30" s="216"/>
      <c r="M30" s="216"/>
      <c r="N30" s="216"/>
      <c r="O30" s="216"/>
      <c r="P30" s="216"/>
      <c r="Q30" s="216"/>
    </row>
    <row r="31">
      <c r="A31" s="11" t="str">
        <f>IFERROR(__xludf.DUMMYFUNCTION("""COMPUTED_VALUE"""),"PAGO")</f>
        <v>PAGO</v>
      </c>
      <c r="B31" s="98" t="str">
        <f>IFERROR(__xludf.DUMMYFUNCTION("""COMPUTED_VALUE"""),"Fatura VIVOFIBRA INTERNET")</f>
        <v>Fatura VIVOFIBRA INTERNET</v>
      </c>
      <c r="C31" s="13">
        <f>IFERROR(__xludf.DUMMYFUNCTION("""COMPUTED_VALUE"""),8.0)</f>
        <v>8</v>
      </c>
      <c r="D31" s="13" t="str">
        <f>IFERROR(__xludf.DUMMYFUNCTION("""COMPUTED_VALUE"""),"SEX.")</f>
        <v>SEX.</v>
      </c>
      <c r="E31" s="13">
        <f>IFERROR(__xludf.DUMMYFUNCTION("""COMPUTED_VALUE"""),1.0)</f>
        <v>1</v>
      </c>
      <c r="F31" s="15"/>
      <c r="G31" s="16"/>
      <c r="H31" s="227">
        <f>IFERROR(__xludf.DUMMYFUNCTION("""COMPUTED_VALUE"""),134.99)</f>
        <v>134.99</v>
      </c>
      <c r="I31" s="21" t="str">
        <f>IFERROR(__xludf.DUMMYFUNCTION("""COMPUTED_VALUE"""),"NUBANK")</f>
        <v>NUBANK</v>
      </c>
      <c r="J31" s="21" t="str">
        <f>IFERROR(__xludf.DUMMYFUNCTION("""COMPUTED_VALUE"""),"#Essencial #Internet #Fixo ")</f>
        <v>#Essencial #Internet #Fixo </v>
      </c>
      <c r="K31" s="216"/>
      <c r="L31" s="216"/>
      <c r="M31" s="216"/>
      <c r="N31" s="216"/>
      <c r="O31" s="216"/>
      <c r="P31" s="216"/>
      <c r="Q31" s="216"/>
    </row>
    <row r="32">
      <c r="A32" s="11" t="str">
        <f>IFERROR(__xludf.DUMMYFUNCTION("""COMPUTED_VALUE"""),"CONTAS")</f>
        <v>CONTAS</v>
      </c>
      <c r="B32" s="98" t="str">
        <f>IFERROR(__xludf.DUMMYFUNCTION("""COMPUTED_VALUE"""),"Transferencia via PIX")</f>
        <v>Transferencia via PIX</v>
      </c>
      <c r="C32" s="13">
        <f>IFERROR(__xludf.DUMMYFUNCTION("""COMPUTED_VALUE"""),8.0)</f>
        <v>8</v>
      </c>
      <c r="D32" s="13" t="str">
        <f>IFERROR(__xludf.DUMMYFUNCTION("""COMPUTED_VALUE"""),"SEX.")</f>
        <v>SEX.</v>
      </c>
      <c r="E32" s="13">
        <f>IFERROR(__xludf.DUMMYFUNCTION("""COMPUTED_VALUE"""),1.0)</f>
        <v>1</v>
      </c>
      <c r="F32" s="15"/>
      <c r="G32" s="16"/>
      <c r="H32" s="227">
        <f>IFERROR(__xludf.DUMMYFUNCTION("""COMPUTED_VALUE"""),1700.0)</f>
        <v>1700</v>
      </c>
      <c r="I32" s="21" t="str">
        <f>IFERROR(__xludf.DUMMYFUNCTION("""COMPUTED_VALUE"""),"NUBANK")</f>
        <v>NUBANK</v>
      </c>
      <c r="J32" s="21"/>
      <c r="K32" s="216"/>
      <c r="L32" s="216"/>
      <c r="M32" s="216"/>
      <c r="N32" s="216"/>
      <c r="O32" s="216"/>
      <c r="P32" s="216"/>
      <c r="Q32" s="216"/>
    </row>
    <row r="33">
      <c r="A33" s="11" t="str">
        <f>IFERROR(__xludf.DUMMYFUNCTION("""COMPUTED_VALUE"""),"CONTAS")</f>
        <v>CONTAS</v>
      </c>
      <c r="B33" s="98" t="str">
        <f>IFERROR(__xludf.DUMMYFUNCTION("""COMPUTED_VALUE"""),"Recebimento via PIX")</f>
        <v>Recebimento via PIX</v>
      </c>
      <c r="C33" s="13">
        <f>IFERROR(__xludf.DUMMYFUNCTION("""COMPUTED_VALUE"""),8.0)</f>
        <v>8</v>
      </c>
      <c r="D33" s="13" t="str">
        <f>IFERROR(__xludf.DUMMYFUNCTION("""COMPUTED_VALUE"""),"SEX.")</f>
        <v>SEX.</v>
      </c>
      <c r="E33" s="13">
        <f>IFERROR(__xludf.DUMMYFUNCTION("""COMPUTED_VALUE"""),1.0)</f>
        <v>1</v>
      </c>
      <c r="F33" s="15"/>
      <c r="G33" s="16">
        <f>IFERROR(__xludf.DUMMYFUNCTION("""COMPUTED_VALUE"""),1700.0)</f>
        <v>1700</v>
      </c>
      <c r="H33" s="227"/>
      <c r="I33" s="21" t="str">
        <f>IFERROR(__xludf.DUMMYFUNCTION("""COMPUTED_VALUE"""),"ITAU")</f>
        <v>ITAU</v>
      </c>
      <c r="J33" s="21"/>
      <c r="K33" s="216"/>
      <c r="L33" s="216"/>
      <c r="M33" s="216"/>
      <c r="N33" s="216"/>
      <c r="O33" s="216"/>
      <c r="P33" s="216"/>
      <c r="Q33" s="216"/>
    </row>
    <row r="34">
      <c r="A34" s="11" t="str">
        <f>IFERROR(__xludf.DUMMYFUNCTION("""COMPUTED_VALUE"""),"PAGO")</f>
        <v>PAGO</v>
      </c>
      <c r="B34" s="98" t="str">
        <f>IFERROR(__xludf.DUMMYFUNCTION("""COMPUTED_VALUE"""),"Salario - Certsys")</f>
        <v>Salario - Certsys</v>
      </c>
      <c r="C34" s="13">
        <f>IFERROR(__xludf.DUMMYFUNCTION("""COMPUTED_VALUE"""),8.0)</f>
        <v>8</v>
      </c>
      <c r="D34" s="13" t="str">
        <f>IFERROR(__xludf.DUMMYFUNCTION("""COMPUTED_VALUE"""),"SEX.")</f>
        <v>SEX.</v>
      </c>
      <c r="E34" s="13">
        <f>IFERROR(__xludf.DUMMYFUNCTION("""COMPUTED_VALUE"""),1.0)</f>
        <v>1</v>
      </c>
      <c r="F34" s="15"/>
      <c r="G34" s="16">
        <f>IFERROR(__xludf.DUMMYFUNCTION("""COMPUTED_VALUE"""),12000.0)</f>
        <v>12000</v>
      </c>
      <c r="H34" s="227"/>
      <c r="I34" s="21" t="str">
        <f>IFERROR(__xludf.DUMMYFUNCTION("""COMPUTED_VALUE"""),"INTER-PJ")</f>
        <v>INTER-PJ</v>
      </c>
      <c r="J34" s="21" t="str">
        <f>IFERROR(__xludf.DUMMYFUNCTION("""COMPUTED_VALUE"""),"#Recebimentos #Salario #Fixo")</f>
        <v>#Recebimentos #Salario #Fixo</v>
      </c>
      <c r="K34" s="216"/>
      <c r="L34" s="216"/>
      <c r="M34" s="216"/>
      <c r="N34" s="216"/>
      <c r="O34" s="216"/>
      <c r="P34" s="216"/>
      <c r="Q34" s="216"/>
    </row>
    <row r="35">
      <c r="A35" s="11" t="str">
        <f>IFERROR(__xludf.DUMMYFUNCTION("""COMPUTED_VALUE"""),"CONTAS")</f>
        <v>CONTAS</v>
      </c>
      <c r="B35" s="98" t="str">
        <f>IFERROR(__xludf.DUMMYFUNCTION("""COMPUTED_VALUE"""),"Transferencia via PIX")</f>
        <v>Transferencia via PIX</v>
      </c>
      <c r="C35" s="13">
        <f>IFERROR(__xludf.DUMMYFUNCTION("""COMPUTED_VALUE"""),8.0)</f>
        <v>8</v>
      </c>
      <c r="D35" s="13" t="str">
        <f>IFERROR(__xludf.DUMMYFUNCTION("""COMPUTED_VALUE"""),"SEX.")</f>
        <v>SEX.</v>
      </c>
      <c r="E35" s="13">
        <f>IFERROR(__xludf.DUMMYFUNCTION("""COMPUTED_VALUE"""),1.0)</f>
        <v>1</v>
      </c>
      <c r="F35" s="15"/>
      <c r="G35" s="16"/>
      <c r="H35" s="227">
        <f>IFERROR(__xludf.DUMMYFUNCTION("""COMPUTED_VALUE"""),4200.0)</f>
        <v>4200</v>
      </c>
      <c r="I35" s="21" t="str">
        <f>IFERROR(__xludf.DUMMYFUNCTION("""COMPUTED_VALUE"""),"INTER-PJ")</f>
        <v>INTER-PJ</v>
      </c>
      <c r="J35" s="21"/>
      <c r="K35" s="216"/>
      <c r="L35" s="216"/>
      <c r="M35" s="216"/>
      <c r="N35" s="216"/>
      <c r="O35" s="216"/>
      <c r="P35" s="216"/>
      <c r="Q35" s="216"/>
    </row>
    <row r="36">
      <c r="A36" s="11" t="str">
        <f>IFERROR(__xludf.DUMMYFUNCTION("""COMPUTED_VALUE"""),"CONTAS")</f>
        <v>CONTAS</v>
      </c>
      <c r="B36" s="98" t="str">
        <f>IFERROR(__xludf.DUMMYFUNCTION("""COMPUTED_VALUE"""),"Recebimento via PIX")</f>
        <v>Recebimento via PIX</v>
      </c>
      <c r="C36" s="13">
        <f>IFERROR(__xludf.DUMMYFUNCTION("""COMPUTED_VALUE"""),8.0)</f>
        <v>8</v>
      </c>
      <c r="D36" s="13" t="str">
        <f>IFERROR(__xludf.DUMMYFUNCTION("""COMPUTED_VALUE"""),"SEX.")</f>
        <v>SEX.</v>
      </c>
      <c r="E36" s="13">
        <f>IFERROR(__xludf.DUMMYFUNCTION("""COMPUTED_VALUE"""),1.0)</f>
        <v>1</v>
      </c>
      <c r="F36" s="15"/>
      <c r="G36" s="16">
        <f>IFERROR(__xludf.DUMMYFUNCTION("""COMPUTED_VALUE"""),4200.0)</f>
        <v>4200</v>
      </c>
      <c r="H36" s="227"/>
      <c r="I36" s="21" t="str">
        <f>IFERROR(__xludf.DUMMYFUNCTION("""COMPUTED_VALUE"""),"NUBANK")</f>
        <v>NUBANK</v>
      </c>
      <c r="J36" s="21"/>
      <c r="K36" s="216"/>
      <c r="L36" s="216"/>
      <c r="M36" s="216"/>
      <c r="N36" s="216"/>
      <c r="O36" s="216"/>
      <c r="P36" s="216"/>
      <c r="Q36" s="216"/>
    </row>
    <row r="37">
      <c r="A37" s="11" t="str">
        <f>IFERROR(__xludf.DUMMYFUNCTION("""COMPUTED_VALUE"""),"PAGO")</f>
        <v>PAGO</v>
      </c>
      <c r="B37" s="98" t="str">
        <f>IFERROR(__xludf.DUMMYFUNCTION("""COMPUTED_VALUE"""),"Transferi para investimento - Nubank")</f>
        <v>Transferi para investimento - Nubank</v>
      </c>
      <c r="C37" s="13">
        <f>IFERROR(__xludf.DUMMYFUNCTION("""COMPUTED_VALUE"""),8.0)</f>
        <v>8</v>
      </c>
      <c r="D37" s="13" t="str">
        <f>IFERROR(__xludf.DUMMYFUNCTION("""COMPUTED_VALUE"""),"SEX.")</f>
        <v>SEX.</v>
      </c>
      <c r="E37" s="13">
        <f>IFERROR(__xludf.DUMMYFUNCTION("""COMPUTED_VALUE"""),1.0)</f>
        <v>1</v>
      </c>
      <c r="F37" s="15"/>
      <c r="G37" s="16"/>
      <c r="H37" s="227">
        <f>IFERROR(__xludf.DUMMYFUNCTION("""COMPUTED_VALUE"""),4200.0)</f>
        <v>4200</v>
      </c>
      <c r="I37" s="21" t="str">
        <f>IFERROR(__xludf.DUMMYFUNCTION("""COMPUTED_VALUE"""),"NUBANK")</f>
        <v>NUBANK</v>
      </c>
      <c r="J37" s="21" t="str">
        <f>IFERROR(__xludf.DUMMYFUNCTION("""COMPUTED_VALUE"""),"#Resgate #Nubank #Variavel")</f>
        <v>#Resgate #Nubank #Variavel</v>
      </c>
      <c r="K37" s="216"/>
      <c r="L37" s="216"/>
      <c r="M37" s="216"/>
      <c r="N37" s="216"/>
      <c r="O37" s="216"/>
      <c r="P37" s="216"/>
      <c r="Q37" s="216"/>
    </row>
    <row r="38">
      <c r="A38" s="11" t="str">
        <f>IFERROR(__xludf.DUMMYFUNCTION("""COMPUTED_VALUE"""),"PAGO")</f>
        <v>PAGO</v>
      </c>
      <c r="B38" s="98" t="str">
        <f>IFERROR(__xludf.DUMMYFUNCTION("""COMPUTED_VALUE"""),"Elo Educacional")</f>
        <v>Elo Educacional</v>
      </c>
      <c r="C38" s="13">
        <f>IFERROR(__xludf.DUMMYFUNCTION("""COMPUTED_VALUE"""),8.0)</f>
        <v>8</v>
      </c>
      <c r="D38" s="13" t="str">
        <f>IFERROR(__xludf.DUMMYFUNCTION("""COMPUTED_VALUE"""),"SEX.")</f>
        <v>SEX.</v>
      </c>
      <c r="E38" s="13">
        <f>IFERROR(__xludf.DUMMYFUNCTION("""COMPUTED_VALUE"""),1.0)</f>
        <v>1</v>
      </c>
      <c r="F38" s="15"/>
      <c r="G38" s="16"/>
      <c r="H38" s="227">
        <f>IFERROR(__xludf.DUMMYFUNCTION("""COMPUTED_VALUE"""),1196.0)</f>
        <v>1196</v>
      </c>
      <c r="I38" s="21" t="str">
        <f>IFERROR(__xludf.DUMMYFUNCTION("""COMPUTED_VALUE"""),"INTER-PJ")</f>
        <v>INTER-PJ</v>
      </c>
      <c r="J38" s="21" t="str">
        <f>IFERROR(__xludf.DUMMYFUNCTION("""COMPUTED_VALUE"""),"#Essencial #Escola #Eduardo #Fixo")</f>
        <v>#Essencial #Escola #Eduardo #Fixo</v>
      </c>
      <c r="K38" s="216"/>
      <c r="L38" s="216"/>
      <c r="M38" s="216"/>
      <c r="N38" s="216"/>
      <c r="O38" s="216"/>
      <c r="P38" s="216"/>
      <c r="Q38" s="216"/>
    </row>
    <row r="39">
      <c r="A39" s="11" t="str">
        <f>IFERROR(__xludf.DUMMYFUNCTION("""COMPUTED_VALUE"""),"PAGO")</f>
        <v>PAGO</v>
      </c>
      <c r="B39" s="98" t="str">
        <f>IFERROR(__xludf.DUMMYFUNCTION("""COMPUTED_VALUE"""),"Droga Quinze")</f>
        <v>Droga Quinze</v>
      </c>
      <c r="C39" s="13">
        <f>IFERROR(__xludf.DUMMYFUNCTION("""COMPUTED_VALUE"""),8.0)</f>
        <v>8</v>
      </c>
      <c r="D39" s="13" t="str">
        <f>IFERROR(__xludf.DUMMYFUNCTION("""COMPUTED_VALUE"""),"SEX.")</f>
        <v>SEX.</v>
      </c>
      <c r="E39" s="13">
        <f>IFERROR(__xludf.DUMMYFUNCTION("""COMPUTED_VALUE"""),1.0)</f>
        <v>1</v>
      </c>
      <c r="F39" s="15"/>
      <c r="G39" s="16"/>
      <c r="H39" s="227">
        <f>IFERROR(__xludf.DUMMYFUNCTION("""COMPUTED_VALUE"""),20.9)</f>
        <v>20.9</v>
      </c>
      <c r="I39" s="21" t="str">
        <f>IFERROR(__xludf.DUMMYFUNCTION("""COMPUTED_VALUE"""),"INTER-PJ")</f>
        <v>INTER-PJ</v>
      </c>
      <c r="J39" s="21" t="str">
        <f>IFERROR(__xludf.DUMMYFUNCTION("""COMPUTED_VALUE"""),"#Remedios #Carlos #Variavel ")</f>
        <v>#Remedios #Carlos #Variavel </v>
      </c>
      <c r="K39" s="216"/>
      <c r="L39" s="216"/>
      <c r="M39" s="216"/>
      <c r="N39" s="216"/>
      <c r="O39" s="216"/>
      <c r="P39" s="216"/>
      <c r="Q39" s="216"/>
    </row>
    <row r="40">
      <c r="A40" s="11" t="str">
        <f>IFERROR(__xludf.DUMMYFUNCTION("""COMPUTED_VALUE"""),"PAGO")</f>
        <v>PAGO</v>
      </c>
      <c r="B40" s="98" t="str">
        <f>IFERROR(__xludf.DUMMYFUNCTION("""COMPUTED_VALUE"""),"Supermercados Maximo")</f>
        <v>Supermercados Maximo</v>
      </c>
      <c r="C40" s="13">
        <f>IFERROR(__xludf.DUMMYFUNCTION("""COMPUTED_VALUE"""),8.0)</f>
        <v>8</v>
      </c>
      <c r="D40" s="13" t="str">
        <f>IFERROR(__xludf.DUMMYFUNCTION("""COMPUTED_VALUE"""),"SEX.")</f>
        <v>SEX.</v>
      </c>
      <c r="E40" s="13">
        <f>IFERROR(__xludf.DUMMYFUNCTION("""COMPUTED_VALUE"""),1.0)</f>
        <v>1</v>
      </c>
      <c r="F40" s="15"/>
      <c r="G40" s="16"/>
      <c r="H40" s="227">
        <f>IFERROR(__xludf.DUMMYFUNCTION("""COMPUTED_VALUE"""),28.54)</f>
        <v>28.54</v>
      </c>
      <c r="I40" s="21" t="str">
        <f>IFERROR(__xludf.DUMMYFUNCTION("""COMPUTED_VALUE"""),"INTER-PJ")</f>
        <v>INTER-PJ</v>
      </c>
      <c r="J40" s="21" t="str">
        <f>IFERROR(__xludf.DUMMYFUNCTION("""COMPUTED_VALUE"""),"#Moradia #Essencial #Mercado #Variavel #Alimentação ")</f>
        <v>#Moradia #Essencial #Mercado #Variavel #Alimentação </v>
      </c>
      <c r="K40" s="216"/>
      <c r="L40" s="216"/>
      <c r="M40" s="216"/>
      <c r="N40" s="216"/>
      <c r="O40" s="216"/>
      <c r="P40" s="216"/>
      <c r="Q40" s="216"/>
    </row>
    <row r="41">
      <c r="A41" s="11" t="str">
        <f>IFERROR(__xludf.DUMMYFUNCTION("""COMPUTED_VALUE"""),"PAGO")</f>
        <v>PAGO</v>
      </c>
      <c r="B41" s="98" t="str">
        <f>IFERROR(__xludf.DUMMYFUNCTION("""COMPUTED_VALUE"""),"LP - Gas")</f>
        <v>LP - Gas</v>
      </c>
      <c r="C41" s="13">
        <f>IFERROR(__xludf.DUMMYFUNCTION("""COMPUTED_VALUE"""),8.0)</f>
        <v>8</v>
      </c>
      <c r="D41" s="13" t="str">
        <f>IFERROR(__xludf.DUMMYFUNCTION("""COMPUTED_VALUE"""),"SEX.")</f>
        <v>SEX.</v>
      </c>
      <c r="E41" s="13">
        <f>IFERROR(__xludf.DUMMYFUNCTION("""COMPUTED_VALUE"""),1.0)</f>
        <v>1</v>
      </c>
      <c r="F41" s="15"/>
      <c r="G41" s="16"/>
      <c r="H41" s="227">
        <f>IFERROR(__xludf.DUMMYFUNCTION("""COMPUTED_VALUE"""),70.0)</f>
        <v>70</v>
      </c>
      <c r="I41" s="21" t="str">
        <f>IFERROR(__xludf.DUMMYFUNCTION("""COMPUTED_VALUE"""),"INTER-PJ")</f>
        <v>INTER-PJ</v>
      </c>
      <c r="J41" s="21" t="str">
        <f>IFERROR(__xludf.DUMMYFUNCTION("""COMPUTED_VALUE"""),"#Moradia #Essencial #Variavel #Gas")</f>
        <v>#Moradia #Essencial #Variavel #Gas</v>
      </c>
      <c r="K41" s="216"/>
      <c r="L41" s="216"/>
      <c r="M41" s="216"/>
      <c r="N41" s="216"/>
      <c r="O41" s="216"/>
      <c r="P41" s="216"/>
      <c r="Q41" s="216"/>
    </row>
    <row r="42">
      <c r="A42" s="11" t="str">
        <f>IFERROR(__xludf.DUMMYFUNCTION("""COMPUTED_VALUE"""),"PAGO")</f>
        <v>PAGO</v>
      </c>
      <c r="B42" s="98" t="str">
        <f>IFERROR(__xludf.DUMMYFUNCTION("""COMPUTED_VALUE"""),"Levitar SJC - sorvetes")</f>
        <v>Levitar SJC - sorvetes</v>
      </c>
      <c r="C42" s="13">
        <f>IFERROR(__xludf.DUMMYFUNCTION("""COMPUTED_VALUE"""),9.0)</f>
        <v>9</v>
      </c>
      <c r="D42" s="13" t="str">
        <f>IFERROR(__xludf.DUMMYFUNCTION("""COMPUTED_VALUE"""),"SÁB.")</f>
        <v>SÁB.</v>
      </c>
      <c r="E42" s="13">
        <f>IFERROR(__xludf.DUMMYFUNCTION("""COMPUTED_VALUE"""),1.0)</f>
        <v>1</v>
      </c>
      <c r="F42" s="15"/>
      <c r="G42" s="16"/>
      <c r="H42" s="227">
        <f>IFERROR(__xludf.DUMMYFUNCTION("""COMPUTED_VALUE"""),36.75)</f>
        <v>36.75</v>
      </c>
      <c r="I42" s="21" t="str">
        <f>IFERROR(__xludf.DUMMYFUNCTION("""COMPUTED_VALUE"""),"ITAU")</f>
        <v>ITAU</v>
      </c>
      <c r="J42" s="21" t="str">
        <f>IFERROR(__xludf.DUMMYFUNCTION("""COMPUTED_VALUE"""),"#Lazer #Comida #Variavel")</f>
        <v>#Lazer #Comida #Variavel</v>
      </c>
      <c r="K42" s="216"/>
      <c r="L42" s="216"/>
      <c r="M42" s="216"/>
      <c r="N42" s="216"/>
      <c r="O42" s="216"/>
      <c r="P42" s="216"/>
      <c r="Q42" s="216"/>
    </row>
    <row r="43">
      <c r="A43" s="11" t="str">
        <f>IFERROR(__xludf.DUMMYFUNCTION("""COMPUTED_VALUE"""),"CONTAS")</f>
        <v>CONTAS</v>
      </c>
      <c r="B43" s="98" t="str">
        <f>IFERROR(__xludf.DUMMYFUNCTION("""COMPUTED_VALUE"""),"Transferencia via PIX")</f>
        <v>Transferencia via PIX</v>
      </c>
      <c r="C43" s="13">
        <f>IFERROR(__xludf.DUMMYFUNCTION("""COMPUTED_VALUE"""),9.0)</f>
        <v>9</v>
      </c>
      <c r="D43" s="13" t="str">
        <f>IFERROR(__xludf.DUMMYFUNCTION("""COMPUTED_VALUE"""),"SÁB.")</f>
        <v>SÁB.</v>
      </c>
      <c r="E43" s="13">
        <f>IFERROR(__xludf.DUMMYFUNCTION("""COMPUTED_VALUE"""),1.0)</f>
        <v>1</v>
      </c>
      <c r="F43" s="15"/>
      <c r="G43" s="16"/>
      <c r="H43" s="227">
        <f>IFERROR(__xludf.DUMMYFUNCTION("""COMPUTED_VALUE"""),300.0)</f>
        <v>300</v>
      </c>
      <c r="I43" s="21" t="str">
        <f>IFERROR(__xludf.DUMMYFUNCTION("""COMPUTED_VALUE"""),"INTER-PJ")</f>
        <v>INTER-PJ</v>
      </c>
      <c r="J43" s="21"/>
      <c r="K43" s="216"/>
      <c r="L43" s="216"/>
      <c r="M43" s="216"/>
      <c r="N43" s="216"/>
      <c r="O43" s="216"/>
      <c r="P43" s="216"/>
      <c r="Q43" s="216"/>
    </row>
    <row r="44">
      <c r="A44" s="11" t="str">
        <f>IFERROR(__xludf.DUMMYFUNCTION("""COMPUTED_VALUE"""),"CONTAS")</f>
        <v>CONTAS</v>
      </c>
      <c r="B44" s="98" t="str">
        <f>IFERROR(__xludf.DUMMYFUNCTION("""COMPUTED_VALUE"""),"Recebimento via PIX")</f>
        <v>Recebimento via PIX</v>
      </c>
      <c r="C44" s="13">
        <f>IFERROR(__xludf.DUMMYFUNCTION("""COMPUTED_VALUE"""),9.0)</f>
        <v>9</v>
      </c>
      <c r="D44" s="13" t="str">
        <f>IFERROR(__xludf.DUMMYFUNCTION("""COMPUTED_VALUE"""),"SÁB.")</f>
        <v>SÁB.</v>
      </c>
      <c r="E44" s="13">
        <f>IFERROR(__xludf.DUMMYFUNCTION("""COMPUTED_VALUE"""),1.0)</f>
        <v>1</v>
      </c>
      <c r="F44" s="15"/>
      <c r="G44" s="16">
        <f>IFERROR(__xludf.DUMMYFUNCTION("""COMPUTED_VALUE"""),300.0)</f>
        <v>300</v>
      </c>
      <c r="H44" s="227"/>
      <c r="I44" s="21" t="str">
        <f>IFERROR(__xludf.DUMMYFUNCTION("""COMPUTED_VALUE"""),"ITAU")</f>
        <v>ITAU</v>
      </c>
      <c r="J44" s="21"/>
      <c r="K44" s="216"/>
      <c r="L44" s="216"/>
      <c r="M44" s="216"/>
      <c r="N44" s="216"/>
      <c r="O44" s="216"/>
      <c r="P44" s="216"/>
      <c r="Q44" s="216"/>
    </row>
    <row r="45">
      <c r="A45" s="11" t="str">
        <f>IFERROR(__xludf.DUMMYFUNCTION("""COMPUTED_VALUE"""),"PAGO")</f>
        <v>PAGO</v>
      </c>
      <c r="B45" s="98" t="str">
        <f>IFERROR(__xludf.DUMMYFUNCTION("""COMPUTED_VALUE"""),"Convenio Uniodonto")</f>
        <v>Convenio Uniodonto</v>
      </c>
      <c r="C45" s="13">
        <f>IFERROR(__xludf.DUMMYFUNCTION("""COMPUTED_VALUE"""),10.0)</f>
        <v>10</v>
      </c>
      <c r="D45" s="13" t="str">
        <f>IFERROR(__xludf.DUMMYFUNCTION("""COMPUTED_VALUE"""),"DOM.")</f>
        <v>DOM.</v>
      </c>
      <c r="E45" s="13">
        <f>IFERROR(__xludf.DUMMYFUNCTION("""COMPUTED_VALUE"""),1.0)</f>
        <v>1</v>
      </c>
      <c r="F45" s="15"/>
      <c r="G45" s="16"/>
      <c r="H45" s="227">
        <f>IFERROR(__xludf.DUMMYFUNCTION("""COMPUTED_VALUE"""),102.0)</f>
        <v>102</v>
      </c>
      <c r="I45" s="21" t="str">
        <f>IFERROR(__xludf.DUMMYFUNCTION("""COMPUTED_VALUE"""),"INTER-PJ")</f>
        <v>INTER-PJ</v>
      </c>
      <c r="J45" s="21" t="str">
        <f>IFERROR(__xludf.DUMMYFUNCTION("""COMPUTED_VALUE"""),"#Essencial #Saude #Convenio #Familia #Fixo ")</f>
        <v>#Essencial #Saude #Convenio #Familia #Fixo </v>
      </c>
      <c r="K45" s="216"/>
      <c r="L45" s="216"/>
      <c r="M45" s="216"/>
      <c r="N45" s="216"/>
      <c r="O45" s="216"/>
      <c r="P45" s="216"/>
      <c r="Q45" s="216"/>
    </row>
    <row r="46">
      <c r="A46" s="11" t="str">
        <f>IFERROR(__xludf.DUMMYFUNCTION("""COMPUTED_VALUE"""),"PAGO")</f>
        <v>PAGO</v>
      </c>
      <c r="B46" s="98" t="str">
        <f>IFERROR(__xludf.DUMMYFUNCTION("""COMPUTED_VALUE"""),"Balbinos Burguer")</f>
        <v>Balbinos Burguer</v>
      </c>
      <c r="C46" s="13">
        <f>IFERROR(__xludf.DUMMYFUNCTION("""COMPUTED_VALUE"""),10.0)</f>
        <v>10</v>
      </c>
      <c r="D46" s="13" t="str">
        <f>IFERROR(__xludf.DUMMYFUNCTION("""COMPUTED_VALUE"""),"DOM.")</f>
        <v>DOM.</v>
      </c>
      <c r="E46" s="13">
        <f>IFERROR(__xludf.DUMMYFUNCTION("""COMPUTED_VALUE"""),1.0)</f>
        <v>1</v>
      </c>
      <c r="F46" s="15"/>
      <c r="G46" s="16"/>
      <c r="H46" s="227">
        <f>IFERROR(__xludf.DUMMYFUNCTION("""COMPUTED_VALUE"""),60.4)</f>
        <v>60.4</v>
      </c>
      <c r="I46" s="21" t="str">
        <f>IFERROR(__xludf.DUMMYFUNCTION("""COMPUTED_VALUE"""),"NUBANK")</f>
        <v>NUBANK</v>
      </c>
      <c r="J46" s="21" t="str">
        <f>IFERROR(__xludf.DUMMYFUNCTION("""COMPUTED_VALUE"""),"#Lazer #Comida #Variavel")</f>
        <v>#Lazer #Comida #Variavel</v>
      </c>
      <c r="K46" s="216"/>
      <c r="L46" s="216"/>
      <c r="M46" s="216"/>
      <c r="N46" s="216"/>
      <c r="O46" s="216"/>
      <c r="P46" s="216"/>
      <c r="Q46" s="216"/>
    </row>
    <row r="47">
      <c r="A47" s="11" t="str">
        <f>IFERROR(__xludf.DUMMYFUNCTION("""COMPUTED_VALUE"""),"PAGO")</f>
        <v>PAGO</v>
      </c>
      <c r="B47" s="98" t="str">
        <f>IFERROR(__xludf.DUMMYFUNCTION("""COMPUTED_VALUE"""),"Estacionamento - Hoffen Park - Endocrino")</f>
        <v>Estacionamento - Hoffen Park - Endocrino</v>
      </c>
      <c r="C47" s="13">
        <f>IFERROR(__xludf.DUMMYFUNCTION("""COMPUTED_VALUE"""),11.0)</f>
        <v>11</v>
      </c>
      <c r="D47" s="13" t="str">
        <f>IFERROR(__xludf.DUMMYFUNCTION("""COMPUTED_VALUE"""),"SEG.")</f>
        <v>SEG.</v>
      </c>
      <c r="E47" s="13">
        <f>IFERROR(__xludf.DUMMYFUNCTION("""COMPUTED_VALUE"""),1.0)</f>
        <v>1</v>
      </c>
      <c r="F47" s="15"/>
      <c r="G47" s="16"/>
      <c r="H47" s="227">
        <f>IFERROR(__xludf.DUMMYFUNCTION("""COMPUTED_VALUE"""),10.0)</f>
        <v>10</v>
      </c>
      <c r="I47" s="21" t="str">
        <f>IFERROR(__xludf.DUMMYFUNCTION("""COMPUTED_VALUE"""),"INTER-PJ")</f>
        <v>INTER-PJ</v>
      </c>
      <c r="J47" s="21" t="str">
        <f>IFERROR(__xludf.DUMMYFUNCTION("""COMPUTED_VALUE"""),"#Carro #Estacionamento #Variavel")</f>
        <v>#Carro #Estacionamento #Variavel</v>
      </c>
      <c r="K47" s="216"/>
      <c r="L47" s="216"/>
      <c r="M47" s="216"/>
      <c r="N47" s="216"/>
      <c r="O47" s="216"/>
      <c r="P47" s="216"/>
      <c r="Q47" s="216"/>
    </row>
    <row r="48">
      <c r="A48" s="11" t="str">
        <f>IFERROR(__xludf.DUMMYFUNCTION("""COMPUTED_VALUE"""),"PAGO")</f>
        <v>PAGO</v>
      </c>
      <c r="B48" s="98" t="str">
        <f>IFERROR(__xludf.DUMMYFUNCTION("""COMPUTED_VALUE"""),"Cobasi SJC - Shibata")</f>
        <v>Cobasi SJC - Shibata</v>
      </c>
      <c r="C48" s="13">
        <f>IFERROR(__xludf.DUMMYFUNCTION("""COMPUTED_VALUE"""),11.0)</f>
        <v>11</v>
      </c>
      <c r="D48" s="13" t="str">
        <f>IFERROR(__xludf.DUMMYFUNCTION("""COMPUTED_VALUE"""),"SEG.")</f>
        <v>SEG.</v>
      </c>
      <c r="E48" s="13">
        <f>IFERROR(__xludf.DUMMYFUNCTION("""COMPUTED_VALUE"""),1.0)</f>
        <v>1</v>
      </c>
      <c r="F48" s="15"/>
      <c r="G48" s="16"/>
      <c r="H48" s="227">
        <f>IFERROR(__xludf.DUMMYFUNCTION("""COMPUTED_VALUE"""),47.0)</f>
        <v>47</v>
      </c>
      <c r="I48" s="21" t="str">
        <f>IFERROR(__xludf.DUMMYFUNCTION("""COMPUTED_VALUE"""),"INTER-PJ")</f>
        <v>INTER-PJ</v>
      </c>
      <c r="J48" s="21" t="str">
        <f>IFERROR(__xludf.DUMMYFUNCTION("""COMPUTED_VALUE"""),"#Jardinagem #Lazer #Variavel")</f>
        <v>#Jardinagem #Lazer #Variavel</v>
      </c>
      <c r="K48" s="216"/>
      <c r="L48" s="216"/>
      <c r="M48" s="216"/>
      <c r="N48" s="216"/>
      <c r="O48" s="216"/>
      <c r="P48" s="216"/>
      <c r="Q48" s="216"/>
    </row>
    <row r="49">
      <c r="A49" s="11" t="str">
        <f>IFERROR(__xludf.DUMMYFUNCTION("""COMPUTED_VALUE"""),"PAGO")</f>
        <v>PAGO</v>
      </c>
      <c r="B49" s="98" t="str">
        <f>IFERROR(__xludf.DUMMYFUNCTION("""COMPUTED_VALUE"""),"Shibata")</f>
        <v>Shibata</v>
      </c>
      <c r="C49" s="13">
        <f>IFERROR(__xludf.DUMMYFUNCTION("""COMPUTED_VALUE"""),11.0)</f>
        <v>11</v>
      </c>
      <c r="D49" s="13" t="str">
        <f>IFERROR(__xludf.DUMMYFUNCTION("""COMPUTED_VALUE"""),"SEG.")</f>
        <v>SEG.</v>
      </c>
      <c r="E49" s="13">
        <f>IFERROR(__xludf.DUMMYFUNCTION("""COMPUTED_VALUE"""),1.0)</f>
        <v>1</v>
      </c>
      <c r="F49" s="15"/>
      <c r="G49" s="16"/>
      <c r="H49" s="227">
        <f>IFERROR(__xludf.DUMMYFUNCTION("""COMPUTED_VALUE"""),45.47)</f>
        <v>45.47</v>
      </c>
      <c r="I49" s="21" t="str">
        <f>IFERROR(__xludf.DUMMYFUNCTION("""COMPUTED_VALUE"""),"INTER-PJ")</f>
        <v>INTER-PJ</v>
      </c>
      <c r="J49" s="21" t="str">
        <f>IFERROR(__xludf.DUMMYFUNCTION("""COMPUTED_VALUE"""),"#Moradia #Essencial #Mercado #Variavel #Alimentação ")</f>
        <v>#Moradia #Essencial #Mercado #Variavel #Alimentação </v>
      </c>
      <c r="K49" s="216"/>
      <c r="L49" s="216"/>
      <c r="M49" s="216"/>
      <c r="N49" s="216"/>
      <c r="O49" s="216"/>
      <c r="P49" s="216"/>
      <c r="Q49" s="216"/>
    </row>
    <row r="50">
      <c r="A50" s="11" t="str">
        <f>IFERROR(__xludf.DUMMYFUNCTION("""COMPUTED_VALUE"""),"PAGO")</f>
        <v>PAGO</v>
      </c>
      <c r="B50" s="98" t="str">
        <f>IFERROR(__xludf.DUMMYFUNCTION("""COMPUTED_VALUE"""),"Material Dourado do Aluno")</f>
        <v>Material Dourado do Aluno</v>
      </c>
      <c r="C50" s="13">
        <f>IFERROR(__xludf.DUMMYFUNCTION("""COMPUTED_VALUE"""),11.0)</f>
        <v>11</v>
      </c>
      <c r="D50" s="13" t="str">
        <f>IFERROR(__xludf.DUMMYFUNCTION("""COMPUTED_VALUE"""),"SEG.")</f>
        <v>SEG.</v>
      </c>
      <c r="E50" s="13">
        <f>IFERROR(__xludf.DUMMYFUNCTION("""COMPUTED_VALUE"""),1.0)</f>
        <v>1</v>
      </c>
      <c r="F50" s="15"/>
      <c r="G50" s="16"/>
      <c r="H50" s="227">
        <f>IFERROR(__xludf.DUMMYFUNCTION("""COMPUTED_VALUE"""),16.9)</f>
        <v>16.9</v>
      </c>
      <c r="I50" s="21" t="str">
        <f>IFERROR(__xludf.DUMMYFUNCTION("""COMPUTED_VALUE"""),"INTER-PJ")</f>
        <v>INTER-PJ</v>
      </c>
      <c r="J50" s="21" t="str">
        <f>IFERROR(__xludf.DUMMYFUNCTION("""COMPUTED_VALUE"""),"#Escola #Eduardo #Variavel #MaterialEscolar")</f>
        <v>#Escola #Eduardo #Variavel #MaterialEscolar</v>
      </c>
      <c r="K50" s="216"/>
      <c r="L50" s="216"/>
      <c r="M50" s="216"/>
      <c r="N50" s="216"/>
      <c r="O50" s="216"/>
      <c r="P50" s="216"/>
      <c r="Q50" s="216"/>
    </row>
    <row r="51">
      <c r="A51" s="11" t="str">
        <f>IFERROR(__xludf.DUMMYFUNCTION("""COMPUTED_VALUE"""),"PAGO")</f>
        <v>PAGO</v>
      </c>
      <c r="B51" s="98" t="str">
        <f>IFERROR(__xludf.DUMMYFUNCTION("""COMPUTED_VALUE"""),"Jazigo - Semestralidade")</f>
        <v>Jazigo - Semestralidade</v>
      </c>
      <c r="C51" s="13">
        <f>IFERROR(__xludf.DUMMYFUNCTION("""COMPUTED_VALUE"""),11.0)</f>
        <v>11</v>
      </c>
      <c r="D51" s="13" t="str">
        <f>IFERROR(__xludf.DUMMYFUNCTION("""COMPUTED_VALUE"""),"SEG.")</f>
        <v>SEG.</v>
      </c>
      <c r="E51" s="13">
        <f>IFERROR(__xludf.DUMMYFUNCTION("""COMPUTED_VALUE"""),1.0)</f>
        <v>1</v>
      </c>
      <c r="F51" s="15">
        <f>IFERROR(__xludf.DUMMYFUNCTION("""COMPUTED_VALUE"""),44143.0)</f>
        <v>44143</v>
      </c>
      <c r="G51" s="16"/>
      <c r="H51" s="227">
        <f>IFERROR(__xludf.DUMMYFUNCTION("""COMPUTED_VALUE"""),789.51)</f>
        <v>789.51</v>
      </c>
      <c r="I51" s="21" t="str">
        <f>IFERROR(__xludf.DUMMYFUNCTION("""COMPUTED_VALUE"""),"INTER-PJ")</f>
        <v>INTER-PJ</v>
      </c>
      <c r="J51" s="21" t="str">
        <f>IFERROR(__xludf.DUMMYFUNCTION("""COMPUTED_VALUE"""),"#Jazigo #Variavel")</f>
        <v>#Jazigo #Variavel</v>
      </c>
      <c r="K51" s="216"/>
      <c r="L51" s="216"/>
      <c r="M51" s="216"/>
      <c r="N51" s="216"/>
      <c r="O51" s="216"/>
      <c r="P51" s="216"/>
      <c r="Q51" s="216"/>
    </row>
    <row r="52">
      <c r="A52" s="11" t="str">
        <f>IFERROR(__xludf.DUMMYFUNCTION("""COMPUTED_VALUE"""),"PAGO")</f>
        <v>PAGO</v>
      </c>
      <c r="B52" s="98" t="str">
        <f>IFERROR(__xludf.DUMMYFUNCTION("""COMPUTED_VALUE"""),"Cartao NuBank")</f>
        <v>Cartao NuBank</v>
      </c>
      <c r="C52" s="13">
        <f>IFERROR(__xludf.DUMMYFUNCTION("""COMPUTED_VALUE"""),11.0)</f>
        <v>11</v>
      </c>
      <c r="D52" s="13" t="str">
        <f>IFERROR(__xludf.DUMMYFUNCTION("""COMPUTED_VALUE"""),"SEG.")</f>
        <v>SEG.</v>
      </c>
      <c r="E52" s="13">
        <f>IFERROR(__xludf.DUMMYFUNCTION("""COMPUTED_VALUE"""),1.0)</f>
        <v>1</v>
      </c>
      <c r="F52" s="15">
        <f>IFERROR(__xludf.DUMMYFUNCTION("""COMPUTED_VALUE"""),44143.0)</f>
        <v>44143</v>
      </c>
      <c r="G52" s="16"/>
      <c r="H52" s="227">
        <f>IFERROR(__xludf.DUMMYFUNCTION("""COMPUTED_VALUE"""),99.80000000000001)</f>
        <v>99.8</v>
      </c>
      <c r="I52" s="21" t="str">
        <f>IFERROR(__xludf.DUMMYFUNCTION("""COMPUTED_VALUE"""),"NUBANK")</f>
        <v>NUBANK</v>
      </c>
      <c r="J52" s="21"/>
      <c r="K52" s="216"/>
      <c r="L52" s="216"/>
      <c r="M52" s="216"/>
      <c r="N52" s="216"/>
      <c r="O52" s="216"/>
      <c r="P52" s="216"/>
      <c r="Q52" s="216"/>
    </row>
    <row r="53">
      <c r="A53" s="11" t="str">
        <f>IFERROR(__xludf.DUMMYFUNCTION("""COMPUTED_VALUE"""),"CREDITO")</f>
        <v>CREDITO</v>
      </c>
      <c r="B53" s="98" t="str">
        <f>IFERROR(__xludf.DUMMYFUNCTION("""COMPUTED_VALUE"""),"Google Playkids - PK XD - Natal")</f>
        <v>Google Playkids - PK XD - Natal</v>
      </c>
      <c r="C53" s="13"/>
      <c r="D53" s="13"/>
      <c r="E53" s="13">
        <f>IFERROR(__xludf.DUMMYFUNCTION("""COMPUTED_VALUE"""),1.0)</f>
        <v>1</v>
      </c>
      <c r="F53" s="15">
        <f>IFERROR(__xludf.DUMMYFUNCTION("""COMPUTED_VALUE"""),44178.0)</f>
        <v>44178</v>
      </c>
      <c r="G53" s="16"/>
      <c r="H53" s="227">
        <f>IFERROR(__xludf.DUMMYFUNCTION("""COMPUTED_VALUE"""),74.9)</f>
        <v>74.9</v>
      </c>
      <c r="I53" s="21"/>
      <c r="J53" s="21" t="str">
        <f>IFERROR(__xludf.DUMMYFUNCTION("""COMPUTED_VALUE"""),"#CartaoDeCredito #Cicero #Lazer #Presentes #Eduardo #Variavel")</f>
        <v>#CartaoDeCredito #Cicero #Lazer #Presentes #Eduardo #Variavel</v>
      </c>
      <c r="K53" s="216"/>
      <c r="L53" s="216"/>
      <c r="M53" s="216"/>
      <c r="N53" s="216"/>
      <c r="O53" s="216"/>
      <c r="P53" s="216"/>
      <c r="Q53" s="216"/>
    </row>
    <row r="54">
      <c r="A54" s="11" t="str">
        <f>IFERROR(__xludf.DUMMYFUNCTION("""COMPUTED_VALUE"""),"CREDITO")</f>
        <v>CREDITO</v>
      </c>
      <c r="B54" s="98" t="str">
        <f>IFERROR(__xludf.DUMMYFUNCTION("""COMPUTED_VALUE"""),"Amazonprimebr")</f>
        <v>Amazonprimebr</v>
      </c>
      <c r="C54" s="13"/>
      <c r="D54" s="13"/>
      <c r="E54" s="13">
        <f>IFERROR(__xludf.DUMMYFUNCTION("""COMPUTED_VALUE"""),1.0)</f>
        <v>1</v>
      </c>
      <c r="F54" s="15">
        <f>IFERROR(__xludf.DUMMYFUNCTION("""COMPUTED_VALUE"""),44178.0)</f>
        <v>44178</v>
      </c>
      <c r="G54" s="16"/>
      <c r="H54" s="227">
        <f>IFERROR(__xludf.DUMMYFUNCTION("""COMPUTED_VALUE"""),9.9)</f>
        <v>9.9</v>
      </c>
      <c r="I54" s="21"/>
      <c r="J54" s="21" t="str">
        <f>IFERROR(__xludf.DUMMYFUNCTION("""COMPUTED_VALUE"""),"#CartaoDeCredito #Cicero #Streaming #Fixo ")</f>
        <v>#CartaoDeCredito #Cicero #Streaming #Fixo </v>
      </c>
      <c r="K54" s="216"/>
      <c r="L54" s="216"/>
      <c r="M54" s="216"/>
      <c r="N54" s="216"/>
      <c r="O54" s="216"/>
      <c r="P54" s="216"/>
      <c r="Q54" s="216"/>
    </row>
    <row r="55">
      <c r="A55" s="11" t="str">
        <f>IFERROR(__xludf.DUMMYFUNCTION("""COMPUTED_VALUE"""),"CREDITO")</f>
        <v>CREDITO</v>
      </c>
      <c r="B55" s="98" t="str">
        <f>IFERROR(__xludf.DUMMYFUNCTION("""COMPUTED_VALUE"""),"Recvivo*11984516551")</f>
        <v>Recvivo*11984516551</v>
      </c>
      <c r="C55" s="13"/>
      <c r="D55" s="13"/>
      <c r="E55" s="13">
        <f>IFERROR(__xludf.DUMMYFUNCTION("""COMPUTED_VALUE"""),1.0)</f>
        <v>1</v>
      </c>
      <c r="F55" s="15">
        <f>IFERROR(__xludf.DUMMYFUNCTION("""COMPUTED_VALUE"""),44187.0)</f>
        <v>44187</v>
      </c>
      <c r="G55" s="16"/>
      <c r="H55" s="227">
        <f>IFERROR(__xludf.DUMMYFUNCTION("""COMPUTED_VALUE"""),15.0)</f>
        <v>15</v>
      </c>
      <c r="I55" s="21"/>
      <c r="J55" s="21" t="str">
        <f>IFERROR(__xludf.DUMMYFUNCTION("""COMPUTED_VALUE"""),"#CartaoDeCredito #Cicero #Recarga #VIVO #Variavel")</f>
        <v>#CartaoDeCredito #Cicero #Recarga #VIVO #Variavel</v>
      </c>
      <c r="K55" s="216"/>
      <c r="L55" s="216"/>
      <c r="M55" s="216"/>
      <c r="N55" s="216"/>
      <c r="O55" s="216"/>
      <c r="P55" s="216"/>
      <c r="Q55" s="216"/>
    </row>
    <row r="56">
      <c r="A56" s="11"/>
      <c r="B56" s="98"/>
      <c r="C56" s="13"/>
      <c r="D56" s="13"/>
      <c r="E56" s="13">
        <f>IFERROR(__xludf.DUMMYFUNCTION("""COMPUTED_VALUE"""),1.0)</f>
        <v>1</v>
      </c>
      <c r="F56" s="15"/>
      <c r="G56" s="16"/>
      <c r="H56" s="227"/>
      <c r="I56" s="21"/>
      <c r="J56" s="21"/>
      <c r="K56" s="216"/>
      <c r="L56" s="216"/>
      <c r="M56" s="216"/>
      <c r="N56" s="216"/>
      <c r="O56" s="216"/>
      <c r="P56" s="216"/>
      <c r="Q56" s="216"/>
    </row>
    <row r="57">
      <c r="A57" s="11" t="str">
        <f>IFERROR(__xludf.DUMMYFUNCTION("""COMPUTED_VALUE"""),"PAGO")</f>
        <v>PAGO</v>
      </c>
      <c r="B57" s="98" t="str">
        <f>IFERROR(__xludf.DUMMYFUNCTION("""COMPUTED_VALUE"""),"Assaí Atacadista")</f>
        <v>Assaí Atacadista</v>
      </c>
      <c r="C57" s="13">
        <f>IFERROR(__xludf.DUMMYFUNCTION("""COMPUTED_VALUE"""),13.0)</f>
        <v>13</v>
      </c>
      <c r="D57" s="13" t="str">
        <f>IFERROR(__xludf.DUMMYFUNCTION("""COMPUTED_VALUE"""),"QUA.")</f>
        <v>QUA.</v>
      </c>
      <c r="E57" s="13">
        <f>IFERROR(__xludf.DUMMYFUNCTION("""COMPUTED_VALUE"""),1.0)</f>
        <v>1</v>
      </c>
      <c r="F57" s="15"/>
      <c r="G57" s="16"/>
      <c r="H57" s="227">
        <f>IFERROR(__xludf.DUMMYFUNCTION("""COMPUTED_VALUE"""),561.29)</f>
        <v>561.29</v>
      </c>
      <c r="I57" s="21" t="str">
        <f>IFERROR(__xludf.DUMMYFUNCTION("""COMPUTED_VALUE"""),"INTER-PJ")</f>
        <v>INTER-PJ</v>
      </c>
      <c r="J57" s="21" t="str">
        <f>IFERROR(__xludf.DUMMYFUNCTION("""COMPUTED_VALUE"""),"#Moradia #Essencial #Mercado #Fixo #Alimentação ")</f>
        <v>#Moradia #Essencial #Mercado #Fixo #Alimentação </v>
      </c>
      <c r="K57" s="216"/>
      <c r="L57" s="216"/>
      <c r="M57" s="216"/>
      <c r="N57" s="216"/>
      <c r="O57" s="216"/>
      <c r="P57" s="216"/>
      <c r="Q57" s="216"/>
    </row>
    <row r="58">
      <c r="A58" s="11" t="str">
        <f>IFERROR(__xludf.DUMMYFUNCTION("""COMPUTED_VALUE"""),"PAGO")</f>
        <v>PAGO</v>
      </c>
      <c r="B58" s="98" t="str">
        <f>IFERROR(__xludf.DUMMYFUNCTION("""COMPUTED_VALUE"""),"IPVA  - LICENCIAMENTO")</f>
        <v>IPVA  - LICENCIAMENTO</v>
      </c>
      <c r="C58" s="13">
        <f>IFERROR(__xludf.DUMMYFUNCTION("""COMPUTED_VALUE"""),13.0)</f>
        <v>13</v>
      </c>
      <c r="D58" s="13" t="str">
        <f>IFERROR(__xludf.DUMMYFUNCTION("""COMPUTED_VALUE"""),"QUA.")</f>
        <v>QUA.</v>
      </c>
      <c r="E58" s="13">
        <f>IFERROR(__xludf.DUMMYFUNCTION("""COMPUTED_VALUE"""),1.0)</f>
        <v>1</v>
      </c>
      <c r="F58" s="15">
        <f>IFERROR(__xludf.DUMMYFUNCTION("""COMPUTED_VALUE"""),44143.0)</f>
        <v>44143</v>
      </c>
      <c r="G58" s="16"/>
      <c r="H58" s="227">
        <f>IFERROR(__xludf.DUMMYFUNCTION("""COMPUTED_VALUE"""),1346.09)</f>
        <v>1346.09</v>
      </c>
      <c r="I58" s="21" t="str">
        <f>IFERROR(__xludf.DUMMYFUNCTION("""COMPUTED_VALUE"""),"ITAU")</f>
        <v>ITAU</v>
      </c>
      <c r="J58" s="21" t="str">
        <f>IFERROR(__xludf.DUMMYFUNCTION("""COMPUTED_VALUE"""),"#Carro #Impostos #Variavel")</f>
        <v>#Carro #Impostos #Variavel</v>
      </c>
      <c r="K58" s="216"/>
      <c r="L58" s="216"/>
      <c r="M58" s="216"/>
      <c r="N58" s="216"/>
      <c r="O58" s="216"/>
      <c r="P58" s="216"/>
      <c r="Q58" s="216"/>
    </row>
    <row r="59">
      <c r="A59" s="11" t="str">
        <f>IFERROR(__xludf.DUMMYFUNCTION("""COMPUTED_VALUE"""),"PAGO")</f>
        <v>PAGO</v>
      </c>
      <c r="B59" s="98" t="str">
        <f>IFERROR(__xludf.DUMMYFUNCTION("""COMPUTED_VALUE"""),"Resgate: Bitcoin e Ether")</f>
        <v>Resgate: Bitcoin e Ether</v>
      </c>
      <c r="C59" s="13">
        <f>IFERROR(__xludf.DUMMYFUNCTION("""COMPUTED_VALUE"""),14.0)</f>
        <v>14</v>
      </c>
      <c r="D59" s="13" t="str">
        <f>IFERROR(__xludf.DUMMYFUNCTION("""COMPUTED_VALUE"""),"QUI.")</f>
        <v>QUI.</v>
      </c>
      <c r="E59" s="13">
        <f>IFERROR(__xludf.DUMMYFUNCTION("""COMPUTED_VALUE"""),1.0)</f>
        <v>1</v>
      </c>
      <c r="F59" s="15"/>
      <c r="G59" s="16">
        <f>IFERROR(__xludf.DUMMYFUNCTION("""COMPUTED_VALUE"""),3496.4)</f>
        <v>3496.4</v>
      </c>
      <c r="H59" s="227"/>
      <c r="I59" s="21" t="str">
        <f>IFERROR(__xludf.DUMMYFUNCTION("""COMPUTED_VALUE"""),"ITAU")</f>
        <v>ITAU</v>
      </c>
      <c r="J59" s="21" t="str">
        <f>IFERROR(__xludf.DUMMYFUNCTION("""COMPUTED_VALUE"""),"#Recebimentos #Investimento #Variavel")</f>
        <v>#Recebimentos #Investimento #Variavel</v>
      </c>
      <c r="K59" s="216"/>
      <c r="L59" s="216"/>
      <c r="M59" s="216"/>
      <c r="N59" s="216"/>
      <c r="O59" s="216"/>
      <c r="P59" s="216"/>
      <c r="Q59" s="216"/>
    </row>
    <row r="60">
      <c r="A60" s="11" t="str">
        <f>IFERROR(__xludf.DUMMYFUNCTION("""COMPUTED_VALUE"""),"PAGO")</f>
        <v>PAGO</v>
      </c>
      <c r="B60" s="98" t="str">
        <f>IFERROR(__xludf.DUMMYFUNCTION("""COMPUTED_VALUE"""),"Notebook Lenovo S145 Ryzen 5 SSD 256 81V70008BR")</f>
        <v>Notebook Lenovo S145 Ryzen 5 SSD 256 81V70008BR</v>
      </c>
      <c r="C60" s="13">
        <f>IFERROR(__xludf.DUMMYFUNCTION("""COMPUTED_VALUE"""),14.0)</f>
        <v>14</v>
      </c>
      <c r="D60" s="13" t="str">
        <f>IFERROR(__xludf.DUMMYFUNCTION("""COMPUTED_VALUE"""),"QUI.")</f>
        <v>QUI.</v>
      </c>
      <c r="E60" s="13">
        <f>IFERROR(__xludf.DUMMYFUNCTION("""COMPUTED_VALUE"""),1.0)</f>
        <v>1</v>
      </c>
      <c r="F60" s="15"/>
      <c r="G60" s="16"/>
      <c r="H60" s="227">
        <f>IFERROR(__xludf.DUMMYFUNCTION("""COMPUTED_VALUE"""),2977.35)</f>
        <v>2977.35</v>
      </c>
      <c r="I60" s="21" t="str">
        <f>IFERROR(__xludf.DUMMYFUNCTION("""COMPUTED_VALUE"""),"ITAU")</f>
        <v>ITAU</v>
      </c>
      <c r="J60" s="21" t="str">
        <f>IFERROR(__xludf.DUMMYFUNCTION("""COMPUTED_VALUE"""),"#Presentes #Cicero #Lazer #Variavel")</f>
        <v>#Presentes #Cicero #Lazer #Variavel</v>
      </c>
      <c r="K60" s="216"/>
      <c r="L60" s="216"/>
      <c r="M60" s="216"/>
      <c r="N60" s="216"/>
      <c r="O60" s="216"/>
      <c r="P60" s="216"/>
      <c r="Q60" s="216"/>
    </row>
    <row r="61">
      <c r="A61" s="11" t="str">
        <f>IFERROR(__xludf.DUMMYFUNCTION("""COMPUTED_VALUE"""),"PAGO")</f>
        <v>PAGO</v>
      </c>
      <c r="B61" s="98" t="str">
        <f>IFERROR(__xludf.DUMMYFUNCTION("""COMPUTED_VALUE"""),"Monitor AOC B1 22B1H 21,5"" LED FULL HD")</f>
        <v>Monitor AOC B1 22B1H 21,5" LED FULL HD</v>
      </c>
      <c r="C61" s="13">
        <f>IFERROR(__xludf.DUMMYFUNCTION("""COMPUTED_VALUE"""),14.0)</f>
        <v>14</v>
      </c>
      <c r="D61" s="13" t="str">
        <f>IFERROR(__xludf.DUMMYFUNCTION("""COMPUTED_VALUE"""),"QUI.")</f>
        <v>QUI.</v>
      </c>
      <c r="E61" s="13">
        <f>IFERROR(__xludf.DUMMYFUNCTION("""COMPUTED_VALUE"""),1.0)</f>
        <v>1</v>
      </c>
      <c r="F61" s="15"/>
      <c r="G61" s="16"/>
      <c r="H61" s="227">
        <f>IFERROR(__xludf.DUMMYFUNCTION("""COMPUTED_VALUE"""),558.65)</f>
        <v>558.65</v>
      </c>
      <c r="I61" s="21" t="str">
        <f>IFERROR(__xludf.DUMMYFUNCTION("""COMPUTED_VALUE"""),"ITAU")</f>
        <v>ITAU</v>
      </c>
      <c r="J61" s="21" t="str">
        <f>IFERROR(__xludf.DUMMYFUNCTION("""COMPUTED_VALUE"""),"#Presentes #Cicero #Lazer #Variavel")</f>
        <v>#Presentes #Cicero #Lazer #Variavel</v>
      </c>
      <c r="K61" s="216"/>
      <c r="L61" s="216"/>
      <c r="M61" s="216"/>
      <c r="N61" s="216"/>
      <c r="O61" s="216"/>
      <c r="P61" s="216"/>
      <c r="Q61" s="216"/>
    </row>
    <row r="62">
      <c r="A62" s="11" t="str">
        <f>IFERROR(__xludf.DUMMYFUNCTION("""COMPUTED_VALUE"""),"PAGO")</f>
        <v>PAGO</v>
      </c>
      <c r="B62" s="98" t="str">
        <f>IFERROR(__xludf.DUMMYFUNCTION("""COMPUTED_VALUE"""),"Transferi para investimento - Clear VILG11")</f>
        <v>Transferi para investimento - Clear VILG11</v>
      </c>
      <c r="C62" s="13">
        <f>IFERROR(__xludf.DUMMYFUNCTION("""COMPUTED_VALUE"""),14.0)</f>
        <v>14</v>
      </c>
      <c r="D62" s="13" t="str">
        <f>IFERROR(__xludf.DUMMYFUNCTION("""COMPUTED_VALUE"""),"QUI.")</f>
        <v>QUI.</v>
      </c>
      <c r="E62" s="13">
        <f>IFERROR(__xludf.DUMMYFUNCTION("""COMPUTED_VALUE"""),1.0)</f>
        <v>1</v>
      </c>
      <c r="F62" s="15"/>
      <c r="G62" s="16"/>
      <c r="H62" s="227">
        <f>IFERROR(__xludf.DUMMYFUNCTION("""COMPUTED_VALUE"""),600.0)</f>
        <v>600</v>
      </c>
      <c r="I62" s="21" t="str">
        <f>IFERROR(__xludf.DUMMYFUNCTION("""COMPUTED_VALUE"""),"NUBANK")</f>
        <v>NUBANK</v>
      </c>
      <c r="J62" s="21" t="str">
        <f>IFERROR(__xludf.DUMMYFUNCTION("""COMPUTED_VALUE"""),"#Transferencia #Investimento #Variavel #Clear")</f>
        <v>#Transferencia #Investimento #Variavel #Clear</v>
      </c>
      <c r="K62" s="216"/>
      <c r="L62" s="216"/>
      <c r="M62" s="216"/>
      <c r="N62" s="216"/>
      <c r="O62" s="216"/>
      <c r="P62" s="216"/>
      <c r="Q62" s="216"/>
    </row>
    <row r="63">
      <c r="A63" s="11" t="str">
        <f>IFERROR(__xludf.DUMMYFUNCTION("""COMPUTED_VALUE"""),"PAGO")</f>
        <v>PAGO</v>
      </c>
      <c r="B63" s="98" t="str">
        <f>IFERROR(__xludf.DUMMYFUNCTION("""COMPUTED_VALUE"""),"Convenio Carlos")</f>
        <v>Convenio Carlos</v>
      </c>
      <c r="C63" s="13">
        <f>IFERROR(__xludf.DUMMYFUNCTION("""COMPUTED_VALUE"""),15.0)</f>
        <v>15</v>
      </c>
      <c r="D63" s="13" t="str">
        <f>IFERROR(__xludf.DUMMYFUNCTION("""COMPUTED_VALUE"""),"SEX.")</f>
        <v>SEX.</v>
      </c>
      <c r="E63" s="13">
        <f>IFERROR(__xludf.DUMMYFUNCTION("""COMPUTED_VALUE"""),1.0)</f>
        <v>1</v>
      </c>
      <c r="F63" s="15"/>
      <c r="G63" s="16"/>
      <c r="H63" s="227">
        <f>IFERROR(__xludf.DUMMYFUNCTION("""COMPUTED_VALUE"""),208.7)</f>
        <v>208.7</v>
      </c>
      <c r="I63" s="21" t="str">
        <f>IFERROR(__xludf.DUMMYFUNCTION("""COMPUTED_VALUE"""),"INTER-PJ")</f>
        <v>INTER-PJ</v>
      </c>
      <c r="J63" s="21" t="str">
        <f>IFERROR(__xludf.DUMMYFUNCTION("""COMPUTED_VALUE"""),"#Essencial #Saude #Convenio #Familia #Fixo ")</f>
        <v>#Essencial #Saude #Convenio #Familia #Fixo </v>
      </c>
      <c r="K63" s="216"/>
      <c r="L63" s="216"/>
      <c r="M63" s="216"/>
      <c r="N63" s="216"/>
      <c r="O63" s="216"/>
      <c r="P63" s="216"/>
      <c r="Q63" s="216"/>
    </row>
    <row r="64">
      <c r="A64" s="11" t="str">
        <f>IFERROR(__xludf.DUMMYFUNCTION("""COMPUTED_VALUE"""),"PAGO")</f>
        <v>PAGO</v>
      </c>
      <c r="B64" s="98" t="str">
        <f>IFERROR(__xludf.DUMMYFUNCTION("""COMPUTED_VALUE"""),"Convenio Eduardo")</f>
        <v>Convenio Eduardo</v>
      </c>
      <c r="C64" s="13">
        <f>IFERROR(__xludf.DUMMYFUNCTION("""COMPUTED_VALUE"""),15.0)</f>
        <v>15</v>
      </c>
      <c r="D64" s="13" t="str">
        <f>IFERROR(__xludf.DUMMYFUNCTION("""COMPUTED_VALUE"""),"SEX.")</f>
        <v>SEX.</v>
      </c>
      <c r="E64" s="13">
        <f>IFERROR(__xludf.DUMMYFUNCTION("""COMPUTED_VALUE"""),1.0)</f>
        <v>1</v>
      </c>
      <c r="F64" s="15"/>
      <c r="G64" s="16"/>
      <c r="H64" s="227">
        <f>IFERROR(__xludf.DUMMYFUNCTION("""COMPUTED_VALUE"""),208.7)</f>
        <v>208.7</v>
      </c>
      <c r="I64" s="21" t="str">
        <f>IFERROR(__xludf.DUMMYFUNCTION("""COMPUTED_VALUE"""),"INTER-PJ")</f>
        <v>INTER-PJ</v>
      </c>
      <c r="J64" s="21" t="str">
        <f>IFERROR(__xludf.DUMMYFUNCTION("""COMPUTED_VALUE"""),"#Essencial #Saude #Convenio #Familia #Fixo ")</f>
        <v>#Essencial #Saude #Convenio #Familia #Fixo </v>
      </c>
      <c r="K64" s="216"/>
      <c r="L64" s="216"/>
      <c r="M64" s="216"/>
      <c r="N64" s="216"/>
      <c r="O64" s="216"/>
      <c r="P64" s="216"/>
      <c r="Q64" s="216"/>
    </row>
    <row r="65">
      <c r="A65" s="11" t="str">
        <f>IFERROR(__xludf.DUMMYFUNCTION("""COMPUTED_VALUE"""),"PAGO")</f>
        <v>PAGO</v>
      </c>
      <c r="B65" s="98" t="str">
        <f>IFERROR(__xludf.DUMMYFUNCTION("""COMPUTED_VALUE"""),"Convenio Roberta")</f>
        <v>Convenio Roberta</v>
      </c>
      <c r="C65" s="13">
        <f>IFERROR(__xludf.DUMMYFUNCTION("""COMPUTED_VALUE"""),15.0)</f>
        <v>15</v>
      </c>
      <c r="D65" s="13" t="str">
        <f>IFERROR(__xludf.DUMMYFUNCTION("""COMPUTED_VALUE"""),"SEX.")</f>
        <v>SEX.</v>
      </c>
      <c r="E65" s="13">
        <f>IFERROR(__xludf.DUMMYFUNCTION("""COMPUTED_VALUE"""),1.0)</f>
        <v>1</v>
      </c>
      <c r="F65" s="15"/>
      <c r="G65" s="16"/>
      <c r="H65" s="227">
        <f>IFERROR(__xludf.DUMMYFUNCTION("""COMPUTED_VALUE"""),263.88)</f>
        <v>263.88</v>
      </c>
      <c r="I65" s="21" t="str">
        <f>IFERROR(__xludf.DUMMYFUNCTION("""COMPUTED_VALUE"""),"INTER-PJ")</f>
        <v>INTER-PJ</v>
      </c>
      <c r="J65" s="21" t="str">
        <f>IFERROR(__xludf.DUMMYFUNCTION("""COMPUTED_VALUE"""),"#Essencial #Saude #Convenio #Familia #Fixo ")</f>
        <v>#Essencial #Saude #Convenio #Familia #Fixo </v>
      </c>
      <c r="K65" s="216"/>
      <c r="L65" s="216"/>
      <c r="M65" s="216"/>
      <c r="N65" s="216"/>
      <c r="O65" s="216"/>
      <c r="P65" s="216"/>
      <c r="Q65" s="216"/>
    </row>
    <row r="66">
      <c r="A66" s="11" t="str">
        <f>IFERROR(__xludf.DUMMYFUNCTION("""COMPUTED_VALUE"""),"PAGO")</f>
        <v>PAGO</v>
      </c>
      <c r="B66" s="98" t="str">
        <f>IFERROR(__xludf.DUMMYFUNCTION("""COMPUTED_VALUE"""),"Combustivel")</f>
        <v>Combustivel</v>
      </c>
      <c r="C66" s="13">
        <f>IFERROR(__xludf.DUMMYFUNCTION("""COMPUTED_VALUE"""),16.0)</f>
        <v>16</v>
      </c>
      <c r="D66" s="13" t="str">
        <f>IFERROR(__xludf.DUMMYFUNCTION("""COMPUTED_VALUE"""),"SÁB.")</f>
        <v>SÁB.</v>
      </c>
      <c r="E66" s="13">
        <f>IFERROR(__xludf.DUMMYFUNCTION("""COMPUTED_VALUE"""),1.0)</f>
        <v>1</v>
      </c>
      <c r="F66" s="15"/>
      <c r="G66" s="16"/>
      <c r="H66" s="227">
        <f>IFERROR(__xludf.DUMMYFUNCTION("""COMPUTED_VALUE"""),176.63)</f>
        <v>176.63</v>
      </c>
      <c r="I66" s="21" t="str">
        <f>IFERROR(__xludf.DUMMYFUNCTION("""COMPUTED_VALUE"""),"INTER-PJ")</f>
        <v>INTER-PJ</v>
      </c>
      <c r="J66" s="21" t="str">
        <f>IFERROR(__xludf.DUMMYFUNCTION("""COMPUTED_VALUE"""),"#Carro #Combustivel #Variavel")</f>
        <v>#Carro #Combustivel #Variavel</v>
      </c>
      <c r="K66" s="216"/>
      <c r="L66" s="216"/>
      <c r="M66" s="216"/>
      <c r="N66" s="216"/>
      <c r="O66" s="216"/>
      <c r="P66" s="216"/>
      <c r="Q66" s="216"/>
    </row>
    <row r="67">
      <c r="A67" s="11" t="str">
        <f>IFERROR(__xludf.DUMMYFUNCTION("""COMPUTED_VALUE"""),"PAGO")</f>
        <v>PAGO</v>
      </c>
      <c r="B67" s="98" t="str">
        <f>IFERROR(__xludf.DUMMYFUNCTION("""COMPUTED_VALUE"""),"Leroy: suportes para prateleiras")</f>
        <v>Leroy: suportes para prateleiras</v>
      </c>
      <c r="C67" s="13">
        <f>IFERROR(__xludf.DUMMYFUNCTION("""COMPUTED_VALUE"""),16.0)</f>
        <v>16</v>
      </c>
      <c r="D67" s="13" t="str">
        <f>IFERROR(__xludf.DUMMYFUNCTION("""COMPUTED_VALUE"""),"SÁB.")</f>
        <v>SÁB.</v>
      </c>
      <c r="E67" s="13">
        <f>IFERROR(__xludf.DUMMYFUNCTION("""COMPUTED_VALUE"""),1.0)</f>
        <v>1</v>
      </c>
      <c r="F67" s="15"/>
      <c r="G67" s="16"/>
      <c r="H67" s="227">
        <f>IFERROR(__xludf.DUMMYFUNCTION("""COMPUTED_VALUE"""),350.74)</f>
        <v>350.74</v>
      </c>
      <c r="I67" s="21" t="str">
        <f>IFERROR(__xludf.DUMMYFUNCTION("""COMPUTED_VALUE"""),"INTER-PJ")</f>
        <v>INTER-PJ</v>
      </c>
      <c r="J67" s="21" t="str">
        <f>IFERROR(__xludf.DUMMYFUNCTION("""COMPUTED_VALUE"""),"#Lazer #Moradia #Variavel")</f>
        <v>#Lazer #Moradia #Variavel</v>
      </c>
      <c r="K67" s="216"/>
      <c r="L67" s="216"/>
      <c r="M67" s="216"/>
      <c r="N67" s="216"/>
      <c r="O67" s="216"/>
      <c r="P67" s="216"/>
      <c r="Q67" s="216"/>
    </row>
    <row r="68">
      <c r="A68" s="11" t="str">
        <f>IFERROR(__xludf.DUMMYFUNCTION("""COMPUTED_VALUE"""),"PAGO")</f>
        <v>PAGO</v>
      </c>
      <c r="B68" s="98" t="str">
        <f>IFERROR(__xludf.DUMMYFUNCTION("""COMPUTED_VALUE"""),"Balbinos Burguer")</f>
        <v>Balbinos Burguer</v>
      </c>
      <c r="C68" s="13">
        <f>IFERROR(__xludf.DUMMYFUNCTION("""COMPUTED_VALUE"""),17.0)</f>
        <v>17</v>
      </c>
      <c r="D68" s="13" t="str">
        <f>IFERROR(__xludf.DUMMYFUNCTION("""COMPUTED_VALUE"""),"DOM.")</f>
        <v>DOM.</v>
      </c>
      <c r="E68" s="13">
        <f>IFERROR(__xludf.DUMMYFUNCTION("""COMPUTED_VALUE"""),1.0)</f>
        <v>1</v>
      </c>
      <c r="F68" s="15"/>
      <c r="G68" s="16"/>
      <c r="H68" s="227">
        <f>IFERROR(__xludf.DUMMYFUNCTION("""COMPUTED_VALUE"""),57.4)</f>
        <v>57.4</v>
      </c>
      <c r="I68" s="21" t="str">
        <f>IFERROR(__xludf.DUMMYFUNCTION("""COMPUTED_VALUE"""),"INTER-PJ")</f>
        <v>INTER-PJ</v>
      </c>
      <c r="J68" s="21" t="str">
        <f>IFERROR(__xludf.DUMMYFUNCTION("""COMPUTED_VALUE"""),"#Lazer #Comida #Variavel")</f>
        <v>#Lazer #Comida #Variavel</v>
      </c>
      <c r="K68" s="216"/>
      <c r="L68" s="216"/>
      <c r="M68" s="216"/>
      <c r="N68" s="216"/>
      <c r="O68" s="216"/>
      <c r="P68" s="216"/>
      <c r="Q68" s="216"/>
    </row>
    <row r="69">
      <c r="A69" s="11" t="str">
        <f>IFERROR(__xludf.DUMMYFUNCTION("""COMPUTED_VALUE"""),"PAGO")</f>
        <v>PAGO</v>
      </c>
      <c r="B69" s="98" t="str">
        <f>IFERROR(__xludf.DUMMYFUNCTION("""COMPUTED_VALUE"""),"Impressão Hipermercado Extra SJC")</f>
        <v>Impressão Hipermercado Extra SJC</v>
      </c>
      <c r="C69" s="13">
        <f>IFERROR(__xludf.DUMMYFUNCTION("""COMPUTED_VALUE"""),18.0)</f>
        <v>18</v>
      </c>
      <c r="D69" s="13" t="str">
        <f>IFERROR(__xludf.DUMMYFUNCTION("""COMPUTED_VALUE"""),"SEG.")</f>
        <v>SEG.</v>
      </c>
      <c r="E69" s="13">
        <f>IFERROR(__xludf.DUMMYFUNCTION("""COMPUTED_VALUE"""),1.0)</f>
        <v>1</v>
      </c>
      <c r="F69" s="15"/>
      <c r="G69" s="16"/>
      <c r="H69" s="227">
        <f>IFERROR(__xludf.DUMMYFUNCTION("""COMPUTED_VALUE"""),6.15)</f>
        <v>6.15</v>
      </c>
      <c r="I69" s="21" t="str">
        <f>IFERROR(__xludf.DUMMYFUNCTION("""COMPUTED_VALUE"""),"ITAU")</f>
        <v>ITAU</v>
      </c>
      <c r="J69" s="21" t="str">
        <f>IFERROR(__xludf.DUMMYFUNCTION("""COMPUTED_VALUE"""),"#Emprego #Variavel ")</f>
        <v>#Emprego #Variavel </v>
      </c>
      <c r="K69" s="216"/>
      <c r="L69" s="216"/>
      <c r="M69" s="216"/>
      <c r="N69" s="216"/>
      <c r="O69" s="216"/>
      <c r="P69" s="216"/>
      <c r="Q69" s="216"/>
    </row>
    <row r="70">
      <c r="A70" s="11" t="str">
        <f>IFERROR(__xludf.DUMMYFUNCTION("""COMPUTED_VALUE"""),"PAGO")</f>
        <v>PAGO</v>
      </c>
      <c r="B70" s="98" t="str">
        <f>IFERROR(__xludf.DUMMYFUNCTION("""COMPUTED_VALUE"""),"Entrada prestação casa de Itaquera")</f>
        <v>Entrada prestação casa de Itaquera</v>
      </c>
      <c r="C70" s="13">
        <f>IFERROR(__xludf.DUMMYFUNCTION("""COMPUTED_VALUE"""),18.0)</f>
        <v>18</v>
      </c>
      <c r="D70" s="13" t="str">
        <f>IFERROR(__xludf.DUMMYFUNCTION("""COMPUTED_VALUE"""),"SEG.")</f>
        <v>SEG.</v>
      </c>
      <c r="E70" s="13">
        <f>IFERROR(__xludf.DUMMYFUNCTION("""COMPUTED_VALUE"""),1.0)</f>
        <v>1</v>
      </c>
      <c r="F70" s="15"/>
      <c r="G70" s="16">
        <f>IFERROR(__xludf.DUMMYFUNCTION("""COMPUTED_VALUE"""),2500.0)</f>
        <v>2500</v>
      </c>
      <c r="H70" s="227"/>
      <c r="I70" s="21" t="str">
        <f>IFERROR(__xludf.DUMMYFUNCTION("""COMPUTED_VALUE"""),"INTER")</f>
        <v>INTER</v>
      </c>
      <c r="J70" s="21" t="str">
        <f>IFERROR(__xludf.DUMMYFUNCTION("""COMPUTED_VALUE"""),"#Recebimentos #Prestação #Itaquera #Inter #Extra")</f>
        <v>#Recebimentos #Prestação #Itaquera #Inter #Extra</v>
      </c>
      <c r="K70" s="216"/>
      <c r="L70" s="216"/>
      <c r="M70" s="216"/>
      <c r="N70" s="216"/>
      <c r="O70" s="216"/>
      <c r="P70" s="216"/>
      <c r="Q70" s="216"/>
    </row>
    <row r="71">
      <c r="A71" s="11" t="str">
        <f>IFERROR(__xludf.DUMMYFUNCTION("""COMPUTED_VALUE"""),"PAGO")</f>
        <v>PAGO</v>
      </c>
      <c r="B71" s="98" t="str">
        <f>IFERROR(__xludf.DUMMYFUNCTION("""COMPUTED_VALUE"""),"Shibata")</f>
        <v>Shibata</v>
      </c>
      <c r="C71" s="13">
        <f>IFERROR(__xludf.DUMMYFUNCTION("""COMPUTED_VALUE"""),18.0)</f>
        <v>18</v>
      </c>
      <c r="D71" s="13" t="str">
        <f>IFERROR(__xludf.DUMMYFUNCTION("""COMPUTED_VALUE"""),"SEG.")</f>
        <v>SEG.</v>
      </c>
      <c r="E71" s="13">
        <f>IFERROR(__xludf.DUMMYFUNCTION("""COMPUTED_VALUE"""),1.0)</f>
        <v>1</v>
      </c>
      <c r="F71" s="15"/>
      <c r="G71" s="16"/>
      <c r="H71" s="227">
        <f>IFERROR(__xludf.DUMMYFUNCTION("""COMPUTED_VALUE"""),144.64)</f>
        <v>144.64</v>
      </c>
      <c r="I71" s="21" t="str">
        <f>IFERROR(__xludf.DUMMYFUNCTION("""COMPUTED_VALUE"""),"INTER-PJ")</f>
        <v>INTER-PJ</v>
      </c>
      <c r="J71" s="21" t="str">
        <f>IFERROR(__xludf.DUMMYFUNCTION("""COMPUTED_VALUE"""),"#Moradia #Essencial #Mercado #Variavel #Alimentação ")</f>
        <v>#Moradia #Essencial #Mercado #Variavel #Alimentação </v>
      </c>
      <c r="K71" s="216"/>
      <c r="L71" s="216"/>
      <c r="M71" s="216"/>
      <c r="N71" s="216"/>
      <c r="O71" s="216"/>
      <c r="P71" s="216"/>
      <c r="Q71" s="216"/>
    </row>
    <row r="72">
      <c r="A72" s="11" t="str">
        <f>IFERROR(__xludf.DUMMYFUNCTION("""COMPUTED_VALUE"""),"PAGO")</f>
        <v>PAGO</v>
      </c>
      <c r="B72" s="98" t="str">
        <f>IFERROR(__xludf.DUMMYFUNCTION("""COMPUTED_VALUE"""),"Cobasi SJC - Shibata")</f>
        <v>Cobasi SJC - Shibata</v>
      </c>
      <c r="C72" s="13">
        <f>IFERROR(__xludf.DUMMYFUNCTION("""COMPUTED_VALUE"""),18.0)</f>
        <v>18</v>
      </c>
      <c r="D72" s="13" t="str">
        <f>IFERROR(__xludf.DUMMYFUNCTION("""COMPUTED_VALUE"""),"SEG.")</f>
        <v>SEG.</v>
      </c>
      <c r="E72" s="13">
        <f>IFERROR(__xludf.DUMMYFUNCTION("""COMPUTED_VALUE"""),1.0)</f>
        <v>1</v>
      </c>
      <c r="F72" s="15"/>
      <c r="G72" s="16"/>
      <c r="H72" s="227">
        <f>IFERROR(__xludf.DUMMYFUNCTION("""COMPUTED_VALUE"""),11.9)</f>
        <v>11.9</v>
      </c>
      <c r="I72" s="21" t="str">
        <f>IFERROR(__xludf.DUMMYFUNCTION("""COMPUTED_VALUE"""),"INTER-PJ")</f>
        <v>INTER-PJ</v>
      </c>
      <c r="J72" s="21" t="str">
        <f>IFERROR(__xludf.DUMMYFUNCTION("""COMPUTED_VALUE"""),"#Aquario #Lazer #Variavel")</f>
        <v>#Aquario #Lazer #Variavel</v>
      </c>
      <c r="K72" s="216"/>
      <c r="L72" s="216"/>
      <c r="M72" s="216"/>
      <c r="N72" s="216"/>
      <c r="O72" s="216"/>
      <c r="P72" s="216"/>
      <c r="Q72" s="216"/>
    </row>
    <row r="73">
      <c r="A73" s="11" t="str">
        <f>IFERROR(__xludf.DUMMYFUNCTION("""COMPUTED_VALUE"""),"PAGO")</f>
        <v>PAGO</v>
      </c>
      <c r="B73" s="98" t="str">
        <f>IFERROR(__xludf.DUMMYFUNCTION("""COMPUTED_VALUE"""),"RM Fernandes Moveis - Andromeda SJC")</f>
        <v>RM Fernandes Moveis - Andromeda SJC</v>
      </c>
      <c r="C73" s="13">
        <f>IFERROR(__xludf.DUMMYFUNCTION("""COMPUTED_VALUE"""),18.0)</f>
        <v>18</v>
      </c>
      <c r="D73" s="13" t="str">
        <f>IFERROR(__xludf.DUMMYFUNCTION("""COMPUTED_VALUE"""),"SEG.")</f>
        <v>SEG.</v>
      </c>
      <c r="E73" s="13">
        <f>IFERROR(__xludf.DUMMYFUNCTION("""COMPUTED_VALUE"""),1.0)</f>
        <v>1</v>
      </c>
      <c r="F73" s="15"/>
      <c r="G73" s="16"/>
      <c r="H73" s="227">
        <f>IFERROR(__xludf.DUMMYFUNCTION("""COMPUTED_VALUE"""),1000.0)</f>
        <v>1000</v>
      </c>
      <c r="I73" s="21" t="str">
        <f>IFERROR(__xludf.DUMMYFUNCTION("""COMPUTED_VALUE"""),"INTER-PJ")</f>
        <v>INTER-PJ</v>
      </c>
      <c r="J73" s="21" t="str">
        <f>IFERROR(__xludf.DUMMYFUNCTION("""COMPUTED_VALUE"""),"#Moradia #Quarto #Variavel #Eduardo #Carlos")</f>
        <v>#Moradia #Quarto #Variavel #Eduardo #Carlos</v>
      </c>
      <c r="K73" s="216"/>
      <c r="L73" s="216"/>
      <c r="M73" s="216"/>
      <c r="N73" s="216"/>
      <c r="O73" s="216"/>
      <c r="P73" s="216"/>
      <c r="Q73" s="216"/>
    </row>
    <row r="74">
      <c r="A74" s="11" t="str">
        <f>IFERROR(__xludf.DUMMYFUNCTION("""COMPUTED_VALUE"""),"PAGO")</f>
        <v>PAGO</v>
      </c>
      <c r="B74" s="98" t="str">
        <f>IFERROR(__xludf.DUMMYFUNCTION("""COMPUTED_VALUE"""),"Transferi para investimento - Clear")</f>
        <v>Transferi para investimento - Clear</v>
      </c>
      <c r="C74" s="13">
        <f>IFERROR(__xludf.DUMMYFUNCTION("""COMPUTED_VALUE"""),19.0)</f>
        <v>19</v>
      </c>
      <c r="D74" s="13" t="str">
        <f>IFERROR(__xludf.DUMMYFUNCTION("""COMPUTED_VALUE"""),"TER.")</f>
        <v>TER.</v>
      </c>
      <c r="E74" s="13">
        <f>IFERROR(__xludf.DUMMYFUNCTION("""COMPUTED_VALUE"""),1.0)</f>
        <v>1</v>
      </c>
      <c r="F74" s="15"/>
      <c r="G74" s="16"/>
      <c r="H74" s="227">
        <f>IFERROR(__xludf.DUMMYFUNCTION("""COMPUTED_VALUE"""),2500.0)</f>
        <v>2500</v>
      </c>
      <c r="I74" s="21" t="str">
        <f>IFERROR(__xludf.DUMMYFUNCTION("""COMPUTED_VALUE"""),"INTER")</f>
        <v>INTER</v>
      </c>
      <c r="J74" s="21" t="str">
        <f>IFERROR(__xludf.DUMMYFUNCTION("""COMPUTED_VALUE"""),"#Transferencia #Investimento #Extra #Clear")</f>
        <v>#Transferencia #Investimento #Extra #Clear</v>
      </c>
      <c r="K74" s="216"/>
      <c r="L74" s="216"/>
      <c r="M74" s="216"/>
      <c r="N74" s="216"/>
      <c r="O74" s="216"/>
      <c r="P74" s="216"/>
      <c r="Q74" s="216"/>
    </row>
    <row r="75">
      <c r="A75" s="11" t="str">
        <f>IFERROR(__xludf.DUMMYFUNCTION("""COMPUTED_VALUE"""),"PAGO")</f>
        <v>PAGO</v>
      </c>
      <c r="B75" s="98" t="str">
        <f>IFERROR(__xludf.DUMMYFUNCTION("""COMPUTED_VALUE"""),"Kabum - teclado e mouse wireless ")</f>
        <v>Kabum - teclado e mouse wireless </v>
      </c>
      <c r="C75" s="13">
        <f>IFERROR(__xludf.DUMMYFUNCTION("""COMPUTED_VALUE"""),19.0)</f>
        <v>19</v>
      </c>
      <c r="D75" s="13" t="str">
        <f>IFERROR(__xludf.DUMMYFUNCTION("""COMPUTED_VALUE"""),"TER.")</f>
        <v>TER.</v>
      </c>
      <c r="E75" s="13">
        <f>IFERROR(__xludf.DUMMYFUNCTION("""COMPUTED_VALUE"""),1.0)</f>
        <v>1</v>
      </c>
      <c r="F75" s="15"/>
      <c r="G75" s="16"/>
      <c r="H75" s="227">
        <f>IFERROR(__xludf.DUMMYFUNCTION("""COMPUTED_VALUE"""),159.89)</f>
        <v>159.89</v>
      </c>
      <c r="I75" s="21" t="str">
        <f>IFERROR(__xludf.DUMMYFUNCTION("""COMPUTED_VALUE"""),"NUBANK")</f>
        <v>NUBANK</v>
      </c>
      <c r="J75" s="21" t="str">
        <f>IFERROR(__xludf.DUMMYFUNCTION("""COMPUTED_VALUE"""),"#Presentes #Cicero #Lazer #Variavel")</f>
        <v>#Presentes #Cicero #Lazer #Variavel</v>
      </c>
      <c r="K75" s="216"/>
      <c r="L75" s="216"/>
      <c r="M75" s="216"/>
      <c r="N75" s="216"/>
      <c r="O75" s="216"/>
      <c r="P75" s="216"/>
      <c r="Q75" s="216"/>
    </row>
    <row r="76">
      <c r="A76" s="11" t="str">
        <f>IFERROR(__xludf.DUMMYFUNCTION("""COMPUTED_VALUE"""),"PAGO")</f>
        <v>PAGO</v>
      </c>
      <c r="B76" s="98" t="str">
        <f>IFERROR(__xludf.DUMMYFUNCTION("""COMPUTED_VALUE"""),"Recarga TIM Cicero 11 948825242")</f>
        <v>Recarga TIM Cicero 11 948825242</v>
      </c>
      <c r="C76" s="13">
        <f>IFERROR(__xludf.DUMMYFUNCTION("""COMPUTED_VALUE"""),19.0)</f>
        <v>19</v>
      </c>
      <c r="D76" s="13" t="str">
        <f>IFERROR(__xludf.DUMMYFUNCTION("""COMPUTED_VALUE"""),"TER.")</f>
        <v>TER.</v>
      </c>
      <c r="E76" s="13">
        <f>IFERROR(__xludf.DUMMYFUNCTION("""COMPUTED_VALUE"""),1.0)</f>
        <v>1</v>
      </c>
      <c r="F76" s="15"/>
      <c r="G76" s="16"/>
      <c r="H76" s="227">
        <f>IFERROR(__xludf.DUMMYFUNCTION("""COMPUTED_VALUE"""),20.0)</f>
        <v>20</v>
      </c>
      <c r="I76" s="21" t="str">
        <f>IFERROR(__xludf.DUMMYFUNCTION("""COMPUTED_VALUE"""),"NUBANK")</f>
        <v>NUBANK</v>
      </c>
      <c r="J76" s="21" t="str">
        <f>IFERROR(__xludf.DUMMYFUNCTION("""COMPUTED_VALUE"""),"#Variavel #Recarga #TIM ")</f>
        <v>#Variavel #Recarga #TIM </v>
      </c>
      <c r="K76" s="216"/>
      <c r="L76" s="216"/>
      <c r="M76" s="216"/>
      <c r="N76" s="216"/>
      <c r="O76" s="216"/>
      <c r="P76" s="216"/>
      <c r="Q76" s="216"/>
    </row>
    <row r="77">
      <c r="A77" s="11" t="str">
        <f>IFERROR(__xludf.DUMMYFUNCTION("""COMPUTED_VALUE"""),"PAGO")</f>
        <v>PAGO</v>
      </c>
      <c r="B77" s="98" t="str">
        <f>IFERROR(__xludf.DUMMYFUNCTION("""COMPUTED_VALUE"""),"Rendimento")</f>
        <v>Rendimento</v>
      </c>
      <c r="C77" s="13">
        <f>IFERROR(__xludf.DUMMYFUNCTION("""COMPUTED_VALUE"""),20.0)</f>
        <v>20</v>
      </c>
      <c r="D77" s="13" t="str">
        <f>IFERROR(__xludf.DUMMYFUNCTION("""COMPUTED_VALUE"""),"QUA.")</f>
        <v>QUA.</v>
      </c>
      <c r="E77" s="13">
        <f>IFERROR(__xludf.DUMMYFUNCTION("""COMPUTED_VALUE"""),1.0)</f>
        <v>1</v>
      </c>
      <c r="F77" s="15"/>
      <c r="G77" s="16">
        <f>IFERROR(__xludf.DUMMYFUNCTION("""COMPUTED_VALUE"""),0.47)</f>
        <v>0.47</v>
      </c>
      <c r="H77" s="227"/>
      <c r="I77" s="21" t="str">
        <f>IFERROR(__xludf.DUMMYFUNCTION("""COMPUTED_VALUE"""),"NUBANK")</f>
        <v>NUBANK</v>
      </c>
      <c r="J77" s="21" t="str">
        <f>IFERROR(__xludf.DUMMYFUNCTION("""COMPUTED_VALUE"""),"#Recebimentos #Rendimentos #Variavel")</f>
        <v>#Recebimentos #Rendimentos #Variavel</v>
      </c>
      <c r="K77" s="216"/>
      <c r="L77" s="216"/>
      <c r="M77" s="216"/>
      <c r="N77" s="216"/>
      <c r="O77" s="216"/>
      <c r="P77" s="216"/>
      <c r="Q77" s="216"/>
    </row>
    <row r="78">
      <c r="A78" s="11" t="str">
        <f>IFERROR(__xludf.DUMMYFUNCTION("""COMPUTED_VALUE"""),"PAGO")</f>
        <v>PAGO</v>
      </c>
      <c r="B78" s="98" t="str">
        <f>IFERROR(__xludf.DUMMYFUNCTION("""COMPUTED_VALUE"""),"NOBILIS CONTABILIDADE")</f>
        <v>NOBILIS CONTABILIDADE</v>
      </c>
      <c r="C78" s="13">
        <f>IFERROR(__xludf.DUMMYFUNCTION("""COMPUTED_VALUE"""),20.0)</f>
        <v>20</v>
      </c>
      <c r="D78" s="13" t="str">
        <f>IFERROR(__xludf.DUMMYFUNCTION("""COMPUTED_VALUE"""),"QUA.")</f>
        <v>QUA.</v>
      </c>
      <c r="E78" s="13">
        <f>IFERROR(__xludf.DUMMYFUNCTION("""COMPUTED_VALUE"""),1.0)</f>
        <v>1</v>
      </c>
      <c r="F78" s="15"/>
      <c r="G78" s="16"/>
      <c r="H78" s="227">
        <f>IFERROR(__xludf.DUMMYFUNCTION("""COMPUTED_VALUE"""),140.0)</f>
        <v>140</v>
      </c>
      <c r="I78" s="21" t="str">
        <f>IFERROR(__xludf.DUMMYFUNCTION("""COMPUTED_VALUE"""),"INTER-PJ")</f>
        <v>INTER-PJ</v>
      </c>
      <c r="J78" s="21" t="str">
        <f>IFERROR(__xludf.DUMMYFUNCTION("""COMPUTED_VALUE"""),"#Fixo #Contador ")</f>
        <v>#Fixo #Contador </v>
      </c>
      <c r="K78" s="216"/>
      <c r="L78" s="216"/>
      <c r="M78" s="216"/>
      <c r="N78" s="216"/>
      <c r="O78" s="216"/>
      <c r="P78" s="216"/>
      <c r="Q78" s="216"/>
    </row>
    <row r="79">
      <c r="A79" s="11" t="str">
        <f>IFERROR(__xludf.DUMMYFUNCTION("""COMPUTED_VALUE"""),"PAGO")</f>
        <v>PAGO</v>
      </c>
      <c r="B79" s="98" t="str">
        <f>IFERROR(__xludf.DUMMYFUNCTION("""COMPUTED_VALUE"""),"DAS - Simples Nacional")</f>
        <v>DAS - Simples Nacional</v>
      </c>
      <c r="C79" s="13">
        <f>IFERROR(__xludf.DUMMYFUNCTION("""COMPUTED_VALUE"""),20.0)</f>
        <v>20</v>
      </c>
      <c r="D79" s="13" t="str">
        <f>IFERROR(__xludf.DUMMYFUNCTION("""COMPUTED_VALUE"""),"QUA.")</f>
        <v>QUA.</v>
      </c>
      <c r="E79" s="13">
        <f>IFERROR(__xludf.DUMMYFUNCTION("""COMPUTED_VALUE"""),1.0)</f>
        <v>1</v>
      </c>
      <c r="F79" s="15"/>
      <c r="G79" s="16"/>
      <c r="H79" s="227">
        <f>IFERROR(__xludf.DUMMYFUNCTION("""COMPUTED_VALUE"""),959.04)</f>
        <v>959.04</v>
      </c>
      <c r="I79" s="21" t="str">
        <f>IFERROR(__xludf.DUMMYFUNCTION("""COMPUTED_VALUE"""),"INTER-PJ")</f>
        <v>INTER-PJ</v>
      </c>
      <c r="J79" s="21" t="str">
        <f>IFERROR(__xludf.DUMMYFUNCTION("""COMPUTED_VALUE"""),"#Impostos #Fixo ")</f>
        <v>#Impostos #Fixo </v>
      </c>
      <c r="K79" s="216"/>
      <c r="L79" s="216"/>
      <c r="M79" s="216"/>
      <c r="N79" s="216"/>
      <c r="O79" s="216"/>
      <c r="P79" s="216"/>
      <c r="Q79" s="216"/>
    </row>
    <row r="80">
      <c r="A80" s="11" t="str">
        <f>IFERROR(__xludf.DUMMYFUNCTION("""COMPUTED_VALUE"""),"PAGO")</f>
        <v>PAGO</v>
      </c>
      <c r="B80" s="98" t="str">
        <f>IFERROR(__xludf.DUMMYFUNCTION("""COMPUTED_VALUE"""),"Convenio Cicero")</f>
        <v>Convenio Cicero</v>
      </c>
      <c r="C80" s="13">
        <f>IFERROR(__xludf.DUMMYFUNCTION("""COMPUTED_VALUE"""),20.0)</f>
        <v>20</v>
      </c>
      <c r="D80" s="13" t="str">
        <f>IFERROR(__xludf.DUMMYFUNCTION("""COMPUTED_VALUE"""),"QUA.")</f>
        <v>QUA.</v>
      </c>
      <c r="E80" s="13">
        <f>IFERROR(__xludf.DUMMYFUNCTION("""COMPUTED_VALUE"""),1.0)</f>
        <v>1</v>
      </c>
      <c r="F80" s="15">
        <f>IFERROR(__xludf.DUMMYFUNCTION("""COMPUTED_VALUE"""),44211.0)</f>
        <v>44211</v>
      </c>
      <c r="G80" s="16"/>
      <c r="H80" s="227">
        <f>IFERROR(__xludf.DUMMYFUNCTION("""COMPUTED_VALUE"""),365.3)</f>
        <v>365.3</v>
      </c>
      <c r="I80" s="21" t="str">
        <f>IFERROR(__xludf.DUMMYFUNCTION("""COMPUTED_VALUE"""),"INTER-PJ")</f>
        <v>INTER-PJ</v>
      </c>
      <c r="J80" s="21" t="str">
        <f>IFERROR(__xludf.DUMMYFUNCTION("""COMPUTED_VALUE"""),"#Essencial #Saude #Convenio #Familia #Cicero #Fixo ")</f>
        <v>#Essencial #Saude #Convenio #Familia #Cicero #Fixo </v>
      </c>
      <c r="K80" s="216"/>
      <c r="L80" s="216"/>
      <c r="M80" s="216"/>
      <c r="N80" s="216"/>
      <c r="O80" s="216"/>
      <c r="P80" s="216"/>
      <c r="Q80" s="216"/>
    </row>
    <row r="81">
      <c r="A81" s="11" t="str">
        <f>IFERROR(__xludf.DUMMYFUNCTION("""COMPUTED_VALUE"""),"PAGO")</f>
        <v>PAGO</v>
      </c>
      <c r="B81" s="98" t="str">
        <f>IFERROR(__xludf.DUMMYFUNCTION("""COMPUTED_VALUE"""),"Agua - ITAQUERA")</f>
        <v>Agua - ITAQUERA</v>
      </c>
      <c r="C81" s="13">
        <f>IFERROR(__xludf.DUMMYFUNCTION("""COMPUTED_VALUE"""),21.0)</f>
        <v>21</v>
      </c>
      <c r="D81" s="13" t="str">
        <f>IFERROR(__xludf.DUMMYFUNCTION("""COMPUTED_VALUE"""),"QUI.")</f>
        <v>QUI.</v>
      </c>
      <c r="E81" s="13">
        <f>IFERROR(__xludf.DUMMYFUNCTION("""COMPUTED_VALUE"""),1.0)</f>
        <v>1</v>
      </c>
      <c r="F81" s="15">
        <f>IFERROR(__xludf.DUMMYFUNCTION("""COMPUTED_VALUE"""),44216.0)</f>
        <v>44216</v>
      </c>
      <c r="G81" s="16"/>
      <c r="H81" s="227">
        <f>IFERROR(__xludf.DUMMYFUNCTION("""COMPUTED_VALUE"""),54.41)</f>
        <v>54.41</v>
      </c>
      <c r="I81" s="21" t="str">
        <f>IFERROR(__xludf.DUMMYFUNCTION("""COMPUTED_VALUE"""),"INTER-PJ")</f>
        <v>INTER-PJ</v>
      </c>
      <c r="J81" s="21" t="str">
        <f>IFERROR(__xludf.DUMMYFUNCTION("""COMPUTED_VALUE"""),"#Itaquera #Essencial #AjudaAlmir #Fixo")</f>
        <v>#Itaquera #Essencial #AjudaAlmir #Fixo</v>
      </c>
      <c r="K81" s="216"/>
      <c r="L81" s="216"/>
      <c r="M81" s="216"/>
      <c r="N81" s="216"/>
      <c r="O81" s="216"/>
      <c r="P81" s="216"/>
      <c r="Q81" s="216"/>
    </row>
    <row r="82">
      <c r="A82" s="11" t="str">
        <f>IFERROR(__xludf.DUMMYFUNCTION("""COMPUTED_VALUE"""),"PAGO")</f>
        <v>PAGO</v>
      </c>
      <c r="B82" s="98" t="str">
        <f>IFERROR(__xludf.DUMMYFUNCTION("""COMPUTED_VALUE"""),"Estacionamento - ValeSul - Otorrino")</f>
        <v>Estacionamento - ValeSul - Otorrino</v>
      </c>
      <c r="C82" s="13">
        <f>IFERROR(__xludf.DUMMYFUNCTION("""COMPUTED_VALUE"""),22.0)</f>
        <v>22</v>
      </c>
      <c r="D82" s="13" t="str">
        <f>IFERROR(__xludf.DUMMYFUNCTION("""COMPUTED_VALUE"""),"SEX.")</f>
        <v>SEX.</v>
      </c>
      <c r="E82" s="13">
        <f>IFERROR(__xludf.DUMMYFUNCTION("""COMPUTED_VALUE"""),1.0)</f>
        <v>1</v>
      </c>
      <c r="F82" s="15"/>
      <c r="G82" s="16"/>
      <c r="H82" s="227">
        <f>IFERROR(__xludf.DUMMYFUNCTION("""COMPUTED_VALUE"""),7.0)</f>
        <v>7</v>
      </c>
      <c r="I82" s="21" t="str">
        <f>IFERROR(__xludf.DUMMYFUNCTION("""COMPUTED_VALUE"""),"INTER-PJ")</f>
        <v>INTER-PJ</v>
      </c>
      <c r="J82" s="21" t="str">
        <f>IFERROR(__xludf.DUMMYFUNCTION("""COMPUTED_VALUE"""),"#Carro #Estacionamento #Variavel")</f>
        <v>#Carro #Estacionamento #Variavel</v>
      </c>
      <c r="K82" s="216"/>
      <c r="L82" s="216"/>
      <c r="M82" s="216"/>
      <c r="N82" s="216"/>
      <c r="O82" s="216"/>
      <c r="P82" s="216"/>
      <c r="Q82" s="216"/>
    </row>
    <row r="83">
      <c r="A83" s="11" t="str">
        <f>IFERROR(__xludf.DUMMYFUNCTION("""COMPUTED_VALUE"""),"PAGO")</f>
        <v>PAGO</v>
      </c>
      <c r="B83" s="98" t="str">
        <f>IFERROR(__xludf.DUMMYFUNCTION("""COMPUTED_VALUE"""),"Farmácia Pague Menos")</f>
        <v>Farmácia Pague Menos</v>
      </c>
      <c r="C83" s="13">
        <f>IFERROR(__xludf.DUMMYFUNCTION("""COMPUTED_VALUE"""),22.0)</f>
        <v>22</v>
      </c>
      <c r="D83" s="13" t="str">
        <f>IFERROR(__xludf.DUMMYFUNCTION("""COMPUTED_VALUE"""),"SEX.")</f>
        <v>SEX.</v>
      </c>
      <c r="E83" s="13">
        <f>IFERROR(__xludf.DUMMYFUNCTION("""COMPUTED_VALUE"""),1.0)</f>
        <v>1</v>
      </c>
      <c r="F83" s="15"/>
      <c r="G83" s="16"/>
      <c r="H83" s="227">
        <f>IFERROR(__xludf.DUMMYFUNCTION("""COMPUTED_VALUE"""),33.41)</f>
        <v>33.41</v>
      </c>
      <c r="I83" s="21" t="str">
        <f>IFERROR(__xludf.DUMMYFUNCTION("""COMPUTED_VALUE"""),"INTER-PJ")</f>
        <v>INTER-PJ</v>
      </c>
      <c r="J83" s="21" t="str">
        <f>IFERROR(__xludf.DUMMYFUNCTION("""COMPUTED_VALUE"""),"#Remedios #Cicero #Variavel ")</f>
        <v>#Remedios #Cicero #Variavel </v>
      </c>
      <c r="K83" s="216"/>
      <c r="L83" s="216"/>
      <c r="M83" s="216"/>
      <c r="N83" s="216"/>
      <c r="O83" s="216"/>
      <c r="P83" s="216"/>
      <c r="Q83" s="216"/>
    </row>
    <row r="84">
      <c r="A84" s="11" t="str">
        <f>IFERROR(__xludf.DUMMYFUNCTION("""COMPUTED_VALUE"""),"PAGO")</f>
        <v>PAGO</v>
      </c>
      <c r="B84" s="98" t="str">
        <f>IFERROR(__xludf.DUMMYFUNCTION("""COMPUTED_VALUE"""),"Farmácia Pague Menos")</f>
        <v>Farmácia Pague Menos</v>
      </c>
      <c r="C84" s="13">
        <f>IFERROR(__xludf.DUMMYFUNCTION("""COMPUTED_VALUE"""),22.0)</f>
        <v>22</v>
      </c>
      <c r="D84" s="13" t="str">
        <f>IFERROR(__xludf.DUMMYFUNCTION("""COMPUTED_VALUE"""),"SEX.")</f>
        <v>SEX.</v>
      </c>
      <c r="E84" s="13">
        <f>IFERROR(__xludf.DUMMYFUNCTION("""COMPUTED_VALUE"""),1.0)</f>
        <v>1</v>
      </c>
      <c r="F84" s="15"/>
      <c r="G84" s="16"/>
      <c r="H84" s="227">
        <f>IFERROR(__xludf.DUMMYFUNCTION("""COMPUTED_VALUE"""),53.49)</f>
        <v>53.49</v>
      </c>
      <c r="I84" s="21" t="str">
        <f>IFERROR(__xludf.DUMMYFUNCTION("""COMPUTED_VALUE"""),"INTER-PJ")</f>
        <v>INTER-PJ</v>
      </c>
      <c r="J84" s="21" t="str">
        <f>IFERROR(__xludf.DUMMYFUNCTION("""COMPUTED_VALUE"""),"#Remedios #Cicero #Roberta #Variavel ")</f>
        <v>#Remedios #Cicero #Roberta #Variavel </v>
      </c>
      <c r="K84" s="216"/>
      <c r="L84" s="216"/>
      <c r="M84" s="216"/>
      <c r="N84" s="216"/>
      <c r="O84" s="216"/>
      <c r="P84" s="216"/>
      <c r="Q84" s="216"/>
    </row>
    <row r="85">
      <c r="A85" s="11" t="str">
        <f>IFERROR(__xludf.DUMMYFUNCTION("""COMPUTED_VALUE"""),"PAGO")</f>
        <v>PAGO</v>
      </c>
      <c r="B85" s="98" t="str">
        <f>IFERROR(__xludf.DUMMYFUNCTION("""COMPUTED_VALUE"""),"Farmácia Farma Leste - Shibata")</f>
        <v>Farmácia Farma Leste - Shibata</v>
      </c>
      <c r="C85" s="13">
        <f>IFERROR(__xludf.DUMMYFUNCTION("""COMPUTED_VALUE"""),22.0)</f>
        <v>22</v>
      </c>
      <c r="D85" s="13" t="str">
        <f>IFERROR(__xludf.DUMMYFUNCTION("""COMPUTED_VALUE"""),"SEX.")</f>
        <v>SEX.</v>
      </c>
      <c r="E85" s="13">
        <f>IFERROR(__xludf.DUMMYFUNCTION("""COMPUTED_VALUE"""),1.0)</f>
        <v>1</v>
      </c>
      <c r="F85" s="15"/>
      <c r="G85" s="16"/>
      <c r="H85" s="227">
        <f>IFERROR(__xludf.DUMMYFUNCTION("""COMPUTED_VALUE"""),28.99)</f>
        <v>28.99</v>
      </c>
      <c r="I85" s="21" t="str">
        <f>IFERROR(__xludf.DUMMYFUNCTION("""COMPUTED_VALUE"""),"INTER-PJ")</f>
        <v>INTER-PJ</v>
      </c>
      <c r="J85" s="21" t="str">
        <f>IFERROR(__xludf.DUMMYFUNCTION("""COMPUTED_VALUE"""),"#Remedios #Carlos #Variavel ")</f>
        <v>#Remedios #Carlos #Variavel </v>
      </c>
      <c r="K85" s="216"/>
      <c r="L85" s="216"/>
      <c r="M85" s="216"/>
      <c r="N85" s="216"/>
      <c r="O85" s="216"/>
      <c r="P85" s="216"/>
      <c r="Q85" s="216"/>
    </row>
    <row r="86">
      <c r="A86" s="11" t="str">
        <f>IFERROR(__xludf.DUMMYFUNCTION("""COMPUTED_VALUE"""),"PAGO")</f>
        <v>PAGO</v>
      </c>
      <c r="B86" s="98" t="str">
        <f>IFERROR(__xludf.DUMMYFUNCTION("""COMPUTED_VALUE"""),"Shibata")</f>
        <v>Shibata</v>
      </c>
      <c r="C86" s="13">
        <f>IFERROR(__xludf.DUMMYFUNCTION("""COMPUTED_VALUE"""),22.0)</f>
        <v>22</v>
      </c>
      <c r="D86" s="13" t="str">
        <f>IFERROR(__xludf.DUMMYFUNCTION("""COMPUTED_VALUE"""),"SEX.")</f>
        <v>SEX.</v>
      </c>
      <c r="E86" s="13">
        <f>IFERROR(__xludf.DUMMYFUNCTION("""COMPUTED_VALUE"""),1.0)</f>
        <v>1</v>
      </c>
      <c r="F86" s="15"/>
      <c r="G86" s="16"/>
      <c r="H86" s="227">
        <f>IFERROR(__xludf.DUMMYFUNCTION("""COMPUTED_VALUE"""),228.85)</f>
        <v>228.85</v>
      </c>
      <c r="I86" s="21" t="str">
        <f>IFERROR(__xludf.DUMMYFUNCTION("""COMPUTED_VALUE"""),"INTER-PJ")</f>
        <v>INTER-PJ</v>
      </c>
      <c r="J86" s="21" t="str">
        <f>IFERROR(__xludf.DUMMYFUNCTION("""COMPUTED_VALUE"""),"#Moradia #Essencial #Mercado #Variavel #Alimentação ")</f>
        <v>#Moradia #Essencial #Mercado #Variavel #Alimentação </v>
      </c>
      <c r="K86" s="216"/>
      <c r="L86" s="216"/>
      <c r="M86" s="216"/>
      <c r="N86" s="216"/>
      <c r="O86" s="216"/>
      <c r="P86" s="216"/>
      <c r="Q86" s="216"/>
    </row>
    <row r="87">
      <c r="A87" s="11" t="str">
        <f>IFERROR(__xludf.DUMMYFUNCTION("""COMPUTED_VALUE"""),"PAGO")</f>
        <v>PAGO</v>
      </c>
      <c r="B87" s="98" t="str">
        <f>IFERROR(__xludf.DUMMYFUNCTION("""COMPUTED_VALUE"""),"Luz - DEBITO AUTO")</f>
        <v>Luz - DEBITO AUTO</v>
      </c>
      <c r="C87" s="13">
        <f>IFERROR(__xludf.DUMMYFUNCTION("""COMPUTED_VALUE"""),22.0)</f>
        <v>22</v>
      </c>
      <c r="D87" s="13" t="str">
        <f>IFERROR(__xludf.DUMMYFUNCTION("""COMPUTED_VALUE"""),"SEX.")</f>
        <v>SEX.</v>
      </c>
      <c r="E87" s="13">
        <f>IFERROR(__xludf.DUMMYFUNCTION("""COMPUTED_VALUE"""),1.0)</f>
        <v>1</v>
      </c>
      <c r="F87" s="15"/>
      <c r="G87" s="16"/>
      <c r="H87" s="227">
        <f>IFERROR(__xludf.DUMMYFUNCTION("""COMPUTED_VALUE"""),212.59)</f>
        <v>212.59</v>
      </c>
      <c r="I87" s="21" t="str">
        <f>IFERROR(__xludf.DUMMYFUNCTION("""COMPUTED_VALUE"""),"ITAU")</f>
        <v>ITAU</v>
      </c>
      <c r="J87" s="21" t="str">
        <f>IFERROR(__xludf.DUMMYFUNCTION("""COMPUTED_VALUE"""),"#Moradia #Essencial #Luz #Fixo")</f>
        <v>#Moradia #Essencial #Luz #Fixo</v>
      </c>
      <c r="K87" s="216"/>
      <c r="L87" s="216"/>
      <c r="M87" s="216"/>
      <c r="N87" s="216"/>
      <c r="O87" s="216"/>
      <c r="P87" s="216"/>
      <c r="Q87" s="216"/>
    </row>
    <row r="88">
      <c r="A88" s="11" t="str">
        <f>IFERROR(__xludf.DUMMYFUNCTION("""COMPUTED_VALUE"""),"PAGO")</f>
        <v>PAGO</v>
      </c>
      <c r="B88" s="98" t="str">
        <f>IFERROR(__xludf.DUMMYFUNCTION("""COMPUTED_VALUE"""),"Frango Assado - Cidade Jardim SJC")</f>
        <v>Frango Assado - Cidade Jardim SJC</v>
      </c>
      <c r="C88" s="13">
        <f>IFERROR(__xludf.DUMMYFUNCTION("""COMPUTED_VALUE"""),24.0)</f>
        <v>24</v>
      </c>
      <c r="D88" s="13" t="str">
        <f>IFERROR(__xludf.DUMMYFUNCTION("""COMPUTED_VALUE"""),"DOM.")</f>
        <v>DOM.</v>
      </c>
      <c r="E88" s="13">
        <f>IFERROR(__xludf.DUMMYFUNCTION("""COMPUTED_VALUE"""),1.0)</f>
        <v>1</v>
      </c>
      <c r="F88" s="15"/>
      <c r="G88" s="16"/>
      <c r="H88" s="227">
        <f>IFERROR(__xludf.DUMMYFUNCTION("""COMPUTED_VALUE"""),30.0)</f>
        <v>30</v>
      </c>
      <c r="I88" s="21" t="str">
        <f>IFERROR(__xludf.DUMMYFUNCTION("""COMPUTED_VALUE"""),"INTER-PJ")</f>
        <v>INTER-PJ</v>
      </c>
      <c r="J88" s="21" t="str">
        <f>IFERROR(__xludf.DUMMYFUNCTION("""COMPUTED_VALUE"""),"#Lazer #Comida #Variavel")</f>
        <v>#Lazer #Comida #Variavel</v>
      </c>
      <c r="K88" s="216"/>
      <c r="L88" s="216"/>
      <c r="M88" s="216"/>
      <c r="N88" s="216"/>
      <c r="O88" s="216"/>
      <c r="P88" s="216"/>
      <c r="Q88" s="216"/>
    </row>
    <row r="89">
      <c r="A89" s="11" t="str">
        <f>IFERROR(__xludf.DUMMYFUNCTION("""COMPUTED_VALUE"""),"PAGO")</f>
        <v>PAGO</v>
      </c>
      <c r="B89" s="98" t="str">
        <f>IFERROR(__xludf.DUMMYFUNCTION("""COMPUTED_VALUE"""),"Leroy: suportes para prateleiras; esquadro")</f>
        <v>Leroy: suportes para prateleiras; esquadro</v>
      </c>
      <c r="C89" s="13">
        <f>IFERROR(__xludf.DUMMYFUNCTION("""COMPUTED_VALUE"""),25.0)</f>
        <v>25</v>
      </c>
      <c r="D89" s="13" t="str">
        <f>IFERROR(__xludf.DUMMYFUNCTION("""COMPUTED_VALUE"""),"SEG.")</f>
        <v>SEG.</v>
      </c>
      <c r="E89" s="13">
        <f>IFERROR(__xludf.DUMMYFUNCTION("""COMPUTED_VALUE"""),1.0)</f>
        <v>1</v>
      </c>
      <c r="F89" s="15"/>
      <c r="G89" s="16"/>
      <c r="H89" s="227">
        <f>IFERROR(__xludf.DUMMYFUNCTION("""COMPUTED_VALUE"""),167.21)</f>
        <v>167.21</v>
      </c>
      <c r="I89" s="21" t="str">
        <f>IFERROR(__xludf.DUMMYFUNCTION("""COMPUTED_VALUE"""),"INTER-PJ")</f>
        <v>INTER-PJ</v>
      </c>
      <c r="J89" s="21" t="str">
        <f>IFERROR(__xludf.DUMMYFUNCTION("""COMPUTED_VALUE"""),"#Lazer #Moradia #Variavel")</f>
        <v>#Lazer #Moradia #Variavel</v>
      </c>
      <c r="K89" s="216"/>
      <c r="L89" s="216"/>
      <c r="M89" s="216"/>
      <c r="N89" s="216"/>
      <c r="O89" s="216"/>
      <c r="P89" s="216"/>
      <c r="Q89" s="216"/>
    </row>
    <row r="90">
      <c r="A90" s="11" t="str">
        <f>IFERROR(__xludf.DUMMYFUNCTION("""COMPUTED_VALUE"""),"PAGO")</f>
        <v>PAGO</v>
      </c>
      <c r="B90" s="98" t="str">
        <f>IFERROR(__xludf.DUMMYFUNCTION("""COMPUTED_VALUE"""),"Shibata - Pizza")</f>
        <v>Shibata - Pizza</v>
      </c>
      <c r="C90" s="13">
        <f>IFERROR(__xludf.DUMMYFUNCTION("""COMPUTED_VALUE"""),29.0)</f>
        <v>29</v>
      </c>
      <c r="D90" s="13" t="str">
        <f>IFERROR(__xludf.DUMMYFUNCTION("""COMPUTED_VALUE"""),"SEX.")</f>
        <v>SEX.</v>
      </c>
      <c r="E90" s="13">
        <f>IFERROR(__xludf.DUMMYFUNCTION("""COMPUTED_VALUE"""),1.0)</f>
        <v>1</v>
      </c>
      <c r="F90" s="15"/>
      <c r="G90" s="16"/>
      <c r="H90" s="227">
        <f>IFERROR(__xludf.DUMMYFUNCTION("""COMPUTED_VALUE"""),57.8)</f>
        <v>57.8</v>
      </c>
      <c r="I90" s="21" t="str">
        <f>IFERROR(__xludf.DUMMYFUNCTION("""COMPUTED_VALUE"""),"INTER-PJ")</f>
        <v>INTER-PJ</v>
      </c>
      <c r="J90" s="21" t="str">
        <f>IFERROR(__xludf.DUMMYFUNCTION("""COMPUTED_VALUE"""),"#Lazer #Moradia #Mercado #Variavel #Alimentação ")</f>
        <v>#Lazer #Moradia #Mercado #Variavel #Alimentação </v>
      </c>
      <c r="K90" s="216"/>
      <c r="L90" s="216"/>
      <c r="M90" s="216"/>
      <c r="N90" s="216"/>
      <c r="O90" s="216"/>
      <c r="P90" s="216"/>
      <c r="Q90" s="216"/>
    </row>
    <row r="91">
      <c r="A91" s="11" t="str">
        <f>IFERROR(__xludf.DUMMYFUNCTION("""COMPUTED_VALUE"""),"PAGO")</f>
        <v>PAGO</v>
      </c>
      <c r="B91" s="98" t="str">
        <f>IFERROR(__xludf.DUMMYFUNCTION("""COMPUTED_VALUE"""),"Shibata")</f>
        <v>Shibata</v>
      </c>
      <c r="C91" s="13">
        <f>IFERROR(__xludf.DUMMYFUNCTION("""COMPUTED_VALUE"""),29.0)</f>
        <v>29</v>
      </c>
      <c r="D91" s="13" t="str">
        <f>IFERROR(__xludf.DUMMYFUNCTION("""COMPUTED_VALUE"""),"SEX.")</f>
        <v>SEX.</v>
      </c>
      <c r="E91" s="13">
        <f>IFERROR(__xludf.DUMMYFUNCTION("""COMPUTED_VALUE"""),1.0)</f>
        <v>1</v>
      </c>
      <c r="F91" s="15"/>
      <c r="G91" s="16"/>
      <c r="H91" s="227">
        <f>IFERROR(__xludf.DUMMYFUNCTION("""COMPUTED_VALUE"""),158.12)</f>
        <v>158.12</v>
      </c>
      <c r="I91" s="21" t="str">
        <f>IFERROR(__xludf.DUMMYFUNCTION("""COMPUTED_VALUE"""),"ITAU")</f>
        <v>ITAU</v>
      </c>
      <c r="J91" s="21" t="str">
        <f>IFERROR(__xludf.DUMMYFUNCTION("""COMPUTED_VALUE"""),"#Moradia #Essencial #Mercado #Variavel #Alimentação ")</f>
        <v>#Moradia #Essencial #Mercado #Variavel #Alimentação </v>
      </c>
      <c r="K91" s="216"/>
      <c r="L91" s="216"/>
      <c r="M91" s="216"/>
      <c r="N91" s="216"/>
      <c r="O91" s="216"/>
      <c r="P91" s="216"/>
      <c r="Q91" s="216"/>
    </row>
    <row r="92">
      <c r="A92" s="11" t="str">
        <f>IFERROR(__xludf.DUMMYFUNCTION("""COMPUTED_VALUE"""),"PAGO")</f>
        <v>PAGO</v>
      </c>
      <c r="B92" s="98" t="str">
        <f>IFERROR(__xludf.DUMMYFUNCTION("""COMPUTED_VALUE"""),"Droga Extra ")</f>
        <v>Droga Extra </v>
      </c>
      <c r="C92" s="13">
        <f>IFERROR(__xludf.DUMMYFUNCTION("""COMPUTED_VALUE"""),30.0)</f>
        <v>30</v>
      </c>
      <c r="D92" s="13" t="str">
        <f>IFERROR(__xludf.DUMMYFUNCTION("""COMPUTED_VALUE"""),"SÁB.")</f>
        <v>SÁB.</v>
      </c>
      <c r="E92" s="13">
        <f>IFERROR(__xludf.DUMMYFUNCTION("""COMPUTED_VALUE"""),1.0)</f>
        <v>1</v>
      </c>
      <c r="F92" s="15"/>
      <c r="G92" s="16"/>
      <c r="H92" s="227">
        <f>IFERROR(__xludf.DUMMYFUNCTION("""COMPUTED_VALUE"""),22.89)</f>
        <v>22.89</v>
      </c>
      <c r="I92" s="21" t="str">
        <f>IFERROR(__xludf.DUMMYFUNCTION("""COMPUTED_VALUE"""),"NUBANK")</f>
        <v>NUBANK</v>
      </c>
      <c r="J92" s="21" t="str">
        <f>IFERROR(__xludf.DUMMYFUNCTION("""COMPUTED_VALUE"""),"#Remedios #Cicero #Variavel ")</f>
        <v>#Remedios #Cicero #Variavel </v>
      </c>
      <c r="K92" s="216"/>
      <c r="L92" s="216"/>
      <c r="M92" s="216"/>
      <c r="N92" s="216"/>
      <c r="O92" s="216"/>
      <c r="P92" s="216"/>
      <c r="Q92" s="216"/>
    </row>
    <row r="93">
      <c r="A93" s="11" t="str">
        <f>IFERROR(__xludf.DUMMYFUNCTION("""COMPUTED_VALUE"""),"PAGO")</f>
        <v>PAGO</v>
      </c>
      <c r="B93" s="98" t="str">
        <f>IFERROR(__xludf.DUMMYFUNCTION("""COMPUTED_VALUE"""),"Extra Hipermercados")</f>
        <v>Extra Hipermercados</v>
      </c>
      <c r="C93" s="13">
        <f>IFERROR(__xludf.DUMMYFUNCTION("""COMPUTED_VALUE"""),30.0)</f>
        <v>30</v>
      </c>
      <c r="D93" s="13" t="str">
        <f>IFERROR(__xludf.DUMMYFUNCTION("""COMPUTED_VALUE"""),"SÁB.")</f>
        <v>SÁB.</v>
      </c>
      <c r="E93" s="13">
        <f>IFERROR(__xludf.DUMMYFUNCTION("""COMPUTED_VALUE"""),1.0)</f>
        <v>1</v>
      </c>
      <c r="F93" s="15"/>
      <c r="G93" s="16"/>
      <c r="H93" s="227">
        <f>IFERROR(__xludf.DUMMYFUNCTION("""COMPUTED_VALUE"""),36.9)</f>
        <v>36.9</v>
      </c>
      <c r="I93" s="21" t="str">
        <f>IFERROR(__xludf.DUMMYFUNCTION("""COMPUTED_VALUE"""),"NUBANK")</f>
        <v>NUBANK</v>
      </c>
      <c r="J93" s="21" t="str">
        <f>IFERROR(__xludf.DUMMYFUNCTION("""COMPUTED_VALUE"""),"#Moradia #Essencial #Mercado #Variavel #Alimentação ")</f>
        <v>#Moradia #Essencial #Mercado #Variavel #Alimentação </v>
      </c>
      <c r="K93" s="216"/>
      <c r="L93" s="216"/>
      <c r="M93" s="216"/>
      <c r="N93" s="216"/>
      <c r="O93" s="216"/>
      <c r="P93" s="216"/>
      <c r="Q93" s="216"/>
    </row>
    <row r="94">
      <c r="A94" s="11" t="str">
        <f>IFERROR(__xludf.DUMMYFUNCTION("""COMPUTED_VALUE"""),"CONTAS")</f>
        <v>CONTAS</v>
      </c>
      <c r="B94" s="98" t="str">
        <f>IFERROR(__xludf.DUMMYFUNCTION("""COMPUTED_VALUE"""),"Transferencia via PIX")</f>
        <v>Transferencia via PIX</v>
      </c>
      <c r="C94" s="13">
        <f>IFERROR(__xludf.DUMMYFUNCTION("""COMPUTED_VALUE"""),31.0)</f>
        <v>31</v>
      </c>
      <c r="D94" s="13" t="str">
        <f>IFERROR(__xludf.DUMMYFUNCTION("""COMPUTED_VALUE"""),"DOM.")</f>
        <v>DOM.</v>
      </c>
      <c r="E94" s="13">
        <f>IFERROR(__xludf.DUMMYFUNCTION("""COMPUTED_VALUE"""),1.0)</f>
        <v>1</v>
      </c>
      <c r="F94" s="15"/>
      <c r="G94" s="16"/>
      <c r="H94" s="227">
        <f>IFERROR(__xludf.DUMMYFUNCTION("""COMPUTED_VALUE"""),180.0)</f>
        <v>180</v>
      </c>
      <c r="I94" s="21" t="str">
        <f>IFERROR(__xludf.DUMMYFUNCTION("""COMPUTED_VALUE"""),"NUBANK")</f>
        <v>NUBANK</v>
      </c>
      <c r="J94" s="21"/>
      <c r="K94" s="216"/>
      <c r="L94" s="216"/>
      <c r="M94" s="216"/>
      <c r="N94" s="216"/>
      <c r="O94" s="216"/>
      <c r="P94" s="216"/>
      <c r="Q94" s="216"/>
    </row>
    <row r="95">
      <c r="A95" s="11" t="str">
        <f>IFERROR(__xludf.DUMMYFUNCTION("""COMPUTED_VALUE"""),"CONTAS")</f>
        <v>CONTAS</v>
      </c>
      <c r="B95" s="98" t="str">
        <f>IFERROR(__xludf.DUMMYFUNCTION("""COMPUTED_VALUE"""),"Recebimento via PIX")</f>
        <v>Recebimento via PIX</v>
      </c>
      <c r="C95" s="13">
        <f>IFERROR(__xludf.DUMMYFUNCTION("""COMPUTED_VALUE"""),31.0)</f>
        <v>31</v>
      </c>
      <c r="D95" s="13" t="str">
        <f>IFERROR(__xludf.DUMMYFUNCTION("""COMPUTED_VALUE"""),"DOM.")</f>
        <v>DOM.</v>
      </c>
      <c r="E95" s="13">
        <f>IFERROR(__xludf.DUMMYFUNCTION("""COMPUTED_VALUE"""),1.0)</f>
        <v>1</v>
      </c>
      <c r="F95" s="15"/>
      <c r="G95" s="16">
        <f>IFERROR(__xludf.DUMMYFUNCTION("""COMPUTED_VALUE"""),180.0)</f>
        <v>180</v>
      </c>
      <c r="H95" s="227"/>
      <c r="I95" s="21" t="str">
        <f>IFERROR(__xludf.DUMMYFUNCTION("""COMPUTED_VALUE"""),"ITAU")</f>
        <v>ITAU</v>
      </c>
      <c r="J95" s="21"/>
      <c r="K95" s="216"/>
      <c r="L95" s="216"/>
      <c r="M95" s="216"/>
      <c r="N95" s="216"/>
      <c r="O95" s="216"/>
      <c r="P95" s="216"/>
      <c r="Q95" s="216"/>
    </row>
    <row r="96">
      <c r="A96" s="11"/>
      <c r="B96" s="98"/>
      <c r="C96" s="13"/>
      <c r="D96" s="13"/>
      <c r="E96" s="13"/>
      <c r="F96" s="15"/>
      <c r="G96" s="16"/>
      <c r="H96" s="227"/>
      <c r="I96" s="21"/>
      <c r="J96" s="21"/>
      <c r="K96" s="216"/>
      <c r="L96" s="216"/>
      <c r="M96" s="216"/>
      <c r="N96" s="216"/>
      <c r="O96" s="216"/>
      <c r="P96" s="216"/>
      <c r="Q96" s="216"/>
    </row>
    <row r="97">
      <c r="A97" s="11"/>
      <c r="B97" s="98"/>
      <c r="C97" s="13"/>
      <c r="D97" s="13"/>
      <c r="E97" s="13"/>
      <c r="F97" s="15"/>
      <c r="G97" s="16"/>
      <c r="H97" s="227"/>
      <c r="I97" s="21"/>
      <c r="J97" s="21"/>
      <c r="K97" s="216"/>
      <c r="L97" s="216"/>
      <c r="M97" s="216"/>
      <c r="N97" s="216"/>
      <c r="O97" s="216"/>
      <c r="P97" s="216"/>
      <c r="Q97" s="216"/>
    </row>
    <row r="98">
      <c r="A98" s="11"/>
      <c r="B98" s="98"/>
      <c r="C98" s="13"/>
      <c r="D98" s="13"/>
      <c r="E98" s="13"/>
      <c r="F98" s="15"/>
      <c r="G98" s="16"/>
      <c r="H98" s="227"/>
      <c r="I98" s="21"/>
      <c r="J98" s="21"/>
      <c r="K98" s="216"/>
      <c r="L98" s="216"/>
      <c r="M98" s="216"/>
      <c r="N98" s="216"/>
      <c r="O98" s="216"/>
      <c r="P98" s="216"/>
      <c r="Q98" s="216"/>
    </row>
    <row r="99">
      <c r="A99" s="11" t="str">
        <f>IFERROR(__xludf.DUMMYFUNCTION("""COMPUTED_VALUE"""),"PAGO")</f>
        <v>PAGO</v>
      </c>
      <c r="B99" s="98" t="str">
        <f>IFERROR(__xludf.DUMMYFUNCTION("""COMPUTED_VALUE"""),"Entrada mes anterior")</f>
        <v>Entrada mes anterior</v>
      </c>
      <c r="C99" s="13">
        <f>IFERROR(__xludf.DUMMYFUNCTION("""COMPUTED_VALUE"""),1.0)</f>
        <v>1</v>
      </c>
      <c r="D99" s="13" t="str">
        <f>IFERROR(__xludf.DUMMYFUNCTION("""COMPUTED_VALUE"""),"SEG.")</f>
        <v>SEG.</v>
      </c>
      <c r="E99" s="13">
        <f>IFERROR(__xludf.DUMMYFUNCTION("""COMPUTED_VALUE"""),2.0)</f>
        <v>2</v>
      </c>
      <c r="F99" s="15"/>
      <c r="G99" s="16">
        <f>IFERROR(__xludf.DUMMYFUNCTION("""COMPUTED_VALUE"""),59.910000000000764)</f>
        <v>59.91</v>
      </c>
      <c r="H99" s="227"/>
      <c r="I99" s="21" t="str">
        <f>IFERROR(__xludf.DUMMYFUNCTION("""COMPUTED_VALUE"""),"ITAU")</f>
        <v>ITAU</v>
      </c>
      <c r="J99" s="21" t="str">
        <f>IFERROR(__xludf.DUMMYFUNCTION("""COMPUTED_VALUE"""),"#Recebimentos #Ajuste #Variavel")</f>
        <v>#Recebimentos #Ajuste #Variavel</v>
      </c>
      <c r="K99" s="216"/>
      <c r="L99" s="216"/>
      <c r="M99" s="216"/>
      <c r="N99" s="216"/>
      <c r="O99" s="216"/>
      <c r="P99" s="216"/>
      <c r="Q99" s="216"/>
    </row>
    <row r="100">
      <c r="A100" s="11" t="str">
        <f>IFERROR(__xludf.DUMMYFUNCTION("""COMPUTED_VALUE"""),"PAGO")</f>
        <v>PAGO</v>
      </c>
      <c r="B100" s="98" t="str">
        <f>IFERROR(__xludf.DUMMYFUNCTION("""COMPUTED_VALUE"""),"Entrada mes anterior")</f>
        <v>Entrada mes anterior</v>
      </c>
      <c r="C100" s="13">
        <f>IFERROR(__xludf.DUMMYFUNCTION("""COMPUTED_VALUE"""),1.0)</f>
        <v>1</v>
      </c>
      <c r="D100" s="13" t="str">
        <f>IFERROR(__xludf.DUMMYFUNCTION("""COMPUTED_VALUE"""),"SEG.")</f>
        <v>SEG.</v>
      </c>
      <c r="E100" s="13">
        <f>IFERROR(__xludf.DUMMYFUNCTION("""COMPUTED_VALUE"""),2.0)</f>
        <v>2</v>
      </c>
      <c r="F100" s="15"/>
      <c r="G100" s="16">
        <f>IFERROR(__xludf.DUMMYFUNCTION("""COMPUTED_VALUE"""),2.849999999999909)</f>
        <v>2.85</v>
      </c>
      <c r="H100" s="227"/>
      <c r="I100" s="21" t="str">
        <f>IFERROR(__xludf.DUMMYFUNCTION("""COMPUTED_VALUE"""),"INTER")</f>
        <v>INTER</v>
      </c>
      <c r="J100" s="21" t="str">
        <f>IFERROR(__xludf.DUMMYFUNCTION("""COMPUTED_VALUE"""),"#Recebimentos #Ajuste #Variavel")</f>
        <v>#Recebimentos #Ajuste #Variavel</v>
      </c>
      <c r="K100" s="216"/>
      <c r="L100" s="216"/>
      <c r="M100" s="216"/>
      <c r="N100" s="216"/>
      <c r="O100" s="216"/>
      <c r="P100" s="216"/>
      <c r="Q100" s="216"/>
    </row>
    <row r="101">
      <c r="A101" s="11" t="str">
        <f>IFERROR(__xludf.DUMMYFUNCTION("""COMPUTED_VALUE"""),"PAGO")</f>
        <v>PAGO</v>
      </c>
      <c r="B101" s="98" t="str">
        <f>IFERROR(__xludf.DUMMYFUNCTION("""COMPUTED_VALUE"""),"Entrada mes anterior")</f>
        <v>Entrada mes anterior</v>
      </c>
      <c r="C101" s="13">
        <f>IFERROR(__xludf.DUMMYFUNCTION("""COMPUTED_VALUE"""),1.0)</f>
        <v>1</v>
      </c>
      <c r="D101" s="13" t="str">
        <f>IFERROR(__xludf.DUMMYFUNCTION("""COMPUTED_VALUE"""),"SEG.")</f>
        <v>SEG.</v>
      </c>
      <c r="E101" s="13">
        <f>IFERROR(__xludf.DUMMYFUNCTION("""COMPUTED_VALUE"""),2.0)</f>
        <v>2</v>
      </c>
      <c r="F101" s="15"/>
      <c r="G101" s="16">
        <f>IFERROR(__xludf.DUMMYFUNCTION("""COMPUTED_VALUE"""),110.43999999999869)</f>
        <v>110.44</v>
      </c>
      <c r="H101" s="227"/>
      <c r="I101" s="21" t="str">
        <f>IFERROR(__xludf.DUMMYFUNCTION("""COMPUTED_VALUE"""),"INTER-PJ")</f>
        <v>INTER-PJ</v>
      </c>
      <c r="J101" s="21" t="str">
        <f>IFERROR(__xludf.DUMMYFUNCTION("""COMPUTED_VALUE"""),"#Recebimentos #Ajuste #Variavel")</f>
        <v>#Recebimentos #Ajuste #Variavel</v>
      </c>
      <c r="K101" s="216"/>
      <c r="L101" s="216"/>
      <c r="M101" s="216"/>
      <c r="N101" s="216"/>
      <c r="O101" s="216"/>
      <c r="P101" s="216"/>
      <c r="Q101" s="216"/>
    </row>
    <row r="102">
      <c r="A102" s="11" t="str">
        <f>IFERROR(__xludf.DUMMYFUNCTION("""COMPUTED_VALUE"""),"PAGO")</f>
        <v>PAGO</v>
      </c>
      <c r="B102" s="98" t="str">
        <f>IFERROR(__xludf.DUMMYFUNCTION("""COMPUTED_VALUE"""),"Entrada mes anterior")</f>
        <v>Entrada mes anterior</v>
      </c>
      <c r="C102" s="13">
        <f>IFERROR(__xludf.DUMMYFUNCTION("""COMPUTED_VALUE"""),1.0)</f>
        <v>1</v>
      </c>
      <c r="D102" s="13" t="str">
        <f>IFERROR(__xludf.DUMMYFUNCTION("""COMPUTED_VALUE"""),"SEG.")</f>
        <v>SEG.</v>
      </c>
      <c r="E102" s="13">
        <f>IFERROR(__xludf.DUMMYFUNCTION("""COMPUTED_VALUE"""),2.0)</f>
        <v>2</v>
      </c>
      <c r="F102" s="15"/>
      <c r="G102" s="16">
        <f>IFERROR(__xludf.DUMMYFUNCTION("""COMPUTED_VALUE"""),70.95999999999913)</f>
        <v>70.96</v>
      </c>
      <c r="H102" s="227"/>
      <c r="I102" s="21" t="str">
        <f>IFERROR(__xludf.DUMMYFUNCTION("""COMPUTED_VALUE"""),"NUBANK")</f>
        <v>NUBANK</v>
      </c>
      <c r="J102" s="21" t="str">
        <f>IFERROR(__xludf.DUMMYFUNCTION("""COMPUTED_VALUE"""),"#Recebimentos #Ajuste #Variavel")</f>
        <v>#Recebimentos #Ajuste #Variavel</v>
      </c>
      <c r="K102" s="216"/>
      <c r="L102" s="216"/>
      <c r="M102" s="216"/>
      <c r="N102" s="216"/>
      <c r="O102" s="216"/>
      <c r="P102" s="216"/>
      <c r="Q102" s="216"/>
    </row>
    <row r="103">
      <c r="A103" s="11" t="str">
        <f>IFERROR(__xludf.DUMMYFUNCTION("""COMPUTED_VALUE"""),"PAGO")</f>
        <v>PAGO</v>
      </c>
      <c r="B103" s="98" t="str">
        <f>IFERROR(__xludf.DUMMYFUNCTION("""COMPUTED_VALUE"""),"Entrada mes anterior")</f>
        <v>Entrada mes anterior</v>
      </c>
      <c r="C103" s="13">
        <f>IFERROR(__xludf.DUMMYFUNCTION("""COMPUTED_VALUE"""),1.0)</f>
        <v>1</v>
      </c>
      <c r="D103" s="13" t="str">
        <f>IFERROR(__xludf.DUMMYFUNCTION("""COMPUTED_VALUE"""),"SEG.")</f>
        <v>SEG.</v>
      </c>
      <c r="E103" s="13">
        <f>IFERROR(__xludf.DUMMYFUNCTION("""COMPUTED_VALUE"""),2.0)</f>
        <v>2</v>
      </c>
      <c r="F103" s="15"/>
      <c r="G103" s="16">
        <f>IFERROR(__xludf.DUMMYFUNCTION("""COMPUTED_VALUE"""),9.52)</f>
        <v>9.52</v>
      </c>
      <c r="H103" s="227"/>
      <c r="I103" s="21" t="str">
        <f>IFERROR(__xludf.DUMMYFUNCTION("""COMPUTED_VALUE"""),"C6BANK")</f>
        <v>C6BANK</v>
      </c>
      <c r="J103" s="21" t="str">
        <f>IFERROR(__xludf.DUMMYFUNCTION("""COMPUTED_VALUE"""),"#Recebimentos #Ajuste #Variavel")</f>
        <v>#Recebimentos #Ajuste #Variavel</v>
      </c>
      <c r="K103" s="216"/>
      <c r="L103" s="216"/>
      <c r="M103" s="216"/>
      <c r="N103" s="216"/>
      <c r="O103" s="216"/>
      <c r="P103" s="216"/>
      <c r="Q103" s="216"/>
    </row>
    <row r="104">
      <c r="A104" s="11" t="str">
        <f>IFERROR(__xludf.DUMMYFUNCTION("""COMPUTED_VALUE"""),"PAGO")</f>
        <v>PAGO</v>
      </c>
      <c r="B104" s="98" t="str">
        <f>IFERROR(__xludf.DUMMYFUNCTION("""COMPUTED_VALUE"""),"Doação Asilo Monteiro Lobato")</f>
        <v>Doação Asilo Monteiro Lobato</v>
      </c>
      <c r="C104" s="13">
        <f>IFERROR(__xludf.DUMMYFUNCTION("""COMPUTED_VALUE"""),1.0)</f>
        <v>1</v>
      </c>
      <c r="D104" s="13" t="str">
        <f>IFERROR(__xludf.DUMMYFUNCTION("""COMPUTED_VALUE"""),"SEG.")</f>
        <v>SEG.</v>
      </c>
      <c r="E104" s="13">
        <f>IFERROR(__xludf.DUMMYFUNCTION("""COMPUTED_VALUE"""),2.0)</f>
        <v>2</v>
      </c>
      <c r="F104" s="15"/>
      <c r="G104" s="16"/>
      <c r="H104" s="227">
        <f>IFERROR(__xludf.DUMMYFUNCTION("""COMPUTED_VALUE"""),100.0)</f>
        <v>100</v>
      </c>
      <c r="I104" s="21" t="str">
        <f>IFERROR(__xludf.DUMMYFUNCTION("""COMPUTED_VALUE"""),"INTER-PJ")</f>
        <v>INTER-PJ</v>
      </c>
      <c r="J104" s="21" t="str">
        <f>IFERROR(__xludf.DUMMYFUNCTION("""COMPUTED_VALUE"""),"#Doação #Extra #Variavel")</f>
        <v>#Doação #Extra #Variavel</v>
      </c>
      <c r="K104" s="216"/>
      <c r="L104" s="216"/>
      <c r="M104" s="216"/>
      <c r="N104" s="216"/>
      <c r="O104" s="216"/>
      <c r="P104" s="216"/>
      <c r="Q104" s="216"/>
    </row>
    <row r="105">
      <c r="A105" s="11" t="str">
        <f>IFERROR(__xludf.DUMMYFUNCTION("""COMPUTED_VALUE"""),"PAGO")</f>
        <v>PAGO</v>
      </c>
      <c r="B105" s="98" t="str">
        <f>IFERROR(__xludf.DUMMYFUNCTION("""COMPUTED_VALUE"""),"Agua - DEBITO AUTO")</f>
        <v>Agua - DEBITO AUTO</v>
      </c>
      <c r="C105" s="13">
        <f>IFERROR(__xludf.DUMMYFUNCTION("""COMPUTED_VALUE"""),1.0)</f>
        <v>1</v>
      </c>
      <c r="D105" s="13" t="str">
        <f>IFERROR(__xludf.DUMMYFUNCTION("""COMPUTED_VALUE"""),"SEG.")</f>
        <v>SEG.</v>
      </c>
      <c r="E105" s="13">
        <f>IFERROR(__xludf.DUMMYFUNCTION("""COMPUTED_VALUE"""),2.0)</f>
        <v>2</v>
      </c>
      <c r="F105" s="15"/>
      <c r="G105" s="16"/>
      <c r="H105" s="227">
        <f>IFERROR(__xludf.DUMMYFUNCTION("""COMPUTED_VALUE"""),49.03)</f>
        <v>49.03</v>
      </c>
      <c r="I105" s="21" t="str">
        <f>IFERROR(__xludf.DUMMYFUNCTION("""COMPUTED_VALUE"""),"ITAU")</f>
        <v>ITAU</v>
      </c>
      <c r="J105" s="21" t="str">
        <f>IFERROR(__xludf.DUMMYFUNCTION("""COMPUTED_VALUE"""),"#Moradia #Essencial #Agua #Fixo")</f>
        <v>#Moradia #Essencial #Agua #Fixo</v>
      </c>
      <c r="K105" s="216"/>
      <c r="L105" s="216"/>
      <c r="M105" s="216"/>
      <c r="N105" s="216"/>
      <c r="O105" s="216"/>
      <c r="P105" s="216"/>
      <c r="Q105" s="216"/>
    </row>
    <row r="106">
      <c r="A106" s="11" t="str">
        <f>IFERROR(__xludf.DUMMYFUNCTION("""COMPUTED_VALUE"""),"PAGO")</f>
        <v>PAGO</v>
      </c>
      <c r="B106" s="98" t="str">
        <f>IFERROR(__xludf.DUMMYFUNCTION("""COMPUTED_VALUE"""),"Magazine Luiza - refil mach3 sensitive (8un)")</f>
        <v>Magazine Luiza - refil mach3 sensitive (8un)</v>
      </c>
      <c r="C106" s="13">
        <f>IFERROR(__xludf.DUMMYFUNCTION("""COMPUTED_VALUE"""),4.0)</f>
        <v>4</v>
      </c>
      <c r="D106" s="13" t="str">
        <f>IFERROR(__xludf.DUMMYFUNCTION("""COMPUTED_VALUE"""),"QUI.")</f>
        <v>QUI.</v>
      </c>
      <c r="E106" s="13">
        <f>IFERROR(__xludf.DUMMYFUNCTION("""COMPUTED_VALUE"""),2.0)</f>
        <v>2</v>
      </c>
      <c r="F106" s="15"/>
      <c r="G106" s="16"/>
      <c r="H106" s="227">
        <f>IFERROR(__xludf.DUMMYFUNCTION("""COMPUTED_VALUE"""),63.9)</f>
        <v>63.9</v>
      </c>
      <c r="I106" s="21" t="str">
        <f>IFERROR(__xludf.DUMMYFUNCTION("""COMPUTED_VALUE"""),"NUBANK")</f>
        <v>NUBANK</v>
      </c>
      <c r="J106" s="21" t="str">
        <f>IFERROR(__xludf.DUMMYFUNCTION("""COMPUTED_VALUE"""),"#Cicero #Essencial #Variavel")</f>
        <v>#Cicero #Essencial #Variavel</v>
      </c>
      <c r="K106" s="216"/>
      <c r="L106" s="216"/>
      <c r="M106" s="216"/>
      <c r="N106" s="216"/>
      <c r="O106" s="216"/>
      <c r="P106" s="216"/>
      <c r="Q106" s="216"/>
    </row>
    <row r="107">
      <c r="A107" s="11" t="str">
        <f>IFERROR(__xludf.DUMMYFUNCTION("""COMPUTED_VALUE"""),"PAGO")</f>
        <v>PAGO</v>
      </c>
      <c r="B107" s="98" t="str">
        <f>IFERROR(__xludf.DUMMYFUNCTION("""COMPUTED_VALUE"""),"Salario - Certsys")</f>
        <v>Salario - Certsys</v>
      </c>
      <c r="C107" s="13">
        <f>IFERROR(__xludf.DUMMYFUNCTION("""COMPUTED_VALUE"""),8.0)</f>
        <v>8</v>
      </c>
      <c r="D107" s="13" t="str">
        <f>IFERROR(__xludf.DUMMYFUNCTION("""COMPUTED_VALUE"""),"SEG.")</f>
        <v>SEG.</v>
      </c>
      <c r="E107" s="13">
        <f>IFERROR(__xludf.DUMMYFUNCTION("""COMPUTED_VALUE"""),2.0)</f>
        <v>2</v>
      </c>
      <c r="F107" s="15"/>
      <c r="G107" s="16">
        <f>IFERROR(__xludf.DUMMYFUNCTION("""COMPUTED_VALUE"""),12000.0)</f>
        <v>12000</v>
      </c>
      <c r="H107" s="227"/>
      <c r="I107" s="21" t="str">
        <f>IFERROR(__xludf.DUMMYFUNCTION("""COMPUTED_VALUE"""),"INTER-PJ")</f>
        <v>INTER-PJ</v>
      </c>
      <c r="J107" s="21" t="str">
        <f>IFERROR(__xludf.DUMMYFUNCTION("""COMPUTED_VALUE"""),"#Recebimentos #Salario #Fixo")</f>
        <v>#Recebimentos #Salario #Fixo</v>
      </c>
      <c r="K107" s="216"/>
      <c r="L107" s="216"/>
      <c r="M107" s="216"/>
      <c r="N107" s="216"/>
      <c r="O107" s="216"/>
      <c r="P107" s="216"/>
      <c r="Q107" s="216"/>
    </row>
    <row r="108">
      <c r="A108" s="11" t="str">
        <f>IFERROR(__xludf.DUMMYFUNCTION("""COMPUTED_VALUE"""),"PAGO")</f>
        <v>PAGO</v>
      </c>
      <c r="B108" s="98" t="str">
        <f>IFERROR(__xludf.DUMMYFUNCTION("""COMPUTED_VALUE"""),"Cartao Roberta")</f>
        <v>Cartao Roberta</v>
      </c>
      <c r="C108" s="13">
        <f>IFERROR(__xludf.DUMMYFUNCTION("""COMPUTED_VALUE"""),8.0)</f>
        <v>8</v>
      </c>
      <c r="D108" s="13" t="str">
        <f>IFERROR(__xludf.DUMMYFUNCTION("""COMPUTED_VALUE"""),"SEG.")</f>
        <v>SEG.</v>
      </c>
      <c r="E108" s="13">
        <f>IFERROR(__xludf.DUMMYFUNCTION("""COMPUTED_VALUE"""),2.0)</f>
        <v>2</v>
      </c>
      <c r="F108" s="15"/>
      <c r="G108" s="16"/>
      <c r="H108" s="227">
        <f>IFERROR(__xludf.DUMMYFUNCTION("""COMPUTED_VALUE"""),2446.0299999999997)</f>
        <v>2446.03</v>
      </c>
      <c r="I108" s="21" t="str">
        <f>IFERROR(__xludf.DUMMYFUNCTION("""COMPUTED_VALUE"""),"INTER-PJ")</f>
        <v>INTER-PJ</v>
      </c>
      <c r="J108" s="21"/>
      <c r="K108" s="216"/>
      <c r="L108" s="216"/>
      <c r="M108" s="216"/>
      <c r="N108" s="216"/>
      <c r="O108" s="216"/>
      <c r="P108" s="216"/>
      <c r="Q108" s="216"/>
    </row>
    <row r="109">
      <c r="A109" s="11" t="str">
        <f>IFERROR(__xludf.DUMMYFUNCTION("""COMPUTED_VALUE"""),"CREDITO")</f>
        <v>CREDITO</v>
      </c>
      <c r="B109" s="98" t="str">
        <f>IFERROR(__xludf.DUMMYFUNCTION("""COMPUTED_VALUE"""),"TORRA TORRA - VESTUÁRIO .SAO JOSE DOS 02/03")</f>
        <v>TORRA TORRA - VESTUÁRIO .SAO JOSE DOS 02/03</v>
      </c>
      <c r="C109" s="13"/>
      <c r="D109" s="13"/>
      <c r="E109" s="13">
        <f>IFERROR(__xludf.DUMMYFUNCTION("""COMPUTED_VALUE"""),2.0)</f>
        <v>2</v>
      </c>
      <c r="F109" s="15">
        <f>IFERROR(__xludf.DUMMYFUNCTION("""COMPUTED_VALUE"""),44186.0)</f>
        <v>44186</v>
      </c>
      <c r="G109" s="16"/>
      <c r="H109" s="227">
        <f>IFERROR(__xludf.DUMMYFUNCTION("""COMPUTED_VALUE"""),144.63)</f>
        <v>144.63</v>
      </c>
      <c r="I109" s="21"/>
      <c r="J109" s="21" t="str">
        <f>IFERROR(__xludf.DUMMYFUNCTION("""COMPUTED_VALUE"""),"#CartaoDeCredito #Roberta #Lazer #Presentes #Variavel #Natal #AnoNovo")</f>
        <v>#CartaoDeCredito #Roberta #Lazer #Presentes #Variavel #Natal #AnoNovo</v>
      </c>
      <c r="K109" s="216"/>
      <c r="L109" s="216"/>
      <c r="M109" s="216"/>
      <c r="N109" s="216"/>
      <c r="O109" s="216"/>
      <c r="P109" s="216"/>
      <c r="Q109" s="216"/>
    </row>
    <row r="110">
      <c r="A110" s="11" t="str">
        <f>IFERROR(__xludf.DUMMYFUNCTION("""COMPUTED_VALUE"""),"CREDITO")</f>
        <v>CREDITO</v>
      </c>
      <c r="B110" s="98" t="str">
        <f>IFERROR(__xludf.DUMMYFUNCTION("""COMPUTED_VALUE"""),"TORRA TORRA - VESTUÁRIO .SAO JOSE DOS")</f>
        <v>TORRA TORRA - VESTUÁRIO .SAO JOSE DOS</v>
      </c>
      <c r="C110" s="13"/>
      <c r="D110" s="13"/>
      <c r="E110" s="13">
        <f>IFERROR(__xludf.DUMMYFUNCTION("""COMPUTED_VALUE"""),2.0)</f>
        <v>2</v>
      </c>
      <c r="F110" s="15">
        <f>IFERROR(__xludf.DUMMYFUNCTION("""COMPUTED_VALUE"""),44186.0)</f>
        <v>44186</v>
      </c>
      <c r="G110" s="16"/>
      <c r="H110" s="227">
        <f>IFERROR(__xludf.DUMMYFUNCTION("""COMPUTED_VALUE"""),-0.04)</f>
        <v>-0.04</v>
      </c>
      <c r="I110" s="21"/>
      <c r="J110" s="21" t="str">
        <f>IFERROR(__xludf.DUMMYFUNCTION("""COMPUTED_VALUE"""),"#CartaoDeCredito #Roberta #Lazer #Presentes #Variavel #Natal #AnoNovo")</f>
        <v>#CartaoDeCredito #Roberta #Lazer #Presentes #Variavel #Natal #AnoNovo</v>
      </c>
      <c r="K110" s="216"/>
      <c r="L110" s="216"/>
      <c r="M110" s="216"/>
      <c r="N110" s="216"/>
      <c r="O110" s="216"/>
      <c r="P110" s="216"/>
      <c r="Q110" s="216"/>
    </row>
    <row r="111">
      <c r="A111" s="11" t="str">
        <f>IFERROR(__xludf.DUMMYFUNCTION("""COMPUTED_VALUE"""),"CREDITO")</f>
        <v>CREDITO</v>
      </c>
      <c r="B111" s="98" t="str">
        <f>IFERROR(__xludf.DUMMYFUNCTION("""COMPUTED_VALUE"""),"TOKIO MARINE*AUTO1DE1 - DIVERSOS .SAO PAULO")</f>
        <v>TOKIO MARINE*AUTO1DE1 - DIVERSOS .SAO PAULO</v>
      </c>
      <c r="C111" s="13"/>
      <c r="D111" s="13"/>
      <c r="E111" s="13">
        <f>IFERROR(__xludf.DUMMYFUNCTION("""COMPUTED_VALUE"""),2.0)</f>
        <v>2</v>
      </c>
      <c r="F111" s="15">
        <f>IFERROR(__xludf.DUMMYFUNCTION("""COMPUTED_VALUE"""),44194.0)</f>
        <v>44194</v>
      </c>
      <c r="G111" s="16"/>
      <c r="H111" s="227">
        <f>IFERROR(__xludf.DUMMYFUNCTION("""COMPUTED_VALUE"""),1782.61)</f>
        <v>1782.61</v>
      </c>
      <c r="I111" s="21"/>
      <c r="J111" s="21" t="str">
        <f>IFERROR(__xludf.DUMMYFUNCTION("""COMPUTED_VALUE"""),"#CartaoDeCredito #Roberta #Carro #Seguro #Variavel")</f>
        <v>#CartaoDeCredito #Roberta #Carro #Seguro #Variavel</v>
      </c>
      <c r="K111" s="216"/>
      <c r="L111" s="216"/>
      <c r="M111" s="216"/>
      <c r="N111" s="216"/>
      <c r="O111" s="216"/>
      <c r="P111" s="216"/>
      <c r="Q111" s="216"/>
    </row>
    <row r="112">
      <c r="A112" s="11" t="str">
        <f>IFERROR(__xludf.DUMMYFUNCTION("""COMPUTED_VALUE"""),"CREDITO")</f>
        <v>CREDITO</v>
      </c>
      <c r="B112" s="98" t="str">
        <f>IFERROR(__xludf.DUMMYFUNCTION("""COMPUTED_VALUE"""),"SPITI - DIVERSOS .SAO PAULO")</f>
        <v>SPITI - DIVERSOS .SAO PAULO</v>
      </c>
      <c r="C112" s="13"/>
      <c r="D112" s="13"/>
      <c r="E112" s="13">
        <f>IFERROR(__xludf.DUMMYFUNCTION("""COMPUTED_VALUE"""),2.0)</f>
        <v>2</v>
      </c>
      <c r="F112" s="15">
        <f>IFERROR(__xludf.DUMMYFUNCTION("""COMPUTED_VALUE"""),44197.0)</f>
        <v>44197</v>
      </c>
      <c r="G112" s="16"/>
      <c r="H112" s="227">
        <f>IFERROR(__xludf.DUMMYFUNCTION("""COMPUTED_VALUE"""),1.0)</f>
        <v>1</v>
      </c>
      <c r="I112" s="21"/>
      <c r="J112" s="21" t="str">
        <f>IFERROR(__xludf.DUMMYFUNCTION("""COMPUTED_VALUE"""),"#CartaoDeCredito #Roberta #Lazer #Variavel")</f>
        <v>#CartaoDeCredito #Roberta #Lazer #Variavel</v>
      </c>
      <c r="K112" s="216"/>
      <c r="L112" s="216"/>
      <c r="M112" s="216"/>
      <c r="N112" s="216"/>
      <c r="O112" s="216"/>
      <c r="P112" s="216"/>
      <c r="Q112" s="216"/>
    </row>
    <row r="113">
      <c r="A113" s="11" t="str">
        <f>IFERROR(__xludf.DUMMYFUNCTION("""COMPUTED_VALUE"""),"CREDITO")</f>
        <v>CREDITO</v>
      </c>
      <c r="B113" s="98" t="str">
        <f>IFERROR(__xludf.DUMMYFUNCTION("""COMPUTED_VALUE"""),"VIAPARK ESTACIONAMENTO - VEÍCULOS .SAO JOSE DOS")</f>
        <v>VIAPARK ESTACIONAMENTO - VEÍCULOS .SAO JOSE DOS</v>
      </c>
      <c r="C113" s="13"/>
      <c r="D113" s="13"/>
      <c r="E113" s="13">
        <f>IFERROR(__xludf.DUMMYFUNCTION("""COMPUTED_VALUE"""),2.0)</f>
        <v>2</v>
      </c>
      <c r="F113" s="15">
        <f>IFERROR(__xludf.DUMMYFUNCTION("""COMPUTED_VALUE"""),44202.0)</f>
        <v>44202</v>
      </c>
      <c r="G113" s="16"/>
      <c r="H113" s="227">
        <f>IFERROR(__xludf.DUMMYFUNCTION("""COMPUTED_VALUE"""),8.0)</f>
        <v>8</v>
      </c>
      <c r="I113" s="21"/>
      <c r="J113" s="21" t="str">
        <f>IFERROR(__xludf.DUMMYFUNCTION("""COMPUTED_VALUE"""),"#CartaoDeCredito #Roberta #Carro #Estacionamento #Variavel")</f>
        <v>#CartaoDeCredito #Roberta #Carro #Estacionamento #Variavel</v>
      </c>
      <c r="K113" s="216"/>
      <c r="L113" s="216"/>
      <c r="M113" s="216"/>
      <c r="N113" s="216"/>
      <c r="O113" s="216"/>
      <c r="P113" s="216"/>
      <c r="Q113" s="216"/>
    </row>
    <row r="114">
      <c r="A114" s="11" t="str">
        <f>IFERROR(__xludf.DUMMYFUNCTION("""COMPUTED_VALUE"""),"CREDITO")</f>
        <v>CREDITO</v>
      </c>
      <c r="B114" s="98" t="str">
        <f>IFERROR(__xludf.DUMMYFUNCTION("""COMPUTED_VALUE"""),"MLP*MAGAZINELUIZA - DIVERSOS .SAO PAULO")</f>
        <v>MLP*MAGAZINELUIZA - DIVERSOS .SAO PAULO</v>
      </c>
      <c r="C114" s="13"/>
      <c r="D114" s="13"/>
      <c r="E114" s="13">
        <f>IFERROR(__xludf.DUMMYFUNCTION("""COMPUTED_VALUE"""),2.0)</f>
        <v>2</v>
      </c>
      <c r="F114" s="15">
        <f>IFERROR(__xludf.DUMMYFUNCTION("""COMPUTED_VALUE"""),44204.0)</f>
        <v>44204</v>
      </c>
      <c r="G114" s="16"/>
      <c r="H114" s="227">
        <f>IFERROR(__xludf.DUMMYFUNCTION("""COMPUTED_VALUE"""),43.6)</f>
        <v>43.6</v>
      </c>
      <c r="I114" s="21"/>
      <c r="J114" s="21" t="str">
        <f>IFERROR(__xludf.DUMMYFUNCTION("""COMPUTED_VALUE"""),"#CartaoDeCredito #Roberta #Lazer #Aquario #Variavel")</f>
        <v>#CartaoDeCredito #Roberta #Lazer #Aquario #Variavel</v>
      </c>
      <c r="K114" s="216"/>
      <c r="L114" s="216"/>
      <c r="M114" s="216"/>
      <c r="N114" s="216"/>
      <c r="O114" s="216"/>
      <c r="P114" s="216"/>
      <c r="Q114" s="216"/>
    </row>
    <row r="115">
      <c r="A115" s="11" t="str">
        <f>IFERROR(__xludf.DUMMYFUNCTION("""COMPUTED_VALUE"""),"CREDITO")</f>
        <v>CREDITO</v>
      </c>
      <c r="B115" s="98" t="str">
        <f>IFERROR(__xludf.DUMMYFUNCTION("""COMPUTED_VALUE"""),"WHYPETZ - DIVERSOS .SAO JOSE DOS")</f>
        <v>WHYPETZ - DIVERSOS .SAO JOSE DOS</v>
      </c>
      <c r="C115" s="13"/>
      <c r="D115" s="13"/>
      <c r="E115" s="13">
        <f>IFERROR(__xludf.DUMMYFUNCTION("""COMPUTED_VALUE"""),2.0)</f>
        <v>2</v>
      </c>
      <c r="F115" s="15">
        <f>IFERROR(__xludf.DUMMYFUNCTION("""COMPUTED_VALUE"""),44205.0)</f>
        <v>44205</v>
      </c>
      <c r="G115" s="16"/>
      <c r="H115" s="227">
        <f>IFERROR(__xludf.DUMMYFUNCTION("""COMPUTED_VALUE"""),37.51)</f>
        <v>37.51</v>
      </c>
      <c r="I115" s="21"/>
      <c r="J115" s="21" t="str">
        <f>IFERROR(__xludf.DUMMYFUNCTION("""COMPUTED_VALUE"""),"#CartaoDeCredito #Roberta #Lazer #Aquario #Variavel")</f>
        <v>#CartaoDeCredito #Roberta #Lazer #Aquario #Variavel</v>
      </c>
      <c r="K115" s="216"/>
      <c r="L115" s="216"/>
      <c r="M115" s="216"/>
      <c r="N115" s="216"/>
      <c r="O115" s="216"/>
      <c r="P115" s="216"/>
      <c r="Q115" s="216"/>
    </row>
    <row r="116">
      <c r="A116" s="11" t="str">
        <f>IFERROR(__xludf.DUMMYFUNCTION("""COMPUTED_VALUE"""),"CREDITO")</f>
        <v>CREDITO</v>
      </c>
      <c r="B116" s="98" t="str">
        <f>IFERROR(__xludf.DUMMYFUNCTION("""COMPUTED_VALUE"""),"COBASI SJC JD ORIENTE - HOBBY .SAO JOSE DOS")</f>
        <v>COBASI SJC JD ORIENTE - HOBBY .SAO JOSE DOS</v>
      </c>
      <c r="C116" s="13"/>
      <c r="D116" s="13"/>
      <c r="E116" s="13">
        <f>IFERROR(__xludf.DUMMYFUNCTION("""COMPUTED_VALUE"""),2.0)</f>
        <v>2</v>
      </c>
      <c r="F116" s="15">
        <f>IFERROR(__xludf.DUMMYFUNCTION("""COMPUTED_VALUE"""),44205.0)</f>
        <v>44205</v>
      </c>
      <c r="G116" s="16"/>
      <c r="H116" s="227">
        <f>IFERROR(__xludf.DUMMYFUNCTION("""COMPUTED_VALUE"""),13.78)</f>
        <v>13.78</v>
      </c>
      <c r="I116" s="21"/>
      <c r="J116" s="21" t="str">
        <f>IFERROR(__xludf.DUMMYFUNCTION("""COMPUTED_VALUE"""),"#CartaoDeCredito #Roberta #Lazer #Aquario #Variavel")</f>
        <v>#CartaoDeCredito #Roberta #Lazer #Aquario #Variavel</v>
      </c>
      <c r="K116" s="216"/>
      <c r="L116" s="216"/>
      <c r="M116" s="216"/>
      <c r="N116" s="216"/>
      <c r="O116" s="216"/>
      <c r="P116" s="216"/>
      <c r="Q116" s="216"/>
    </row>
    <row r="117">
      <c r="A117" s="11" t="str">
        <f>IFERROR(__xludf.DUMMYFUNCTION("""COMPUTED_VALUE"""),"CREDITO")</f>
        <v>CREDITO</v>
      </c>
      <c r="B117" s="98" t="str">
        <f>IFERROR(__xludf.DUMMYFUNCTION("""COMPUTED_VALUE"""),"SERVICOS CLA*119949911 - DIVERSOS .RIO DE JANEIR")</f>
        <v>SERVICOS CLA*119949911 - DIVERSOS .RIO DE JANEIR</v>
      </c>
      <c r="C117" s="13"/>
      <c r="D117" s="13"/>
      <c r="E117" s="13">
        <f>IFERROR(__xludf.DUMMYFUNCTION("""COMPUTED_VALUE"""),2.0)</f>
        <v>2</v>
      </c>
      <c r="F117" s="15">
        <f>IFERROR(__xludf.DUMMYFUNCTION("""COMPUTED_VALUE"""),44205.0)</f>
        <v>44205</v>
      </c>
      <c r="G117" s="16"/>
      <c r="H117" s="227">
        <f>IFERROR(__xludf.DUMMYFUNCTION("""COMPUTED_VALUE"""),20.0)</f>
        <v>20</v>
      </c>
      <c r="I117" s="21"/>
      <c r="J117" s="21" t="str">
        <f>IFERROR(__xludf.DUMMYFUNCTION("""COMPUTED_VALUE"""),"#CartaoDeCredito #Roberta #Recarga #Variavel")</f>
        <v>#CartaoDeCredito #Roberta #Recarga #Variavel</v>
      </c>
      <c r="K117" s="216"/>
      <c r="L117" s="216"/>
      <c r="M117" s="216"/>
      <c r="N117" s="216"/>
      <c r="O117" s="216"/>
      <c r="P117" s="216"/>
      <c r="Q117" s="216"/>
    </row>
    <row r="118">
      <c r="A118" s="11" t="str">
        <f>IFERROR(__xludf.DUMMYFUNCTION("""COMPUTED_VALUE"""),"CREDITO")</f>
        <v>CREDITO</v>
      </c>
      <c r="B118" s="98" t="str">
        <f>IFERROR(__xludf.DUMMYFUNCTION("""COMPUTED_VALUE"""),"COM SALU SJCAMPOS - DIVERSOS .SAO JOSE DOS")</f>
        <v>COM SALU SJCAMPOS - DIVERSOS .SAO JOSE DOS</v>
      </c>
      <c r="C118" s="13"/>
      <c r="D118" s="13"/>
      <c r="E118" s="13">
        <f>IFERROR(__xludf.DUMMYFUNCTION("""COMPUTED_VALUE"""),2.0)</f>
        <v>2</v>
      </c>
      <c r="F118" s="15">
        <f>IFERROR(__xludf.DUMMYFUNCTION("""COMPUTED_VALUE"""),44210.0)</f>
        <v>44210</v>
      </c>
      <c r="G118" s="16"/>
      <c r="H118" s="227">
        <f>IFERROR(__xludf.DUMMYFUNCTION("""COMPUTED_VALUE"""),138.0)</f>
        <v>138</v>
      </c>
      <c r="I118" s="21"/>
      <c r="J118" s="21" t="str">
        <f>IFERROR(__xludf.DUMMYFUNCTION("""COMPUTED_VALUE"""),"#CartaoDeCredito #Roberta #Eduardo #MaterialEscolar #Uniforme #Variavel")</f>
        <v>#CartaoDeCredito #Roberta #Eduardo #MaterialEscolar #Uniforme #Variavel</v>
      </c>
      <c r="K118" s="216"/>
      <c r="L118" s="216"/>
      <c r="M118" s="216"/>
      <c r="N118" s="216"/>
      <c r="O118" s="216"/>
      <c r="P118" s="216"/>
      <c r="Q118" s="216"/>
    </row>
    <row r="119">
      <c r="A119" s="11" t="str">
        <f>IFERROR(__xludf.DUMMYFUNCTION("""COMPUTED_VALUE"""),"CREDITO")</f>
        <v>CREDITO</v>
      </c>
      <c r="B119" s="98" t="str">
        <f>IFERROR(__xludf.DUMMYFUNCTION("""COMPUTED_VALUE"""),"NETFLIX.COM - DIVERSOS .SAO PAULO")</f>
        <v>NETFLIX.COM - DIVERSOS .SAO PAULO</v>
      </c>
      <c r="C119" s="13"/>
      <c r="D119" s="13"/>
      <c r="E119" s="13">
        <f>IFERROR(__xludf.DUMMYFUNCTION("""COMPUTED_VALUE"""),2.0)</f>
        <v>2</v>
      </c>
      <c r="F119" s="15">
        <f>IFERROR(__xludf.DUMMYFUNCTION("""COMPUTED_VALUE"""),44217.0)</f>
        <v>44217</v>
      </c>
      <c r="G119" s="16"/>
      <c r="H119" s="227">
        <f>IFERROR(__xludf.DUMMYFUNCTION("""COMPUTED_VALUE"""),32.9)</f>
        <v>32.9</v>
      </c>
      <c r="I119" s="21"/>
      <c r="J119" s="21" t="str">
        <f>IFERROR(__xludf.DUMMYFUNCTION("""COMPUTED_VALUE"""),"#CartaoDeCredito #Roberta #Streaming #Fixo ")</f>
        <v>#CartaoDeCredito #Roberta #Streaming #Fixo </v>
      </c>
      <c r="K119" s="216"/>
      <c r="L119" s="216"/>
      <c r="M119" s="216"/>
      <c r="N119" s="216"/>
      <c r="O119" s="216"/>
      <c r="P119" s="216"/>
      <c r="Q119" s="216"/>
    </row>
    <row r="120">
      <c r="A120" s="11" t="str">
        <f>IFERROR(__xludf.DUMMYFUNCTION("""COMPUTED_VALUE"""),"CREDITO")</f>
        <v>CREDITO</v>
      </c>
      <c r="B120" s="98" t="str">
        <f>IFERROR(__xludf.DUMMYFUNCTION("""COMPUTED_VALUE"""),"PAG*BazarEPapelariaHo - EDUCAÇÃO .SAO JOSE DOS")</f>
        <v>PAG*BazarEPapelariaHo - EDUCAÇÃO .SAO JOSE DOS</v>
      </c>
      <c r="C120" s="13"/>
      <c r="D120" s="13"/>
      <c r="E120" s="13">
        <f>IFERROR(__xludf.DUMMYFUNCTION("""COMPUTED_VALUE"""),2.0)</f>
        <v>2</v>
      </c>
      <c r="F120" s="15">
        <f>IFERROR(__xludf.DUMMYFUNCTION("""COMPUTED_VALUE"""),44218.0)</f>
        <v>44218</v>
      </c>
      <c r="G120" s="16"/>
      <c r="H120" s="227">
        <f>IFERROR(__xludf.DUMMYFUNCTION("""COMPUTED_VALUE"""),191.34)</f>
        <v>191.34</v>
      </c>
      <c r="I120" s="21"/>
      <c r="J120" s="21" t="str">
        <f>IFERROR(__xludf.DUMMYFUNCTION("""COMPUTED_VALUE"""),"#CartaoDeCredito #Roberta #Eduardo #MaterialEscolar #Variavel")</f>
        <v>#CartaoDeCredito #Roberta #Eduardo #MaterialEscolar #Variavel</v>
      </c>
      <c r="K120" s="216"/>
      <c r="L120" s="216"/>
      <c r="M120" s="216"/>
      <c r="N120" s="216"/>
      <c r="O120" s="216"/>
      <c r="P120" s="216"/>
      <c r="Q120" s="216"/>
    </row>
    <row r="121">
      <c r="A121" s="11" t="str">
        <f>IFERROR(__xludf.DUMMYFUNCTION("""COMPUTED_VALUE"""),"CREDITO")</f>
        <v>CREDITO</v>
      </c>
      <c r="B121" s="98" t="str">
        <f>IFERROR(__xludf.DUMMYFUNCTION("""COMPUTED_VALUE"""),"PAG*HeloisaArruda - ALIMENTAÇÃO .SAO JOSE DOS")</f>
        <v>PAG*HeloisaArruda - ALIMENTAÇÃO .SAO JOSE DOS</v>
      </c>
      <c r="C121" s="13"/>
      <c r="D121" s="13"/>
      <c r="E121" s="13">
        <f>IFERROR(__xludf.DUMMYFUNCTION("""COMPUTED_VALUE"""),2.0)</f>
        <v>2</v>
      </c>
      <c r="F121" s="15">
        <f>IFERROR(__xludf.DUMMYFUNCTION("""COMPUTED_VALUE"""),44218.0)</f>
        <v>44218</v>
      </c>
      <c r="G121" s="16"/>
      <c r="H121" s="227">
        <f>IFERROR(__xludf.DUMMYFUNCTION("""COMPUTED_VALUE"""),19.0)</f>
        <v>19</v>
      </c>
      <c r="I121" s="21"/>
      <c r="J121" s="21" t="str">
        <f>IFERROR(__xludf.DUMMYFUNCTION("""COMPUTED_VALUE"""),"#CartaoDeCredito #Roberta #Comida #Lazer #Variavel")</f>
        <v>#CartaoDeCredito #Roberta #Comida #Lazer #Variavel</v>
      </c>
      <c r="K121" s="216"/>
      <c r="L121" s="216"/>
      <c r="M121" s="216"/>
      <c r="N121" s="216"/>
      <c r="O121" s="216"/>
      <c r="P121" s="216"/>
      <c r="Q121" s="216"/>
    </row>
    <row r="122">
      <c r="A122" s="11" t="str">
        <f>IFERROR(__xludf.DUMMYFUNCTION("""COMPUTED_VALUE"""),"CREDITO")</f>
        <v>CREDITO</v>
      </c>
      <c r="B122" s="98" t="str">
        <f>IFERROR(__xludf.DUMMYFUNCTION("""COMPUTED_VALUE"""),"SEGURO RESIDENCIAL ITAU")</f>
        <v>SEGURO RESIDENCIAL ITAU</v>
      </c>
      <c r="C122" s="13"/>
      <c r="D122" s="13"/>
      <c r="E122" s="13">
        <f>IFERROR(__xludf.DUMMYFUNCTION("""COMPUTED_VALUE"""),2.0)</f>
        <v>2</v>
      </c>
      <c r="F122" s="15">
        <f>IFERROR(__xludf.DUMMYFUNCTION("""COMPUTED_VALUE"""),44215.0)</f>
        <v>44215</v>
      </c>
      <c r="G122" s="16"/>
      <c r="H122" s="227">
        <f>IFERROR(__xludf.DUMMYFUNCTION("""COMPUTED_VALUE"""),13.7)</f>
        <v>13.7</v>
      </c>
      <c r="I122" s="21"/>
      <c r="J122" s="21" t="str">
        <f>IFERROR(__xludf.DUMMYFUNCTION("""COMPUTED_VALUE"""),"#CartaoDeCredito #Roberta #Essencial #Fixo #Moradia")</f>
        <v>#CartaoDeCredito #Roberta #Essencial #Fixo #Moradia</v>
      </c>
      <c r="K122" s="216"/>
      <c r="L122" s="216"/>
      <c r="M122" s="216"/>
      <c r="N122" s="216"/>
      <c r="O122" s="216"/>
      <c r="P122" s="216"/>
      <c r="Q122" s="216"/>
    </row>
    <row r="123">
      <c r="A123" s="11" t="str">
        <f>IFERROR(__xludf.DUMMYFUNCTION("""COMPUTED_VALUE"""),"PAGO")</f>
        <v>PAGO</v>
      </c>
      <c r="B123" s="98" t="str">
        <f>IFERROR(__xludf.DUMMYFUNCTION("""COMPUTED_VALUE"""),"Convenio Sr. Antonio - São Cristovão")</f>
        <v>Convenio Sr. Antonio - São Cristovão</v>
      </c>
      <c r="C123" s="13">
        <f>IFERROR(__xludf.DUMMYFUNCTION("""COMPUTED_VALUE"""),8.0)</f>
        <v>8</v>
      </c>
      <c r="D123" s="13" t="str">
        <f>IFERROR(__xludf.DUMMYFUNCTION("""COMPUTED_VALUE"""),"SEG.")</f>
        <v>SEG.</v>
      </c>
      <c r="E123" s="13">
        <f>IFERROR(__xludf.DUMMYFUNCTION("""COMPUTED_VALUE"""),2.0)</f>
        <v>2</v>
      </c>
      <c r="F123" s="15"/>
      <c r="G123" s="16"/>
      <c r="H123" s="227">
        <f>IFERROR(__xludf.DUMMYFUNCTION("""COMPUTED_VALUE"""),539.99)</f>
        <v>539.99</v>
      </c>
      <c r="I123" s="21" t="str">
        <f>IFERROR(__xludf.DUMMYFUNCTION("""COMPUTED_VALUE"""),"INTER-PJ")</f>
        <v>INTER-PJ</v>
      </c>
      <c r="J123" s="21" t="str">
        <f>IFERROR(__xludf.DUMMYFUNCTION("""COMPUTED_VALUE"""),"#Essencial #Saude #Convenio #Papai #Fixo")</f>
        <v>#Essencial #Saude #Convenio #Papai #Fixo</v>
      </c>
      <c r="K123" s="216"/>
      <c r="L123" s="216"/>
      <c r="M123" s="216"/>
      <c r="N123" s="216"/>
      <c r="O123" s="216"/>
      <c r="P123" s="216"/>
      <c r="Q123" s="216"/>
    </row>
    <row r="124">
      <c r="A124" s="11" t="str">
        <f>IFERROR(__xludf.DUMMYFUNCTION("""COMPUTED_VALUE"""),"CONTAS")</f>
        <v>CONTAS</v>
      </c>
      <c r="B124" s="98" t="str">
        <f>IFERROR(__xludf.DUMMYFUNCTION("""COMPUTED_VALUE"""),"Transferencia via PIX")</f>
        <v>Transferencia via PIX</v>
      </c>
      <c r="C124" s="13">
        <f>IFERROR(__xludf.DUMMYFUNCTION("""COMPUTED_VALUE"""),8.0)</f>
        <v>8</v>
      </c>
      <c r="D124" s="13" t="str">
        <f>IFERROR(__xludf.DUMMYFUNCTION("""COMPUTED_VALUE"""),"SEG.")</f>
        <v>SEG.</v>
      </c>
      <c r="E124" s="13">
        <f>IFERROR(__xludf.DUMMYFUNCTION("""COMPUTED_VALUE"""),2.0)</f>
        <v>2</v>
      </c>
      <c r="F124" s="15"/>
      <c r="G124" s="16"/>
      <c r="H124" s="227">
        <f>IFERROR(__xludf.DUMMYFUNCTION("""COMPUTED_VALUE"""),1000.0)</f>
        <v>1000</v>
      </c>
      <c r="I124" s="21" t="str">
        <f>IFERROR(__xludf.DUMMYFUNCTION("""COMPUTED_VALUE"""),"INTER-PJ")</f>
        <v>INTER-PJ</v>
      </c>
      <c r="J124" s="21"/>
      <c r="K124" s="216"/>
      <c r="L124" s="216"/>
      <c r="M124" s="216"/>
      <c r="N124" s="216"/>
      <c r="O124" s="216"/>
      <c r="P124" s="216"/>
      <c r="Q124" s="216"/>
    </row>
    <row r="125">
      <c r="A125" s="11" t="str">
        <f>IFERROR(__xludf.DUMMYFUNCTION("""COMPUTED_VALUE"""),"CONTAS")</f>
        <v>CONTAS</v>
      </c>
      <c r="B125" s="98" t="str">
        <f>IFERROR(__xludf.DUMMYFUNCTION("""COMPUTED_VALUE"""),"Recebimento via PIX")</f>
        <v>Recebimento via PIX</v>
      </c>
      <c r="C125" s="13">
        <f>IFERROR(__xludf.DUMMYFUNCTION("""COMPUTED_VALUE"""),8.0)</f>
        <v>8</v>
      </c>
      <c r="D125" s="13" t="str">
        <f>IFERROR(__xludf.DUMMYFUNCTION("""COMPUTED_VALUE"""),"SEG.")</f>
        <v>SEG.</v>
      </c>
      <c r="E125" s="13">
        <f>IFERROR(__xludf.DUMMYFUNCTION("""COMPUTED_VALUE"""),2.0)</f>
        <v>2</v>
      </c>
      <c r="F125" s="15"/>
      <c r="G125" s="16">
        <f>IFERROR(__xludf.DUMMYFUNCTION("""COMPUTED_VALUE"""),1000.0)</f>
        <v>1000</v>
      </c>
      <c r="H125" s="227"/>
      <c r="I125" s="21" t="str">
        <f>IFERROR(__xludf.DUMMYFUNCTION("""COMPUTED_VALUE"""),"NUBANK")</f>
        <v>NUBANK</v>
      </c>
      <c r="J125" s="21"/>
      <c r="K125" s="216"/>
      <c r="L125" s="216"/>
      <c r="M125" s="216"/>
      <c r="N125" s="216"/>
      <c r="O125" s="216"/>
      <c r="P125" s="216"/>
      <c r="Q125" s="216"/>
    </row>
    <row r="126">
      <c r="A126" s="11" t="str">
        <f>IFERROR(__xludf.DUMMYFUNCTION("""COMPUTED_VALUE"""),"PAGO")</f>
        <v>PAGO</v>
      </c>
      <c r="B126" s="98" t="str">
        <f>IFERROR(__xludf.DUMMYFUNCTION("""COMPUTED_VALUE"""),"Fatura VIVOFIBRA INTERNET")</f>
        <v>Fatura VIVOFIBRA INTERNET</v>
      </c>
      <c r="C126" s="13">
        <f>IFERROR(__xludf.DUMMYFUNCTION("""COMPUTED_VALUE"""),8.0)</f>
        <v>8</v>
      </c>
      <c r="D126" s="13" t="str">
        <f>IFERROR(__xludf.DUMMYFUNCTION("""COMPUTED_VALUE"""),"SEG.")</f>
        <v>SEG.</v>
      </c>
      <c r="E126" s="13">
        <f>IFERROR(__xludf.DUMMYFUNCTION("""COMPUTED_VALUE"""),2.0)</f>
        <v>2</v>
      </c>
      <c r="F126" s="15"/>
      <c r="G126" s="16"/>
      <c r="H126" s="227">
        <f>IFERROR(__xludf.DUMMYFUNCTION("""COMPUTED_VALUE"""),134.99)</f>
        <v>134.99</v>
      </c>
      <c r="I126" s="21" t="str">
        <f>IFERROR(__xludf.DUMMYFUNCTION("""COMPUTED_VALUE"""),"INTER-PJ")</f>
        <v>INTER-PJ</v>
      </c>
      <c r="J126" s="21" t="str">
        <f>IFERROR(__xludf.DUMMYFUNCTION("""COMPUTED_VALUE"""),"#Essencial #Internet #Fixo ")</f>
        <v>#Essencial #Internet #Fixo </v>
      </c>
      <c r="K126" s="216"/>
      <c r="L126" s="216"/>
      <c r="M126" s="216"/>
      <c r="N126" s="216"/>
      <c r="O126" s="216"/>
      <c r="P126" s="216"/>
      <c r="Q126" s="216"/>
    </row>
    <row r="127">
      <c r="A127" s="11" t="str">
        <f>IFERROR(__xludf.DUMMYFUNCTION("""COMPUTED_VALUE"""),"PAGO")</f>
        <v>PAGO</v>
      </c>
      <c r="B127" s="98" t="str">
        <f>IFERROR(__xludf.DUMMYFUNCTION("""COMPUTED_VALUE"""),"Recarga TIM Cicero 11 948825242")</f>
        <v>Recarga TIM Cicero 11 948825242</v>
      </c>
      <c r="C127" s="13">
        <f>IFERROR(__xludf.DUMMYFUNCTION("""COMPUTED_VALUE"""),8.0)</f>
        <v>8</v>
      </c>
      <c r="D127" s="13" t="str">
        <f>IFERROR(__xludf.DUMMYFUNCTION("""COMPUTED_VALUE"""),"SEG.")</f>
        <v>SEG.</v>
      </c>
      <c r="E127" s="13">
        <f>IFERROR(__xludf.DUMMYFUNCTION("""COMPUTED_VALUE"""),2.0)</f>
        <v>2</v>
      </c>
      <c r="F127" s="15"/>
      <c r="G127" s="16"/>
      <c r="H127" s="227">
        <f>IFERROR(__xludf.DUMMYFUNCTION("""COMPUTED_VALUE"""),20.0)</f>
        <v>20</v>
      </c>
      <c r="I127" s="21" t="str">
        <f>IFERROR(__xludf.DUMMYFUNCTION("""COMPUTED_VALUE"""),"NUBANK")</f>
        <v>NUBANK</v>
      </c>
      <c r="J127" s="21" t="str">
        <f>IFERROR(__xludf.DUMMYFUNCTION("""COMPUTED_VALUE"""),"#Variavel #Recarga #TIM ")</f>
        <v>#Variavel #Recarga #TIM </v>
      </c>
      <c r="K127" s="216"/>
      <c r="L127" s="216"/>
      <c r="M127" s="216"/>
      <c r="N127" s="216"/>
      <c r="O127" s="216"/>
      <c r="P127" s="216"/>
      <c r="Q127" s="216"/>
    </row>
    <row r="128">
      <c r="A128" s="11" t="str">
        <f>IFERROR(__xludf.DUMMYFUNCTION("""COMPUTED_VALUE"""),"PAGO")</f>
        <v>PAGO</v>
      </c>
      <c r="B128" s="98" t="str">
        <f>IFERROR(__xludf.DUMMYFUNCTION("""COMPUTED_VALUE"""),"IOF")</f>
        <v>IOF</v>
      </c>
      <c r="C128" s="13">
        <f>IFERROR(__xludf.DUMMYFUNCTION("""COMPUTED_VALUE"""),8.0)</f>
        <v>8</v>
      </c>
      <c r="D128" s="13" t="str">
        <f>IFERROR(__xludf.DUMMYFUNCTION("""COMPUTED_VALUE"""),"SEG.")</f>
        <v>SEG.</v>
      </c>
      <c r="E128" s="13">
        <f>IFERROR(__xludf.DUMMYFUNCTION("""COMPUTED_VALUE"""),2.0)</f>
        <v>2</v>
      </c>
      <c r="F128" s="15"/>
      <c r="G128" s="16"/>
      <c r="H128" s="227">
        <f>IFERROR(__xludf.DUMMYFUNCTION("""COMPUTED_VALUE"""),2.37)</f>
        <v>2.37</v>
      </c>
      <c r="I128" s="21" t="str">
        <f>IFERROR(__xludf.DUMMYFUNCTION("""COMPUTED_VALUE"""),"ITAU")</f>
        <v>ITAU</v>
      </c>
      <c r="J128" s="21" t="str">
        <f>IFERROR(__xludf.DUMMYFUNCTION("""COMPUTED_VALUE"""),"#Encargos #IOF #Variavel")</f>
        <v>#Encargos #IOF #Variavel</v>
      </c>
      <c r="K128" s="216"/>
      <c r="L128" s="216"/>
      <c r="M128" s="216"/>
      <c r="N128" s="216"/>
      <c r="O128" s="216"/>
      <c r="P128" s="216"/>
      <c r="Q128" s="216"/>
    </row>
    <row r="129">
      <c r="A129" s="11" t="str">
        <f>IFERROR(__xludf.DUMMYFUNCTION("""COMPUTED_VALUE"""),"PAGO")</f>
        <v>PAGO</v>
      </c>
      <c r="B129" s="98" t="str">
        <f>IFERROR(__xludf.DUMMYFUNCTION("""COMPUTED_VALUE"""),"Shibata")</f>
        <v>Shibata</v>
      </c>
      <c r="C129" s="13">
        <f>IFERROR(__xludf.DUMMYFUNCTION("""COMPUTED_VALUE"""),8.0)</f>
        <v>8</v>
      </c>
      <c r="D129" s="13" t="str">
        <f>IFERROR(__xludf.DUMMYFUNCTION("""COMPUTED_VALUE"""),"SEG.")</f>
        <v>SEG.</v>
      </c>
      <c r="E129" s="13">
        <f>IFERROR(__xludf.DUMMYFUNCTION("""COMPUTED_VALUE"""),2.0)</f>
        <v>2</v>
      </c>
      <c r="F129" s="15"/>
      <c r="G129" s="16"/>
      <c r="H129" s="227">
        <f>IFERROR(__xludf.DUMMYFUNCTION("""COMPUTED_VALUE"""),109.68)</f>
        <v>109.68</v>
      </c>
      <c r="I129" s="21" t="str">
        <f>IFERROR(__xludf.DUMMYFUNCTION("""COMPUTED_VALUE"""),"INTER-PJ")</f>
        <v>INTER-PJ</v>
      </c>
      <c r="J129" s="21" t="str">
        <f>IFERROR(__xludf.DUMMYFUNCTION("""COMPUTED_VALUE"""),"#Moradia #Essencial #Mercado #Variavel #Alimentação ")</f>
        <v>#Moradia #Essencial #Mercado #Variavel #Alimentação </v>
      </c>
      <c r="K129" s="216"/>
      <c r="L129" s="216"/>
      <c r="M129" s="216"/>
      <c r="N129" s="216"/>
      <c r="O129" s="216"/>
      <c r="P129" s="216"/>
      <c r="Q129" s="216"/>
    </row>
    <row r="130">
      <c r="A130" s="11" t="str">
        <f>IFERROR(__xludf.DUMMYFUNCTION("""COMPUTED_VALUE"""),"PAGO")</f>
        <v>PAGO</v>
      </c>
      <c r="B130" s="98" t="str">
        <f>IFERROR(__xludf.DUMMYFUNCTION("""COMPUTED_VALUE"""),"Rendimento")</f>
        <v>Rendimento</v>
      </c>
      <c r="C130" s="13">
        <f>IFERROR(__xludf.DUMMYFUNCTION("""COMPUTED_VALUE"""),8.0)</f>
        <v>8</v>
      </c>
      <c r="D130" s="13" t="str">
        <f>IFERROR(__xludf.DUMMYFUNCTION("""COMPUTED_VALUE"""),"SEG.")</f>
        <v>SEG.</v>
      </c>
      <c r="E130" s="13">
        <f>IFERROR(__xludf.DUMMYFUNCTION("""COMPUTED_VALUE"""),2.0)</f>
        <v>2</v>
      </c>
      <c r="F130" s="15"/>
      <c r="G130" s="16">
        <f>IFERROR(__xludf.DUMMYFUNCTION("""COMPUTED_VALUE"""),0.51)</f>
        <v>0.51</v>
      </c>
      <c r="H130" s="227"/>
      <c r="I130" s="21" t="str">
        <f>IFERROR(__xludf.DUMMYFUNCTION("""COMPUTED_VALUE"""),"NUBANK")</f>
        <v>NUBANK</v>
      </c>
      <c r="J130" s="21" t="str">
        <f>IFERROR(__xludf.DUMMYFUNCTION("""COMPUTED_VALUE"""),"#Recebimentos #Rendimentos #Variavel")</f>
        <v>#Recebimentos #Rendimentos #Variavel</v>
      </c>
      <c r="K130" s="216"/>
      <c r="L130" s="216"/>
      <c r="M130" s="216"/>
      <c r="N130" s="216"/>
      <c r="O130" s="216"/>
      <c r="P130" s="216"/>
      <c r="Q130" s="216"/>
    </row>
    <row r="131">
      <c r="A131" s="11" t="str">
        <f>IFERROR(__xludf.DUMMYFUNCTION("""COMPUTED_VALUE"""),"PAGO")</f>
        <v>PAGO</v>
      </c>
      <c r="B131" s="98" t="str">
        <f>IFERROR(__xludf.DUMMYFUNCTION("""COMPUTED_VALUE"""),"Convenio Uniodonto")</f>
        <v>Convenio Uniodonto</v>
      </c>
      <c r="C131" s="13">
        <f>IFERROR(__xludf.DUMMYFUNCTION("""COMPUTED_VALUE"""),10.0)</f>
        <v>10</v>
      </c>
      <c r="D131" s="13" t="str">
        <f>IFERROR(__xludf.DUMMYFUNCTION("""COMPUTED_VALUE"""),"QUA.")</f>
        <v>QUA.</v>
      </c>
      <c r="E131" s="13">
        <f>IFERROR(__xludf.DUMMYFUNCTION("""COMPUTED_VALUE"""),2.0)</f>
        <v>2</v>
      </c>
      <c r="F131" s="15">
        <f>IFERROR(__xludf.DUMMYFUNCTION("""COMPUTED_VALUE"""),44235.0)</f>
        <v>44235</v>
      </c>
      <c r="G131" s="16"/>
      <c r="H131" s="227">
        <f>IFERROR(__xludf.DUMMYFUNCTION("""COMPUTED_VALUE"""),102.0)</f>
        <v>102</v>
      </c>
      <c r="I131" s="21" t="str">
        <f>IFERROR(__xludf.DUMMYFUNCTION("""COMPUTED_VALUE"""),"INTER-PJ")</f>
        <v>INTER-PJ</v>
      </c>
      <c r="J131" s="21" t="str">
        <f>IFERROR(__xludf.DUMMYFUNCTION("""COMPUTED_VALUE"""),"#Essencial #Saude #Convenio #Familia #Fixo ")</f>
        <v>#Essencial #Saude #Convenio #Familia #Fixo </v>
      </c>
      <c r="K131" s="216"/>
      <c r="L131" s="216"/>
      <c r="M131" s="216"/>
      <c r="N131" s="216"/>
      <c r="O131" s="216"/>
      <c r="P131" s="216"/>
      <c r="Q131" s="216"/>
    </row>
    <row r="132">
      <c r="A132" s="11" t="str">
        <f>IFERROR(__xludf.DUMMYFUNCTION("""COMPUTED_VALUE"""),"PAGO")</f>
        <v>PAGO</v>
      </c>
      <c r="B132" s="98" t="str">
        <f>IFERROR(__xludf.DUMMYFUNCTION("""COMPUTED_VALUE"""),"Cadeira Gamer XT Racer Reclinavel Preta e Laranja")</f>
        <v>Cadeira Gamer XT Racer Reclinavel Preta e Laranja</v>
      </c>
      <c r="C132" s="13">
        <f>IFERROR(__xludf.DUMMYFUNCTION("""COMPUTED_VALUE"""),10.0)</f>
        <v>10</v>
      </c>
      <c r="D132" s="13" t="str">
        <f>IFERROR(__xludf.DUMMYFUNCTION("""COMPUTED_VALUE"""),"QUA.")</f>
        <v>QUA.</v>
      </c>
      <c r="E132" s="13">
        <f>IFERROR(__xludf.DUMMYFUNCTION("""COMPUTED_VALUE"""),2.0)</f>
        <v>2</v>
      </c>
      <c r="F132" s="15"/>
      <c r="G132" s="16"/>
      <c r="H132" s="227">
        <f>IFERROR(__xludf.DUMMYFUNCTION("""COMPUTED_VALUE"""),854.91)</f>
        <v>854.91</v>
      </c>
      <c r="I132" s="21" t="str">
        <f>IFERROR(__xludf.DUMMYFUNCTION("""COMPUTED_VALUE"""),"INTER-PJ")</f>
        <v>INTER-PJ</v>
      </c>
      <c r="J132" s="21" t="str">
        <f>IFERROR(__xludf.DUMMYFUNCTION("""COMPUTED_VALUE"""),"#Saude #Lazer #Variavel #Familia")</f>
        <v>#Saude #Lazer #Variavel #Familia</v>
      </c>
      <c r="K132" s="216"/>
      <c r="L132" s="216"/>
      <c r="M132" s="216"/>
      <c r="N132" s="216"/>
      <c r="O132" s="216"/>
      <c r="P132" s="216"/>
      <c r="Q132" s="216"/>
    </row>
    <row r="133">
      <c r="A133" s="11" t="str">
        <f>IFERROR(__xludf.DUMMYFUNCTION("""COMPUTED_VALUE"""),"PAGO")</f>
        <v>PAGO</v>
      </c>
      <c r="B133" s="98" t="str">
        <f>IFERROR(__xludf.DUMMYFUNCTION("""COMPUTED_VALUE"""),"Adiantamento - BRQ")</f>
        <v>Adiantamento - BRQ</v>
      </c>
      <c r="C133" s="13">
        <f>IFERROR(__xludf.DUMMYFUNCTION("""COMPUTED_VALUE"""),12.0)</f>
        <v>12</v>
      </c>
      <c r="D133" s="13" t="str">
        <f>IFERROR(__xludf.DUMMYFUNCTION("""COMPUTED_VALUE"""),"SEX.")</f>
        <v>SEX.</v>
      </c>
      <c r="E133" s="13">
        <f>IFERROR(__xludf.DUMMYFUNCTION("""COMPUTED_VALUE"""),2.0)</f>
        <v>2</v>
      </c>
      <c r="F133" s="15"/>
      <c r="G133" s="16">
        <f>IFERROR(__xludf.DUMMYFUNCTION("""COMPUTED_VALUE"""),4000.0)</f>
        <v>4000</v>
      </c>
      <c r="H133" s="227"/>
      <c r="I133" s="21" t="str">
        <f>IFERROR(__xludf.DUMMYFUNCTION("""COMPUTED_VALUE"""),"ITAU")</f>
        <v>ITAU</v>
      </c>
      <c r="J133" s="21" t="str">
        <f>IFERROR(__xludf.DUMMYFUNCTION("""COMPUTED_VALUE"""),"#Recebimentos #Salario #Fixo")</f>
        <v>#Recebimentos #Salario #Fixo</v>
      </c>
      <c r="K133" s="216"/>
      <c r="L133" s="216"/>
      <c r="M133" s="216"/>
      <c r="N133" s="216"/>
      <c r="O133" s="216"/>
      <c r="P133" s="216"/>
      <c r="Q133" s="216"/>
    </row>
    <row r="134">
      <c r="A134" s="11" t="str">
        <f>IFERROR(__xludf.DUMMYFUNCTION("""COMPUTED_VALUE"""),"PAGO")</f>
        <v>PAGO</v>
      </c>
      <c r="B134" s="98" t="str">
        <f>IFERROR(__xludf.DUMMYFUNCTION("""COMPUTED_VALUE"""),"Combustivel")</f>
        <v>Combustivel</v>
      </c>
      <c r="C134" s="13">
        <f>IFERROR(__xludf.DUMMYFUNCTION("""COMPUTED_VALUE"""),13.0)</f>
        <v>13</v>
      </c>
      <c r="D134" s="13" t="str">
        <f>IFERROR(__xludf.DUMMYFUNCTION("""COMPUTED_VALUE"""),"SÁB.")</f>
        <v>SÁB.</v>
      </c>
      <c r="E134" s="13">
        <f>IFERROR(__xludf.DUMMYFUNCTION("""COMPUTED_VALUE"""),2.0)</f>
        <v>2</v>
      </c>
      <c r="F134" s="15"/>
      <c r="G134" s="16"/>
      <c r="H134" s="227">
        <f>IFERROR(__xludf.DUMMYFUNCTION("""COMPUTED_VALUE"""),159.99)</f>
        <v>159.99</v>
      </c>
      <c r="I134" s="21" t="str">
        <f>IFERROR(__xludf.DUMMYFUNCTION("""COMPUTED_VALUE"""),"INTER-PJ")</f>
        <v>INTER-PJ</v>
      </c>
      <c r="J134" s="21" t="str">
        <f>IFERROR(__xludf.DUMMYFUNCTION("""COMPUTED_VALUE"""),"#Carro #Combustivel #Variavel")</f>
        <v>#Carro #Combustivel #Variavel</v>
      </c>
      <c r="K134" s="216"/>
      <c r="L134" s="216"/>
      <c r="M134" s="216"/>
      <c r="N134" s="216"/>
      <c r="O134" s="216"/>
      <c r="P134" s="216"/>
      <c r="Q134" s="216"/>
    </row>
    <row r="135">
      <c r="A135" s="11" t="str">
        <f>IFERROR(__xludf.DUMMYFUNCTION("""COMPUTED_VALUE"""),"PAGO")</f>
        <v>PAGO</v>
      </c>
      <c r="B135" s="98" t="str">
        <f>IFERROR(__xludf.DUMMYFUNCTION("""COMPUTED_VALUE"""),"Frango Assado - Cidade Jardim SJC")</f>
        <v>Frango Assado - Cidade Jardim SJC</v>
      </c>
      <c r="C135" s="13">
        <f>IFERROR(__xludf.DUMMYFUNCTION("""COMPUTED_VALUE"""),13.0)</f>
        <v>13</v>
      </c>
      <c r="D135" s="13" t="str">
        <f>IFERROR(__xludf.DUMMYFUNCTION("""COMPUTED_VALUE"""),"SÁB.")</f>
        <v>SÁB.</v>
      </c>
      <c r="E135" s="13">
        <f>IFERROR(__xludf.DUMMYFUNCTION("""COMPUTED_VALUE"""),2.0)</f>
        <v>2</v>
      </c>
      <c r="F135" s="15"/>
      <c r="G135" s="16"/>
      <c r="H135" s="227">
        <f>IFERROR(__xludf.DUMMYFUNCTION("""COMPUTED_VALUE"""),46.45)</f>
        <v>46.45</v>
      </c>
      <c r="I135" s="21" t="str">
        <f>IFERROR(__xludf.DUMMYFUNCTION("""COMPUTED_VALUE"""),"INTER-PJ")</f>
        <v>INTER-PJ</v>
      </c>
      <c r="J135" s="21" t="str">
        <f>IFERROR(__xludf.DUMMYFUNCTION("""COMPUTED_VALUE"""),"#Lazer #Comida #Variavel")</f>
        <v>#Lazer #Comida #Variavel</v>
      </c>
      <c r="K135" s="216"/>
      <c r="L135" s="216"/>
      <c r="M135" s="216"/>
      <c r="N135" s="216"/>
      <c r="O135" s="216"/>
      <c r="P135" s="216"/>
      <c r="Q135" s="216"/>
    </row>
    <row r="136">
      <c r="A136" s="11" t="str">
        <f>IFERROR(__xludf.DUMMYFUNCTION("""COMPUTED_VALUE"""),"PAGO")</f>
        <v>PAGO</v>
      </c>
      <c r="B136" s="98" t="str">
        <f>IFERROR(__xludf.DUMMYFUNCTION("""COMPUTED_VALUE"""),"Shibata")</f>
        <v>Shibata</v>
      </c>
      <c r="C136" s="13">
        <f>IFERROR(__xludf.DUMMYFUNCTION("""COMPUTED_VALUE"""),13.0)</f>
        <v>13</v>
      </c>
      <c r="D136" s="13" t="str">
        <f>IFERROR(__xludf.DUMMYFUNCTION("""COMPUTED_VALUE"""),"SÁB.")</f>
        <v>SÁB.</v>
      </c>
      <c r="E136" s="13">
        <f>IFERROR(__xludf.DUMMYFUNCTION("""COMPUTED_VALUE"""),2.0)</f>
        <v>2</v>
      </c>
      <c r="F136" s="15"/>
      <c r="G136" s="16"/>
      <c r="H136" s="227">
        <f>IFERROR(__xludf.DUMMYFUNCTION("""COMPUTED_VALUE"""),248.75)</f>
        <v>248.75</v>
      </c>
      <c r="I136" s="21" t="str">
        <f>IFERROR(__xludf.DUMMYFUNCTION("""COMPUTED_VALUE"""),"INTER-PJ")</f>
        <v>INTER-PJ</v>
      </c>
      <c r="J136" s="21" t="str">
        <f>IFERROR(__xludf.DUMMYFUNCTION("""COMPUTED_VALUE"""),"#Moradia #Essencial #Mercado #Variavel #Alimentação ")</f>
        <v>#Moradia #Essencial #Mercado #Variavel #Alimentação </v>
      </c>
      <c r="K136" s="216"/>
      <c r="L136" s="216"/>
      <c r="M136" s="216"/>
      <c r="N136" s="216"/>
      <c r="O136" s="216"/>
      <c r="P136" s="216"/>
      <c r="Q136" s="216"/>
    </row>
    <row r="137">
      <c r="A137" s="11" t="str">
        <f>IFERROR(__xludf.DUMMYFUNCTION("""COMPUTED_VALUE"""),"PAGO")</f>
        <v>PAGO</v>
      </c>
      <c r="B137" s="98" t="str">
        <f>IFERROR(__xludf.DUMMYFUNCTION("""COMPUTED_VALUE"""),"Levitar SJC - sorvetes")</f>
        <v>Levitar SJC - sorvetes</v>
      </c>
      <c r="C137" s="13">
        <f>IFERROR(__xludf.DUMMYFUNCTION("""COMPUTED_VALUE"""),14.0)</f>
        <v>14</v>
      </c>
      <c r="D137" s="13" t="str">
        <f>IFERROR(__xludf.DUMMYFUNCTION("""COMPUTED_VALUE"""),"DOM.")</f>
        <v>DOM.</v>
      </c>
      <c r="E137" s="13">
        <f>IFERROR(__xludf.DUMMYFUNCTION("""COMPUTED_VALUE"""),2.0)</f>
        <v>2</v>
      </c>
      <c r="F137" s="15"/>
      <c r="G137" s="16"/>
      <c r="H137" s="227">
        <f>IFERROR(__xludf.DUMMYFUNCTION("""COMPUTED_VALUE"""),41.8)</f>
        <v>41.8</v>
      </c>
      <c r="I137" s="21" t="str">
        <f>IFERROR(__xludf.DUMMYFUNCTION("""COMPUTED_VALUE"""),"ITAU")</f>
        <v>ITAU</v>
      </c>
      <c r="J137" s="21" t="str">
        <f>IFERROR(__xludf.DUMMYFUNCTION("""COMPUTED_VALUE"""),"#Lazer #Comida #Variavel")</f>
        <v>#Lazer #Comida #Variavel</v>
      </c>
      <c r="K137" s="216"/>
      <c r="L137" s="216"/>
      <c r="M137" s="216"/>
      <c r="N137" s="216"/>
      <c r="O137" s="216"/>
      <c r="P137" s="216"/>
      <c r="Q137" s="216"/>
    </row>
    <row r="138">
      <c r="A138" s="11" t="str">
        <f>IFERROR(__xludf.DUMMYFUNCTION("""COMPUTED_VALUE"""),"PAGO")</f>
        <v>PAGO</v>
      </c>
      <c r="B138" s="98" t="str">
        <f>IFERROR(__xludf.DUMMYFUNCTION("""COMPUTED_VALUE"""),"Yuki Sushi SJC")</f>
        <v>Yuki Sushi SJC</v>
      </c>
      <c r="C138" s="13">
        <f>IFERROR(__xludf.DUMMYFUNCTION("""COMPUTED_VALUE"""),15.0)</f>
        <v>15</v>
      </c>
      <c r="D138" s="13" t="str">
        <f>IFERROR(__xludf.DUMMYFUNCTION("""COMPUTED_VALUE"""),"SEG.")</f>
        <v>SEG.</v>
      </c>
      <c r="E138" s="13">
        <f>IFERROR(__xludf.DUMMYFUNCTION("""COMPUTED_VALUE"""),2.0)</f>
        <v>2</v>
      </c>
      <c r="F138" s="15"/>
      <c r="G138" s="16"/>
      <c r="H138" s="227">
        <f>IFERROR(__xludf.DUMMYFUNCTION("""COMPUTED_VALUE"""),30.0)</f>
        <v>30</v>
      </c>
      <c r="I138" s="21" t="str">
        <f>IFERROR(__xludf.DUMMYFUNCTION("""COMPUTED_VALUE"""),"INTER-PJ")</f>
        <v>INTER-PJ</v>
      </c>
      <c r="J138" s="21" t="str">
        <f>IFERROR(__xludf.DUMMYFUNCTION("""COMPUTED_VALUE"""),"#Lazer #Comida #Variavel")</f>
        <v>#Lazer #Comida #Variavel</v>
      </c>
      <c r="K138" s="216"/>
      <c r="L138" s="216"/>
      <c r="M138" s="216"/>
      <c r="N138" s="216"/>
      <c r="O138" s="216"/>
      <c r="P138" s="216"/>
      <c r="Q138" s="216"/>
    </row>
    <row r="139">
      <c r="A139" s="11" t="str">
        <f>IFERROR(__xludf.DUMMYFUNCTION("""COMPUTED_VALUE"""),"PAGO")</f>
        <v>PAGO</v>
      </c>
      <c r="B139" s="98" t="str">
        <f>IFERROR(__xludf.DUMMYFUNCTION("""COMPUTED_VALUE"""),"Convenio Carlos")</f>
        <v>Convenio Carlos</v>
      </c>
      <c r="C139" s="13">
        <f>IFERROR(__xludf.DUMMYFUNCTION("""COMPUTED_VALUE"""),15.0)</f>
        <v>15</v>
      </c>
      <c r="D139" s="13" t="str">
        <f>IFERROR(__xludf.DUMMYFUNCTION("""COMPUTED_VALUE"""),"SEG.")</f>
        <v>SEG.</v>
      </c>
      <c r="E139" s="13">
        <f>IFERROR(__xludf.DUMMYFUNCTION("""COMPUTED_VALUE"""),2.0)</f>
        <v>2</v>
      </c>
      <c r="F139" s="15">
        <f>IFERROR(__xludf.DUMMYFUNCTION("""COMPUTED_VALUE"""),44235.0)</f>
        <v>44235</v>
      </c>
      <c r="G139" s="16"/>
      <c r="H139" s="227">
        <f>IFERROR(__xludf.DUMMYFUNCTION("""COMPUTED_VALUE"""),208.7)</f>
        <v>208.7</v>
      </c>
      <c r="I139" s="21" t="str">
        <f>IFERROR(__xludf.DUMMYFUNCTION("""COMPUTED_VALUE"""),"INTER-PJ")</f>
        <v>INTER-PJ</v>
      </c>
      <c r="J139" s="21" t="str">
        <f>IFERROR(__xludf.DUMMYFUNCTION("""COMPUTED_VALUE"""),"#Essencial #Saude #Convenio #Familia #Fixo ")</f>
        <v>#Essencial #Saude #Convenio #Familia #Fixo </v>
      </c>
      <c r="K139" s="216"/>
      <c r="L139" s="216"/>
      <c r="M139" s="216"/>
      <c r="N139" s="216"/>
      <c r="O139" s="216"/>
      <c r="P139" s="216"/>
      <c r="Q139" s="216"/>
    </row>
    <row r="140">
      <c r="A140" s="11" t="str">
        <f>IFERROR(__xludf.DUMMYFUNCTION("""COMPUTED_VALUE"""),"PAGO")</f>
        <v>PAGO</v>
      </c>
      <c r="B140" s="98" t="str">
        <f>IFERROR(__xludf.DUMMYFUNCTION("""COMPUTED_VALUE"""),"Convenio Eduardo")</f>
        <v>Convenio Eduardo</v>
      </c>
      <c r="C140" s="13">
        <f>IFERROR(__xludf.DUMMYFUNCTION("""COMPUTED_VALUE"""),15.0)</f>
        <v>15</v>
      </c>
      <c r="D140" s="13" t="str">
        <f>IFERROR(__xludf.DUMMYFUNCTION("""COMPUTED_VALUE"""),"SEG.")</f>
        <v>SEG.</v>
      </c>
      <c r="E140" s="13">
        <f>IFERROR(__xludf.DUMMYFUNCTION("""COMPUTED_VALUE"""),2.0)</f>
        <v>2</v>
      </c>
      <c r="F140" s="15">
        <f>IFERROR(__xludf.DUMMYFUNCTION("""COMPUTED_VALUE"""),44235.0)</f>
        <v>44235</v>
      </c>
      <c r="G140" s="16"/>
      <c r="H140" s="227">
        <f>IFERROR(__xludf.DUMMYFUNCTION("""COMPUTED_VALUE"""),208.7)</f>
        <v>208.7</v>
      </c>
      <c r="I140" s="21" t="str">
        <f>IFERROR(__xludf.DUMMYFUNCTION("""COMPUTED_VALUE"""),"INTER-PJ")</f>
        <v>INTER-PJ</v>
      </c>
      <c r="J140" s="21" t="str">
        <f>IFERROR(__xludf.DUMMYFUNCTION("""COMPUTED_VALUE"""),"#Essencial #Saude #Convenio #Familia #Fixo ")</f>
        <v>#Essencial #Saude #Convenio #Familia #Fixo </v>
      </c>
      <c r="K140" s="216"/>
      <c r="L140" s="216"/>
      <c r="M140" s="216"/>
      <c r="N140" s="216"/>
      <c r="O140" s="216"/>
      <c r="P140" s="216"/>
      <c r="Q140" s="216"/>
    </row>
    <row r="141">
      <c r="A141" s="11" t="str">
        <f>IFERROR(__xludf.DUMMYFUNCTION("""COMPUTED_VALUE"""),"PAGO")</f>
        <v>PAGO</v>
      </c>
      <c r="B141" s="98" t="str">
        <f>IFERROR(__xludf.DUMMYFUNCTION("""COMPUTED_VALUE"""),"Convenio Roberta")</f>
        <v>Convenio Roberta</v>
      </c>
      <c r="C141" s="13">
        <f>IFERROR(__xludf.DUMMYFUNCTION("""COMPUTED_VALUE"""),15.0)</f>
        <v>15</v>
      </c>
      <c r="D141" s="13" t="str">
        <f>IFERROR(__xludf.DUMMYFUNCTION("""COMPUTED_VALUE"""),"SEG.")</f>
        <v>SEG.</v>
      </c>
      <c r="E141" s="13">
        <f>IFERROR(__xludf.DUMMYFUNCTION("""COMPUTED_VALUE"""),2.0)</f>
        <v>2</v>
      </c>
      <c r="F141" s="15">
        <f>IFERROR(__xludf.DUMMYFUNCTION("""COMPUTED_VALUE"""),44235.0)</f>
        <v>44235</v>
      </c>
      <c r="G141" s="16"/>
      <c r="H141" s="227">
        <f>IFERROR(__xludf.DUMMYFUNCTION("""COMPUTED_VALUE"""),263.88)</f>
        <v>263.88</v>
      </c>
      <c r="I141" s="21" t="str">
        <f>IFERROR(__xludf.DUMMYFUNCTION("""COMPUTED_VALUE"""),"INTER-PJ")</f>
        <v>INTER-PJ</v>
      </c>
      <c r="J141" s="21" t="str">
        <f>IFERROR(__xludf.DUMMYFUNCTION("""COMPUTED_VALUE"""),"#Essencial #Saude #Convenio #Familia #Fixo ")</f>
        <v>#Essencial #Saude #Convenio #Familia #Fixo </v>
      </c>
      <c r="K141" s="216"/>
      <c r="L141" s="216"/>
      <c r="M141" s="216"/>
      <c r="N141" s="216"/>
      <c r="O141" s="216"/>
      <c r="P141" s="216"/>
      <c r="Q141" s="216"/>
    </row>
    <row r="142">
      <c r="A142" s="11" t="str">
        <f>IFERROR(__xludf.DUMMYFUNCTION("""COMPUTED_VALUE"""),"PAGO")</f>
        <v>PAGO</v>
      </c>
      <c r="B142" s="98" t="str">
        <f>IFERROR(__xludf.DUMMYFUNCTION("""COMPUTED_VALUE"""),"Ajuda para o Almir")</f>
        <v>Ajuda para o Almir</v>
      </c>
      <c r="C142" s="13">
        <f>IFERROR(__xludf.DUMMYFUNCTION("""COMPUTED_VALUE"""),17.0)</f>
        <v>17</v>
      </c>
      <c r="D142" s="13" t="str">
        <f>IFERROR(__xludf.DUMMYFUNCTION("""COMPUTED_VALUE"""),"QUA.")</f>
        <v>QUA.</v>
      </c>
      <c r="E142" s="13">
        <f>IFERROR(__xludf.DUMMYFUNCTION("""COMPUTED_VALUE"""),2.0)</f>
        <v>2</v>
      </c>
      <c r="F142" s="15"/>
      <c r="G142" s="16"/>
      <c r="H142" s="227">
        <f>IFERROR(__xludf.DUMMYFUNCTION("""COMPUTED_VALUE"""),500.0)</f>
        <v>500</v>
      </c>
      <c r="I142" s="21" t="str">
        <f>IFERROR(__xludf.DUMMYFUNCTION("""COMPUTED_VALUE"""),"NUBANK")</f>
        <v>NUBANK</v>
      </c>
      <c r="J142" s="21" t="str">
        <f>IFERROR(__xludf.DUMMYFUNCTION("""COMPUTED_VALUE"""),"#AjudaAlmir #Variavel")</f>
        <v>#AjudaAlmir #Variavel</v>
      </c>
      <c r="K142" s="216"/>
      <c r="L142" s="216"/>
      <c r="M142" s="216"/>
      <c r="N142" s="216"/>
      <c r="O142" s="216"/>
      <c r="P142" s="216"/>
      <c r="Q142" s="216"/>
    </row>
    <row r="143">
      <c r="A143" s="11" t="str">
        <f>IFERROR(__xludf.DUMMYFUNCTION("""COMPUTED_VALUE"""),"PAGO")</f>
        <v>PAGO</v>
      </c>
      <c r="B143" s="98" t="str">
        <f>IFERROR(__xludf.DUMMYFUNCTION("""COMPUTED_VALUE"""),"Estacionamento - Eusebio Matoso SP - Redecard")</f>
        <v>Estacionamento - Eusebio Matoso SP - Redecard</v>
      </c>
      <c r="C143" s="13">
        <f>IFERROR(__xludf.DUMMYFUNCTION("""COMPUTED_VALUE"""),17.0)</f>
        <v>17</v>
      </c>
      <c r="D143" s="13" t="str">
        <f>IFERROR(__xludf.DUMMYFUNCTION("""COMPUTED_VALUE"""),"QUA.")</f>
        <v>QUA.</v>
      </c>
      <c r="E143" s="13">
        <f>IFERROR(__xludf.DUMMYFUNCTION("""COMPUTED_VALUE"""),2.0)</f>
        <v>2</v>
      </c>
      <c r="F143" s="15"/>
      <c r="G143" s="16"/>
      <c r="H143" s="227">
        <f>IFERROR(__xludf.DUMMYFUNCTION("""COMPUTED_VALUE"""),8.99)</f>
        <v>8.99</v>
      </c>
      <c r="I143" s="21" t="str">
        <f>IFERROR(__xludf.DUMMYFUNCTION("""COMPUTED_VALUE"""),"INTER-PJ")</f>
        <v>INTER-PJ</v>
      </c>
      <c r="J143" s="21" t="str">
        <f>IFERROR(__xludf.DUMMYFUNCTION("""COMPUTED_VALUE"""),"#Carro #Estacionamento #Variavel")</f>
        <v>#Carro #Estacionamento #Variavel</v>
      </c>
      <c r="K143" s="216"/>
      <c r="L143" s="216"/>
      <c r="M143" s="216"/>
      <c r="N143" s="216"/>
      <c r="O143" s="216"/>
      <c r="P143" s="216"/>
      <c r="Q143" s="216"/>
    </row>
    <row r="144">
      <c r="A144" s="11" t="str">
        <f>IFERROR(__xludf.DUMMYFUNCTION("""COMPUTED_VALUE"""),"PAGO")</f>
        <v>PAGO</v>
      </c>
      <c r="B144" s="98" t="str">
        <f>IFERROR(__xludf.DUMMYFUNCTION("""COMPUTED_VALUE"""),"Entrada prestação casa de Itaquera")</f>
        <v>Entrada prestação casa de Itaquera</v>
      </c>
      <c r="C144" s="13">
        <f>IFERROR(__xludf.DUMMYFUNCTION("""COMPUTED_VALUE"""),17.0)</f>
        <v>17</v>
      </c>
      <c r="D144" s="13" t="str">
        <f>IFERROR(__xludf.DUMMYFUNCTION("""COMPUTED_VALUE"""),"QUA.")</f>
        <v>QUA.</v>
      </c>
      <c r="E144" s="13">
        <f>IFERROR(__xludf.DUMMYFUNCTION("""COMPUTED_VALUE"""),2.0)</f>
        <v>2</v>
      </c>
      <c r="F144" s="15"/>
      <c r="G144" s="16">
        <f>IFERROR(__xludf.DUMMYFUNCTION("""COMPUTED_VALUE"""),2500.0)</f>
        <v>2500</v>
      </c>
      <c r="H144" s="227"/>
      <c r="I144" s="21" t="str">
        <f>IFERROR(__xludf.DUMMYFUNCTION("""COMPUTED_VALUE"""),"INTER")</f>
        <v>INTER</v>
      </c>
      <c r="J144" s="21" t="str">
        <f>IFERROR(__xludf.DUMMYFUNCTION("""COMPUTED_VALUE"""),"#Recebimentos #Prestação #Itaquera #Inter #Extra")</f>
        <v>#Recebimentos #Prestação #Itaquera #Inter #Extra</v>
      </c>
      <c r="K144" s="216"/>
      <c r="L144" s="216"/>
      <c r="M144" s="216"/>
      <c r="N144" s="216"/>
      <c r="O144" s="216"/>
      <c r="P144" s="216"/>
      <c r="Q144" s="216"/>
    </row>
    <row r="145">
      <c r="A145" s="11" t="str">
        <f>IFERROR(__xludf.DUMMYFUNCTION("""COMPUTED_VALUE"""),"PAGO")</f>
        <v>PAGO</v>
      </c>
      <c r="B145" s="98" t="str">
        <f>IFERROR(__xludf.DUMMYFUNCTION("""COMPUTED_VALUE"""),"Transferi para investimento - Clear")</f>
        <v>Transferi para investimento - Clear</v>
      </c>
      <c r="C145" s="13">
        <f>IFERROR(__xludf.DUMMYFUNCTION("""COMPUTED_VALUE"""),18.0)</f>
        <v>18</v>
      </c>
      <c r="D145" s="13" t="str">
        <f>IFERROR(__xludf.DUMMYFUNCTION("""COMPUTED_VALUE"""),"QUI.")</f>
        <v>QUI.</v>
      </c>
      <c r="E145" s="13">
        <f>IFERROR(__xludf.DUMMYFUNCTION("""COMPUTED_VALUE"""),2.0)</f>
        <v>2</v>
      </c>
      <c r="F145" s="15"/>
      <c r="G145" s="16"/>
      <c r="H145" s="227">
        <f>IFERROR(__xludf.DUMMYFUNCTION("""COMPUTED_VALUE"""),2500.0)</f>
        <v>2500</v>
      </c>
      <c r="I145" s="21" t="str">
        <f>IFERROR(__xludf.DUMMYFUNCTION("""COMPUTED_VALUE"""),"INTER")</f>
        <v>INTER</v>
      </c>
      <c r="J145" s="21" t="str">
        <f>IFERROR(__xludf.DUMMYFUNCTION("""COMPUTED_VALUE"""),"#Transferencia #Investimento #Extra #Clear")</f>
        <v>#Transferencia #Investimento #Extra #Clear</v>
      </c>
      <c r="K145" s="216"/>
      <c r="L145" s="216"/>
      <c r="M145" s="216"/>
      <c r="N145" s="216"/>
      <c r="O145" s="216"/>
      <c r="P145" s="216"/>
      <c r="Q145" s="216"/>
    </row>
    <row r="146">
      <c r="A146" s="11" t="str">
        <f>IFERROR(__xludf.DUMMYFUNCTION("""COMPUTED_VALUE"""),"PAGO")</f>
        <v>PAGO</v>
      </c>
      <c r="B146" s="98" t="str">
        <f>IFERROR(__xludf.DUMMYFUNCTION("""COMPUTED_VALUE"""),"Shibata - Oficina Brasil")</f>
        <v>Shibata - Oficina Brasil</v>
      </c>
      <c r="C146" s="13">
        <f>IFERROR(__xludf.DUMMYFUNCTION("""COMPUTED_VALUE"""),18.0)</f>
        <v>18</v>
      </c>
      <c r="D146" s="13" t="str">
        <f>IFERROR(__xludf.DUMMYFUNCTION("""COMPUTED_VALUE"""),"QUI.")</f>
        <v>QUI.</v>
      </c>
      <c r="E146" s="13">
        <f>IFERROR(__xludf.DUMMYFUNCTION("""COMPUTED_VALUE"""),2.0)</f>
        <v>2</v>
      </c>
      <c r="F146" s="15"/>
      <c r="G146" s="16"/>
      <c r="H146" s="227">
        <f>IFERROR(__xludf.DUMMYFUNCTION("""COMPUTED_VALUE"""),1000.0)</f>
        <v>1000</v>
      </c>
      <c r="I146" s="21" t="str">
        <f>IFERROR(__xludf.DUMMYFUNCTION("""COMPUTED_VALUE"""),"ITAU")</f>
        <v>ITAU</v>
      </c>
      <c r="J146" s="21" t="str">
        <f>IFERROR(__xludf.DUMMYFUNCTION("""COMPUTED_VALUE"""),"#Carro #Manutenção #Variavel")</f>
        <v>#Carro #Manutenção #Variavel</v>
      </c>
      <c r="K146" s="216"/>
      <c r="L146" s="216"/>
      <c r="M146" s="216"/>
      <c r="N146" s="216"/>
      <c r="O146" s="216"/>
      <c r="P146" s="216"/>
      <c r="Q146" s="216"/>
    </row>
    <row r="147">
      <c r="A147" s="11" t="str">
        <f>IFERROR(__xludf.DUMMYFUNCTION("""COMPUTED_VALUE"""),"PAGO")</f>
        <v>PAGO</v>
      </c>
      <c r="B147" s="98" t="str">
        <f>IFERROR(__xludf.DUMMYFUNCTION("""COMPUTED_VALUE"""),"Frango Assado - Rod. Carv. Pinto SJC - antes do pedagio")</f>
        <v>Frango Assado - Rod. Carv. Pinto SJC - antes do pedagio</v>
      </c>
      <c r="C147" s="13">
        <f>IFERROR(__xludf.DUMMYFUNCTION("""COMPUTED_VALUE"""),18.0)</f>
        <v>18</v>
      </c>
      <c r="D147" s="13" t="str">
        <f>IFERROR(__xludf.DUMMYFUNCTION("""COMPUTED_VALUE"""),"QUI.")</f>
        <v>QUI.</v>
      </c>
      <c r="E147" s="13">
        <f>IFERROR(__xludf.DUMMYFUNCTION("""COMPUTED_VALUE"""),2.0)</f>
        <v>2</v>
      </c>
      <c r="F147" s="15"/>
      <c r="G147" s="16"/>
      <c r="H147" s="227">
        <f>IFERROR(__xludf.DUMMYFUNCTION("""COMPUTED_VALUE"""),72.11)</f>
        <v>72.11</v>
      </c>
      <c r="I147" s="21" t="str">
        <f>IFERROR(__xludf.DUMMYFUNCTION("""COMPUTED_VALUE"""),"INTER-PJ")</f>
        <v>INTER-PJ</v>
      </c>
      <c r="J147" s="21" t="str">
        <f>IFERROR(__xludf.DUMMYFUNCTION("""COMPUTED_VALUE"""),"#Lazer #Comida #Variavel")</f>
        <v>#Lazer #Comida #Variavel</v>
      </c>
      <c r="K147" s="216"/>
      <c r="L147" s="216"/>
      <c r="M147" s="216"/>
      <c r="N147" s="216"/>
      <c r="O147" s="216"/>
      <c r="P147" s="216"/>
      <c r="Q147" s="216"/>
    </row>
    <row r="148">
      <c r="A148" s="11" t="str">
        <f>IFERROR(__xludf.DUMMYFUNCTION("""COMPUTED_VALUE"""),"PAGO")</f>
        <v>PAGO</v>
      </c>
      <c r="B148" s="98" t="str">
        <f>IFERROR(__xludf.DUMMYFUNCTION("""COMPUTED_VALUE"""),"Assinatura Suno Research - 1 ano Suno Premium")</f>
        <v>Assinatura Suno Research - 1 ano Suno Premium</v>
      </c>
      <c r="C148" s="13">
        <f>IFERROR(__xludf.DUMMYFUNCTION("""COMPUTED_VALUE"""),19.0)</f>
        <v>19</v>
      </c>
      <c r="D148" s="13" t="str">
        <f>IFERROR(__xludf.DUMMYFUNCTION("""COMPUTED_VALUE"""),"SEX.")</f>
        <v>SEX.</v>
      </c>
      <c r="E148" s="13">
        <f>IFERROR(__xludf.DUMMYFUNCTION("""COMPUTED_VALUE"""),2.0)</f>
        <v>2</v>
      </c>
      <c r="F148" s="15"/>
      <c r="G148" s="16"/>
      <c r="H148" s="227">
        <f>IFERROR(__xludf.DUMMYFUNCTION("""COMPUTED_VALUE"""),538.8)</f>
        <v>538.8</v>
      </c>
      <c r="I148" s="21" t="str">
        <f>IFERROR(__xludf.DUMMYFUNCTION("""COMPUTED_VALUE"""),"INTER-PJ")</f>
        <v>INTER-PJ</v>
      </c>
      <c r="J148" s="21" t="str">
        <f>IFERROR(__xludf.DUMMYFUNCTION("""COMPUTED_VALUE"""),"#Investimento #SunoResearch #Variavel")</f>
        <v>#Investimento #SunoResearch #Variavel</v>
      </c>
      <c r="K148" s="216"/>
      <c r="L148" s="216"/>
      <c r="M148" s="216"/>
      <c r="N148" s="216"/>
      <c r="O148" s="216"/>
      <c r="P148" s="216"/>
      <c r="Q148" s="216"/>
    </row>
    <row r="149">
      <c r="A149" s="11" t="str">
        <f>IFERROR(__xludf.DUMMYFUNCTION("""COMPUTED_VALUE"""),"PAGO")</f>
        <v>PAGO</v>
      </c>
      <c r="B149" s="98" t="str">
        <f>IFERROR(__xludf.DUMMYFUNCTION("""COMPUTED_VALUE"""),"Oficina Fix Center - Jd São Dimas SJC")</f>
        <v>Oficina Fix Center - Jd São Dimas SJC</v>
      </c>
      <c r="C149" s="13">
        <f>IFERROR(__xludf.DUMMYFUNCTION("""COMPUTED_VALUE"""),19.0)</f>
        <v>19</v>
      </c>
      <c r="D149" s="13" t="str">
        <f>IFERROR(__xludf.DUMMYFUNCTION("""COMPUTED_VALUE"""),"SEX.")</f>
        <v>SEX.</v>
      </c>
      <c r="E149" s="13">
        <f>IFERROR(__xludf.DUMMYFUNCTION("""COMPUTED_VALUE"""),2.0)</f>
        <v>2</v>
      </c>
      <c r="F149" s="15"/>
      <c r="G149" s="16"/>
      <c r="H149" s="227">
        <f>IFERROR(__xludf.DUMMYFUNCTION("""COMPUTED_VALUE"""),1200.0)</f>
        <v>1200</v>
      </c>
      <c r="I149" s="21" t="str">
        <f>IFERROR(__xludf.DUMMYFUNCTION("""COMPUTED_VALUE"""),"INTER-PJ")</f>
        <v>INTER-PJ</v>
      </c>
      <c r="J149" s="21" t="str">
        <f>IFERROR(__xludf.DUMMYFUNCTION("""COMPUTED_VALUE"""),"#Carro #Manutenção #Variavel")</f>
        <v>#Carro #Manutenção #Variavel</v>
      </c>
      <c r="K149" s="216"/>
      <c r="L149" s="216"/>
      <c r="M149" s="216"/>
      <c r="N149" s="216"/>
      <c r="O149" s="216"/>
      <c r="P149" s="216"/>
      <c r="Q149" s="216"/>
    </row>
    <row r="150">
      <c r="A150" s="11" t="str">
        <f>IFERROR(__xludf.DUMMYFUNCTION("""COMPUTED_VALUE"""),"PAGO")</f>
        <v>PAGO</v>
      </c>
      <c r="B150" s="98" t="str">
        <f>IFERROR(__xludf.DUMMYFUNCTION("""COMPUTED_VALUE"""),"Pizza HUT Vale Sul Shopping SJC - na volta da Fix Center")</f>
        <v>Pizza HUT Vale Sul Shopping SJC - na volta da Fix Center</v>
      </c>
      <c r="C150" s="13">
        <f>IFERROR(__xludf.DUMMYFUNCTION("""COMPUTED_VALUE"""),19.0)</f>
        <v>19</v>
      </c>
      <c r="D150" s="13" t="str">
        <f>IFERROR(__xludf.DUMMYFUNCTION("""COMPUTED_VALUE"""),"SEX.")</f>
        <v>SEX.</v>
      </c>
      <c r="E150" s="13">
        <f>IFERROR(__xludf.DUMMYFUNCTION("""COMPUTED_VALUE"""),2.0)</f>
        <v>2</v>
      </c>
      <c r="F150" s="15"/>
      <c r="G150" s="16"/>
      <c r="H150" s="227">
        <f>IFERROR(__xludf.DUMMYFUNCTION("""COMPUTED_VALUE"""),74.9)</f>
        <v>74.9</v>
      </c>
      <c r="I150" s="21" t="str">
        <f>IFERROR(__xludf.DUMMYFUNCTION("""COMPUTED_VALUE"""),"INTER-PJ")</f>
        <v>INTER-PJ</v>
      </c>
      <c r="J150" s="21" t="str">
        <f>IFERROR(__xludf.DUMMYFUNCTION("""COMPUTED_VALUE"""),"#Lazer #Comida #Variavel")</f>
        <v>#Lazer #Comida #Variavel</v>
      </c>
      <c r="K150" s="216"/>
      <c r="L150" s="216"/>
      <c r="M150" s="216"/>
      <c r="N150" s="216"/>
      <c r="O150" s="216"/>
      <c r="P150" s="216"/>
      <c r="Q150" s="216"/>
    </row>
    <row r="151">
      <c r="A151" s="11" t="str">
        <f>IFERROR(__xludf.DUMMYFUNCTION("""COMPUTED_VALUE"""),"PAGO")</f>
        <v>PAGO</v>
      </c>
      <c r="B151" s="98" t="str">
        <f>IFERROR(__xludf.DUMMYFUNCTION("""COMPUTED_VALUE"""),"Shibata")</f>
        <v>Shibata</v>
      </c>
      <c r="C151" s="13">
        <f>IFERROR(__xludf.DUMMYFUNCTION("""COMPUTED_VALUE"""),20.0)</f>
        <v>20</v>
      </c>
      <c r="D151" s="13" t="str">
        <f>IFERROR(__xludf.DUMMYFUNCTION("""COMPUTED_VALUE"""),"SÁB.")</f>
        <v>SÁB.</v>
      </c>
      <c r="E151" s="13">
        <f>IFERROR(__xludf.DUMMYFUNCTION("""COMPUTED_VALUE"""),2.0)</f>
        <v>2</v>
      </c>
      <c r="F151" s="15"/>
      <c r="G151" s="16"/>
      <c r="H151" s="227">
        <f>IFERROR(__xludf.DUMMYFUNCTION("""COMPUTED_VALUE"""),161.48)</f>
        <v>161.48</v>
      </c>
      <c r="I151" s="21" t="str">
        <f>IFERROR(__xludf.DUMMYFUNCTION("""COMPUTED_VALUE"""),"ITAU")</f>
        <v>ITAU</v>
      </c>
      <c r="J151" s="21" t="str">
        <f>IFERROR(__xludf.DUMMYFUNCTION("""COMPUTED_VALUE"""),"#Moradia #Essencial #Mercado #Variavel #Alimentação")</f>
        <v>#Moradia #Essencial #Mercado #Variavel #Alimentação</v>
      </c>
      <c r="K151" s="216"/>
      <c r="L151" s="216"/>
      <c r="M151" s="216"/>
      <c r="N151" s="216"/>
      <c r="O151" s="216"/>
      <c r="P151" s="216"/>
      <c r="Q151" s="216"/>
    </row>
    <row r="152">
      <c r="A152" s="11" t="str">
        <f>IFERROR(__xludf.DUMMYFUNCTION("""COMPUTED_VALUE"""),"PAGO")</f>
        <v>PAGO</v>
      </c>
      <c r="B152" s="98" t="str">
        <f>IFERROR(__xludf.DUMMYFUNCTION("""COMPUTED_VALUE"""),"Farmácia Farma Leste - Shibata")</f>
        <v>Farmácia Farma Leste - Shibata</v>
      </c>
      <c r="C152" s="13">
        <f>IFERROR(__xludf.DUMMYFUNCTION("""COMPUTED_VALUE"""),20.0)</f>
        <v>20</v>
      </c>
      <c r="D152" s="13" t="str">
        <f>IFERROR(__xludf.DUMMYFUNCTION("""COMPUTED_VALUE"""),"SÁB.")</f>
        <v>SÁB.</v>
      </c>
      <c r="E152" s="13">
        <f>IFERROR(__xludf.DUMMYFUNCTION("""COMPUTED_VALUE"""),2.0)</f>
        <v>2</v>
      </c>
      <c r="F152" s="15"/>
      <c r="G152" s="16"/>
      <c r="H152" s="227">
        <f>IFERROR(__xludf.DUMMYFUNCTION("""COMPUTED_VALUE"""),36.51)</f>
        <v>36.51</v>
      </c>
      <c r="I152" s="21" t="str">
        <f>IFERROR(__xludf.DUMMYFUNCTION("""COMPUTED_VALUE"""),"ITAU")</f>
        <v>ITAU</v>
      </c>
      <c r="J152" s="21" t="str">
        <f>IFERROR(__xludf.DUMMYFUNCTION("""COMPUTED_VALUE"""),"#Remedios #Carlos #Roberta #Variavel")</f>
        <v>#Remedios #Carlos #Roberta #Variavel</v>
      </c>
      <c r="K152" s="216"/>
      <c r="L152" s="216"/>
      <c r="M152" s="216"/>
      <c r="N152" s="216"/>
      <c r="O152" s="216"/>
      <c r="P152" s="216"/>
      <c r="Q152" s="216"/>
    </row>
    <row r="153">
      <c r="A153" s="11" t="str">
        <f>IFERROR(__xludf.DUMMYFUNCTION("""COMPUTED_VALUE"""),"PAGO")</f>
        <v>PAGO</v>
      </c>
      <c r="B153" s="98" t="str">
        <f>IFERROR(__xludf.DUMMYFUNCTION("""COMPUTED_VALUE"""),"Convenio Cicero")</f>
        <v>Convenio Cicero</v>
      </c>
      <c r="C153" s="13">
        <f>IFERROR(__xludf.DUMMYFUNCTION("""COMPUTED_VALUE"""),20.0)</f>
        <v>20</v>
      </c>
      <c r="D153" s="13" t="str">
        <f>IFERROR(__xludf.DUMMYFUNCTION("""COMPUTED_VALUE"""),"SÁB.")</f>
        <v>SÁB.</v>
      </c>
      <c r="E153" s="13">
        <f>IFERROR(__xludf.DUMMYFUNCTION("""COMPUTED_VALUE"""),2.0)</f>
        <v>2</v>
      </c>
      <c r="F153" s="15">
        <f>IFERROR(__xludf.DUMMYFUNCTION("""COMPUTED_VALUE"""),44235.0)</f>
        <v>44235</v>
      </c>
      <c r="G153" s="16"/>
      <c r="H153" s="227">
        <f>IFERROR(__xludf.DUMMYFUNCTION("""COMPUTED_VALUE"""),345.3)</f>
        <v>345.3</v>
      </c>
      <c r="I153" s="21" t="str">
        <f>IFERROR(__xludf.DUMMYFUNCTION("""COMPUTED_VALUE"""),"INTER-PJ")</f>
        <v>INTER-PJ</v>
      </c>
      <c r="J153" s="21" t="str">
        <f>IFERROR(__xludf.DUMMYFUNCTION("""COMPUTED_VALUE"""),"#Essencial #Saude #Convenio #Familia #Cicero #Fixo ")</f>
        <v>#Essencial #Saude #Convenio #Familia #Cicero #Fixo </v>
      </c>
      <c r="K153" s="216"/>
      <c r="L153" s="216"/>
      <c r="M153" s="216"/>
      <c r="N153" s="216"/>
      <c r="O153" s="216"/>
      <c r="P153" s="216"/>
      <c r="Q153" s="216"/>
    </row>
    <row r="154">
      <c r="A154" s="11" t="str">
        <f>IFERROR(__xludf.DUMMYFUNCTION("""COMPUTED_VALUE"""),"PAGO")</f>
        <v>PAGO</v>
      </c>
      <c r="B154" s="98" t="str">
        <f>IFERROR(__xludf.DUMMYFUNCTION("""COMPUTED_VALUE"""),"Ferragens Del Rey SJC")</f>
        <v>Ferragens Del Rey SJC</v>
      </c>
      <c r="C154" s="13">
        <f>IFERROR(__xludf.DUMMYFUNCTION("""COMPUTED_VALUE"""),21.0)</f>
        <v>21</v>
      </c>
      <c r="D154" s="13" t="str">
        <f>IFERROR(__xludf.DUMMYFUNCTION("""COMPUTED_VALUE"""),"DOM.")</f>
        <v>DOM.</v>
      </c>
      <c r="E154" s="13">
        <f>IFERROR(__xludf.DUMMYFUNCTION("""COMPUTED_VALUE"""),2.0)</f>
        <v>2</v>
      </c>
      <c r="F154" s="15"/>
      <c r="G154" s="16"/>
      <c r="H154" s="227">
        <f>IFERROR(__xludf.DUMMYFUNCTION("""COMPUTED_VALUE"""),29.0)</f>
        <v>29</v>
      </c>
      <c r="I154" s="21" t="str">
        <f>IFERROR(__xludf.DUMMYFUNCTION("""COMPUTED_VALUE"""),"INTER-PJ")</f>
        <v>INTER-PJ</v>
      </c>
      <c r="J154" s="21" t="str">
        <f>IFERROR(__xludf.DUMMYFUNCTION("""COMPUTED_VALUE"""),"#Moradia #Jardinagem # Variavel")</f>
        <v>#Moradia #Jardinagem # Variavel</v>
      </c>
      <c r="K154" s="216"/>
      <c r="L154" s="216"/>
      <c r="M154" s="216"/>
      <c r="N154" s="216"/>
      <c r="O154" s="216"/>
      <c r="P154" s="216"/>
      <c r="Q154" s="216"/>
    </row>
    <row r="155">
      <c r="A155" s="11" t="str">
        <f>IFERROR(__xludf.DUMMYFUNCTION("""COMPUTED_VALUE"""),"CONTAS")</f>
        <v>CONTAS</v>
      </c>
      <c r="B155" s="98" t="str">
        <f>IFERROR(__xludf.DUMMYFUNCTION("""COMPUTED_VALUE"""),"Transferencia via PIX")</f>
        <v>Transferencia via PIX</v>
      </c>
      <c r="C155" s="13">
        <f>IFERROR(__xludf.DUMMYFUNCTION("""COMPUTED_VALUE"""),21.0)</f>
        <v>21</v>
      </c>
      <c r="D155" s="13" t="str">
        <f>IFERROR(__xludf.DUMMYFUNCTION("""COMPUTED_VALUE"""),"DOM.")</f>
        <v>DOM.</v>
      </c>
      <c r="E155" s="13">
        <f>IFERROR(__xludf.DUMMYFUNCTION("""COMPUTED_VALUE"""),2.0)</f>
        <v>2</v>
      </c>
      <c r="F155" s="15"/>
      <c r="G155" s="16"/>
      <c r="H155" s="227">
        <f>IFERROR(__xludf.DUMMYFUNCTION("""COMPUTED_VALUE"""),2000.0)</f>
        <v>2000</v>
      </c>
      <c r="I155" s="21" t="str">
        <f>IFERROR(__xludf.DUMMYFUNCTION("""COMPUTED_VALUE"""),"ITAU")</f>
        <v>ITAU</v>
      </c>
      <c r="J155" s="21"/>
      <c r="K155" s="216"/>
      <c r="L155" s="216"/>
      <c r="M155" s="216"/>
      <c r="N155" s="216"/>
      <c r="O155" s="216"/>
      <c r="P155" s="216"/>
      <c r="Q155" s="216"/>
    </row>
    <row r="156">
      <c r="A156" s="11" t="str">
        <f>IFERROR(__xludf.DUMMYFUNCTION("""COMPUTED_VALUE"""),"CONTAS")</f>
        <v>CONTAS</v>
      </c>
      <c r="B156" s="98" t="str">
        <f>IFERROR(__xludf.DUMMYFUNCTION("""COMPUTED_VALUE"""),"Recebimento via PIX")</f>
        <v>Recebimento via PIX</v>
      </c>
      <c r="C156" s="13">
        <f>IFERROR(__xludf.DUMMYFUNCTION("""COMPUTED_VALUE"""),21.0)</f>
        <v>21</v>
      </c>
      <c r="D156" s="13" t="str">
        <f>IFERROR(__xludf.DUMMYFUNCTION("""COMPUTED_VALUE"""),"DOM.")</f>
        <v>DOM.</v>
      </c>
      <c r="E156" s="13">
        <f>IFERROR(__xludf.DUMMYFUNCTION("""COMPUTED_VALUE"""),2.0)</f>
        <v>2</v>
      </c>
      <c r="F156" s="15"/>
      <c r="G156" s="16">
        <f>IFERROR(__xludf.DUMMYFUNCTION("""COMPUTED_VALUE"""),2000.0)</f>
        <v>2000</v>
      </c>
      <c r="H156" s="227"/>
      <c r="I156" s="21" t="str">
        <f>IFERROR(__xludf.DUMMYFUNCTION("""COMPUTED_VALUE"""),"NUBANK")</f>
        <v>NUBANK</v>
      </c>
      <c r="J156" s="21"/>
      <c r="K156" s="216"/>
      <c r="L156" s="216"/>
      <c r="M156" s="216"/>
      <c r="N156" s="216"/>
      <c r="O156" s="216"/>
      <c r="P156" s="216"/>
      <c r="Q156" s="216"/>
    </row>
    <row r="157">
      <c r="A157" s="11" t="str">
        <f>IFERROR(__xludf.DUMMYFUNCTION("""COMPUTED_VALUE"""),"CONTAS")</f>
        <v>CONTAS</v>
      </c>
      <c r="B157" s="98" t="str">
        <f>IFERROR(__xludf.DUMMYFUNCTION("""COMPUTED_VALUE"""),"Transferencia via PIX")</f>
        <v>Transferencia via PIX</v>
      </c>
      <c r="C157" s="13">
        <f>IFERROR(__xludf.DUMMYFUNCTION("""COMPUTED_VALUE"""),21.0)</f>
        <v>21</v>
      </c>
      <c r="D157" s="13" t="str">
        <f>IFERROR(__xludf.DUMMYFUNCTION("""COMPUTED_VALUE"""),"DOM.")</f>
        <v>DOM.</v>
      </c>
      <c r="E157" s="13">
        <f>IFERROR(__xludf.DUMMYFUNCTION("""COMPUTED_VALUE"""),2.0)</f>
        <v>2</v>
      </c>
      <c r="F157" s="15"/>
      <c r="G157" s="16"/>
      <c r="H157" s="227">
        <f>IFERROR(__xludf.DUMMYFUNCTION("""COMPUTED_VALUE"""),1000.0)</f>
        <v>1000</v>
      </c>
      <c r="I157" s="21" t="str">
        <f>IFERROR(__xludf.DUMMYFUNCTION("""COMPUTED_VALUE"""),"INTER-PJ")</f>
        <v>INTER-PJ</v>
      </c>
      <c r="J157" s="21"/>
      <c r="K157" s="216"/>
      <c r="L157" s="216"/>
      <c r="M157" s="216"/>
      <c r="N157" s="216"/>
      <c r="O157" s="216"/>
      <c r="P157" s="216"/>
      <c r="Q157" s="216"/>
    </row>
    <row r="158">
      <c r="A158" s="11" t="str">
        <f>IFERROR(__xludf.DUMMYFUNCTION("""COMPUTED_VALUE"""),"CONTAS")</f>
        <v>CONTAS</v>
      </c>
      <c r="B158" s="98" t="str">
        <f>IFERROR(__xludf.DUMMYFUNCTION("""COMPUTED_VALUE"""),"Recebimento via PIX")</f>
        <v>Recebimento via PIX</v>
      </c>
      <c r="C158" s="13">
        <f>IFERROR(__xludf.DUMMYFUNCTION("""COMPUTED_VALUE"""),21.0)</f>
        <v>21</v>
      </c>
      <c r="D158" s="13" t="str">
        <f>IFERROR(__xludf.DUMMYFUNCTION("""COMPUTED_VALUE"""),"DOM.")</f>
        <v>DOM.</v>
      </c>
      <c r="E158" s="13">
        <f>IFERROR(__xludf.DUMMYFUNCTION("""COMPUTED_VALUE"""),2.0)</f>
        <v>2</v>
      </c>
      <c r="F158" s="15"/>
      <c r="G158" s="16">
        <f>IFERROR(__xludf.DUMMYFUNCTION("""COMPUTED_VALUE"""),1000.0)</f>
        <v>1000</v>
      </c>
      <c r="H158" s="227"/>
      <c r="I158" s="21" t="str">
        <f>IFERROR(__xludf.DUMMYFUNCTION("""COMPUTED_VALUE"""),"NUBANK")</f>
        <v>NUBANK</v>
      </c>
      <c r="J158" s="21"/>
      <c r="K158" s="216"/>
      <c r="L158" s="216"/>
      <c r="M158" s="216"/>
      <c r="N158" s="216"/>
      <c r="O158" s="216"/>
      <c r="P158" s="216"/>
      <c r="Q158" s="216"/>
    </row>
    <row r="159">
      <c r="A159" s="11" t="str">
        <f>IFERROR(__xludf.DUMMYFUNCTION("""COMPUTED_VALUE"""),"PAGO")</f>
        <v>PAGO</v>
      </c>
      <c r="B159" s="98" t="str">
        <f>IFERROR(__xludf.DUMMYFUNCTION("""COMPUTED_VALUE"""),"Transferi para investimento - Nubank")</f>
        <v>Transferi para investimento - Nubank</v>
      </c>
      <c r="C159" s="13">
        <f>IFERROR(__xludf.DUMMYFUNCTION("""COMPUTED_VALUE"""),21.0)</f>
        <v>21</v>
      </c>
      <c r="D159" s="13" t="str">
        <f>IFERROR(__xludf.DUMMYFUNCTION("""COMPUTED_VALUE"""),"DOM.")</f>
        <v>DOM.</v>
      </c>
      <c r="E159" s="13">
        <f>IFERROR(__xludf.DUMMYFUNCTION("""COMPUTED_VALUE"""),2.0)</f>
        <v>2</v>
      </c>
      <c r="F159" s="15"/>
      <c r="G159" s="16"/>
      <c r="H159" s="227">
        <f>IFERROR(__xludf.DUMMYFUNCTION("""COMPUTED_VALUE"""),3000.0)</f>
        <v>3000</v>
      </c>
      <c r="I159" s="21" t="str">
        <f>IFERROR(__xludf.DUMMYFUNCTION("""COMPUTED_VALUE"""),"NUBANK")</f>
        <v>NUBANK</v>
      </c>
      <c r="J159" s="21" t="str">
        <f>IFERROR(__xludf.DUMMYFUNCTION("""COMPUTED_VALUE"""),"#Transferencia #Investimento #Variavel #Nubank")</f>
        <v>#Transferencia #Investimento #Variavel #Nubank</v>
      </c>
      <c r="K159" s="216"/>
      <c r="L159" s="216"/>
      <c r="M159" s="216"/>
      <c r="N159" s="216"/>
      <c r="O159" s="216"/>
      <c r="P159" s="216"/>
      <c r="Q159" s="216"/>
    </row>
    <row r="160">
      <c r="A160" s="11" t="str">
        <f>IFERROR(__xludf.DUMMYFUNCTION("""COMPUTED_VALUE"""),"PAGO")</f>
        <v>PAGO</v>
      </c>
      <c r="B160" s="98" t="str">
        <f>IFERROR(__xludf.DUMMYFUNCTION("""COMPUTED_VALUE"""),"NOBILIS CONTABILIDADE")</f>
        <v>NOBILIS CONTABILIDADE</v>
      </c>
      <c r="C160" s="13">
        <f>IFERROR(__xludf.DUMMYFUNCTION("""COMPUTED_VALUE"""),22.0)</f>
        <v>22</v>
      </c>
      <c r="D160" s="13" t="str">
        <f>IFERROR(__xludf.DUMMYFUNCTION("""COMPUTED_VALUE"""),"SEG.")</f>
        <v>SEG.</v>
      </c>
      <c r="E160" s="13">
        <f>IFERROR(__xludf.DUMMYFUNCTION("""COMPUTED_VALUE"""),2.0)</f>
        <v>2</v>
      </c>
      <c r="F160" s="15"/>
      <c r="G160" s="16"/>
      <c r="H160" s="227">
        <f>IFERROR(__xludf.DUMMYFUNCTION("""COMPUTED_VALUE"""),140.0)</f>
        <v>140</v>
      </c>
      <c r="I160" s="21" t="str">
        <f>IFERROR(__xludf.DUMMYFUNCTION("""COMPUTED_VALUE"""),"INTER-PJ")</f>
        <v>INTER-PJ</v>
      </c>
      <c r="J160" s="21" t="str">
        <f>IFERROR(__xludf.DUMMYFUNCTION("""COMPUTED_VALUE"""),"#Fixo #Contador ")</f>
        <v>#Fixo #Contador </v>
      </c>
      <c r="K160" s="216"/>
      <c r="L160" s="216"/>
      <c r="M160" s="216"/>
      <c r="N160" s="216"/>
      <c r="O160" s="216"/>
      <c r="P160" s="216"/>
      <c r="Q160" s="216"/>
    </row>
    <row r="161">
      <c r="A161" s="11" t="str">
        <f>IFERROR(__xludf.DUMMYFUNCTION("""COMPUTED_VALUE"""),"PAGO")</f>
        <v>PAGO</v>
      </c>
      <c r="B161" s="98" t="str">
        <f>IFERROR(__xludf.DUMMYFUNCTION("""COMPUTED_VALUE"""),"DAS - Simples Nacional")</f>
        <v>DAS - Simples Nacional</v>
      </c>
      <c r="C161" s="13">
        <f>IFERROR(__xludf.DUMMYFUNCTION("""COMPUTED_VALUE"""),22.0)</f>
        <v>22</v>
      </c>
      <c r="D161" s="13" t="str">
        <f>IFERROR(__xludf.DUMMYFUNCTION("""COMPUTED_VALUE"""),"SEG.")</f>
        <v>SEG.</v>
      </c>
      <c r="E161" s="13">
        <f>IFERROR(__xludf.DUMMYFUNCTION("""COMPUTED_VALUE"""),2.0)</f>
        <v>2</v>
      </c>
      <c r="F161" s="15"/>
      <c r="G161" s="16"/>
      <c r="H161" s="227">
        <f>IFERROR(__xludf.DUMMYFUNCTION("""COMPUTED_VALUE"""),720.0)</f>
        <v>720</v>
      </c>
      <c r="I161" s="21" t="str">
        <f>IFERROR(__xludf.DUMMYFUNCTION("""COMPUTED_VALUE"""),"INTER-PJ")</f>
        <v>INTER-PJ</v>
      </c>
      <c r="J161" s="21" t="str">
        <f>IFERROR(__xludf.DUMMYFUNCTION("""COMPUTED_VALUE"""),"#Impostos #Fixo ")</f>
        <v>#Impostos #Fixo </v>
      </c>
      <c r="K161" s="216"/>
      <c r="L161" s="216"/>
      <c r="M161" s="216"/>
      <c r="N161" s="216"/>
      <c r="O161" s="216"/>
      <c r="P161" s="216"/>
      <c r="Q161" s="216"/>
    </row>
    <row r="162">
      <c r="A162" s="11" t="str">
        <f>IFERROR(__xludf.DUMMYFUNCTION("""COMPUTED_VALUE"""),"PAGO")</f>
        <v>PAGO</v>
      </c>
      <c r="B162" s="98" t="str">
        <f>IFERROR(__xludf.DUMMYFUNCTION("""COMPUTED_VALUE"""),"Recarga Alelo Refeição BRQ")</f>
        <v>Recarga Alelo Refeição BRQ</v>
      </c>
      <c r="C162" s="13">
        <f>IFERROR(__xludf.DUMMYFUNCTION("""COMPUTED_VALUE"""),22.0)</f>
        <v>22</v>
      </c>
      <c r="D162" s="13" t="str">
        <f>IFERROR(__xludf.DUMMYFUNCTION("""COMPUTED_VALUE"""),"SEG.")</f>
        <v>SEG.</v>
      </c>
      <c r="E162" s="13">
        <f>IFERROR(__xludf.DUMMYFUNCTION("""COMPUTED_VALUE"""),2.0)</f>
        <v>2</v>
      </c>
      <c r="F162" s="15"/>
      <c r="G162" s="16">
        <f>IFERROR(__xludf.DUMMYFUNCTION("""COMPUTED_VALUE"""),222.95)</f>
        <v>222.95</v>
      </c>
      <c r="H162" s="227"/>
      <c r="I162" s="21" t="str">
        <f>IFERROR(__xludf.DUMMYFUNCTION("""COMPUTED_VALUE"""),"ALELO-REF-BRQ")</f>
        <v>ALELO-REF-BRQ</v>
      </c>
      <c r="J162" s="21" t="str">
        <f>IFERROR(__xludf.DUMMYFUNCTION("""COMPUTED_VALUE"""),"#AleloRefeiçãoBRQ #Recebimentos #Variavel")</f>
        <v>#AleloRefeiçãoBRQ #Recebimentos #Variavel</v>
      </c>
      <c r="K162" s="216"/>
      <c r="L162" s="216"/>
      <c r="M162" s="216"/>
      <c r="N162" s="216"/>
      <c r="O162" s="216"/>
      <c r="P162" s="216"/>
      <c r="Q162" s="216"/>
    </row>
    <row r="163">
      <c r="A163" s="11" t="str">
        <f>IFERROR(__xludf.DUMMYFUNCTION("""COMPUTED_VALUE"""),"PAGO")</f>
        <v>PAGO</v>
      </c>
      <c r="B163" s="98" t="str">
        <f>IFERROR(__xludf.DUMMYFUNCTION("""COMPUTED_VALUE"""),"Recarga Alelo Alimentação BRQ")</f>
        <v>Recarga Alelo Alimentação BRQ</v>
      </c>
      <c r="C163" s="13">
        <f>IFERROR(__xludf.DUMMYFUNCTION("""COMPUTED_VALUE"""),22.0)</f>
        <v>22</v>
      </c>
      <c r="D163" s="13" t="str">
        <f>IFERROR(__xludf.DUMMYFUNCTION("""COMPUTED_VALUE"""),"SEG.")</f>
        <v>SEG.</v>
      </c>
      <c r="E163" s="13">
        <f>IFERROR(__xludf.DUMMYFUNCTION("""COMPUTED_VALUE"""),2.0)</f>
        <v>2</v>
      </c>
      <c r="F163" s="15"/>
      <c r="G163" s="16">
        <f>IFERROR(__xludf.DUMMYFUNCTION("""COMPUTED_VALUE"""),1022.73)</f>
        <v>1022.73</v>
      </c>
      <c r="H163" s="227"/>
      <c r="I163" s="21" t="str">
        <f>IFERROR(__xludf.DUMMYFUNCTION("""COMPUTED_VALUE"""),"ALELO-ALI-BRQ")</f>
        <v>ALELO-ALI-BRQ</v>
      </c>
      <c r="J163" s="21" t="str">
        <f>IFERROR(__xludf.DUMMYFUNCTION("""COMPUTED_VALUE"""),"#AleloAlimentaçãoBRQ #Recebimentos #Variavel")</f>
        <v>#AleloAlimentaçãoBRQ #Recebimentos #Variavel</v>
      </c>
      <c r="K163" s="216"/>
      <c r="L163" s="216"/>
      <c r="M163" s="216"/>
      <c r="N163" s="216"/>
      <c r="O163" s="216"/>
      <c r="P163" s="216"/>
      <c r="Q163" s="216"/>
    </row>
    <row r="164">
      <c r="A164" s="11" t="str">
        <f>IFERROR(__xludf.DUMMYFUNCTION("""COMPUTED_VALUE"""),"PAGO")</f>
        <v>PAGO</v>
      </c>
      <c r="B164" s="98" t="str">
        <f>IFERROR(__xludf.DUMMYFUNCTION("""COMPUTED_VALUE"""),"Luz - DEBITO AUTO")</f>
        <v>Luz - DEBITO AUTO</v>
      </c>
      <c r="C164" s="13">
        <f>IFERROR(__xludf.DUMMYFUNCTION("""COMPUTED_VALUE"""),22.0)</f>
        <v>22</v>
      </c>
      <c r="D164" s="13" t="str">
        <f>IFERROR(__xludf.DUMMYFUNCTION("""COMPUTED_VALUE"""),"SEG.")</f>
        <v>SEG.</v>
      </c>
      <c r="E164" s="13">
        <f>IFERROR(__xludf.DUMMYFUNCTION("""COMPUTED_VALUE"""),2.0)</f>
        <v>2</v>
      </c>
      <c r="F164" s="15"/>
      <c r="G164" s="16"/>
      <c r="H164" s="227">
        <f>IFERROR(__xludf.DUMMYFUNCTION("""COMPUTED_VALUE"""),203.98)</f>
        <v>203.98</v>
      </c>
      <c r="I164" s="21" t="str">
        <f>IFERROR(__xludf.DUMMYFUNCTION("""COMPUTED_VALUE"""),"ITAU")</f>
        <v>ITAU</v>
      </c>
      <c r="J164" s="21" t="str">
        <f>IFERROR(__xludf.DUMMYFUNCTION("""COMPUTED_VALUE"""),"#Moradia #Essencial #Luz #Fixo")</f>
        <v>#Moradia #Essencial #Luz #Fixo</v>
      </c>
      <c r="K164" s="216"/>
      <c r="L164" s="216"/>
      <c r="M164" s="216"/>
      <c r="N164" s="216"/>
      <c r="O164" s="216"/>
      <c r="P164" s="216"/>
      <c r="Q164" s="216"/>
    </row>
    <row r="165">
      <c r="A165" s="11" t="str">
        <f>IFERROR(__xludf.DUMMYFUNCTION("""COMPUTED_VALUE"""),"PAGO")</f>
        <v>PAGO</v>
      </c>
      <c r="B165" s="98" t="str">
        <f>IFERROR(__xludf.DUMMYFUNCTION("""COMPUTED_VALUE"""),"Mercado Livre - 4 Pés de Mesa para Setup Home-Office")</f>
        <v>Mercado Livre - 4 Pés de Mesa para Setup Home-Office</v>
      </c>
      <c r="C165" s="13">
        <f>IFERROR(__xludf.DUMMYFUNCTION("""COMPUTED_VALUE"""),22.0)</f>
        <v>22</v>
      </c>
      <c r="D165" s="13" t="str">
        <f>IFERROR(__xludf.DUMMYFUNCTION("""COMPUTED_VALUE"""),"SEG.")</f>
        <v>SEG.</v>
      </c>
      <c r="E165" s="13">
        <f>IFERROR(__xludf.DUMMYFUNCTION("""COMPUTED_VALUE"""),2.0)</f>
        <v>2</v>
      </c>
      <c r="F165" s="15"/>
      <c r="G165" s="16"/>
      <c r="H165" s="227">
        <f>IFERROR(__xludf.DUMMYFUNCTION("""COMPUTED_VALUE"""),129.0)</f>
        <v>129</v>
      </c>
      <c r="I165" s="21" t="str">
        <f>IFERROR(__xludf.DUMMYFUNCTION("""COMPUTED_VALUE"""),"INTER-PJ")</f>
        <v>INTER-PJ</v>
      </c>
      <c r="J165" s="21" t="str">
        <f>IFERROR(__xludf.DUMMYFUNCTION("""COMPUTED_VALUE"""),"#Moradia #Variavel #Cicero #Lazer")</f>
        <v>#Moradia #Variavel #Cicero #Lazer</v>
      </c>
      <c r="K165" s="216"/>
      <c r="L165" s="216"/>
      <c r="M165" s="216"/>
      <c r="N165" s="216"/>
      <c r="O165" s="216"/>
      <c r="P165" s="216"/>
      <c r="Q165" s="216"/>
    </row>
    <row r="166">
      <c r="A166" s="11" t="str">
        <f>IFERROR(__xludf.DUMMYFUNCTION("""COMPUTED_VALUE"""),"PAGO")</f>
        <v>PAGO</v>
      </c>
      <c r="B166" s="98" t="str">
        <f>IFERROR(__xludf.DUMMYFUNCTION("""COMPUTED_VALUE"""),"Salario - Certsys - Encerramento")</f>
        <v>Salario - Certsys - Encerramento</v>
      </c>
      <c r="C166" s="13">
        <f>IFERROR(__xludf.DUMMYFUNCTION("""COMPUTED_VALUE"""),22.0)</f>
        <v>22</v>
      </c>
      <c r="D166" s="13" t="str">
        <f>IFERROR(__xludf.DUMMYFUNCTION("""COMPUTED_VALUE"""),"SEG.")</f>
        <v>SEG.</v>
      </c>
      <c r="E166" s="13">
        <f>IFERROR(__xludf.DUMMYFUNCTION("""COMPUTED_VALUE"""),2.0)</f>
        <v>2</v>
      </c>
      <c r="F166" s="15"/>
      <c r="G166" s="16">
        <f>IFERROR(__xludf.DUMMYFUNCTION("""COMPUTED_VALUE"""),3633.24)</f>
        <v>3633.24</v>
      </c>
      <c r="H166" s="227"/>
      <c r="I166" s="21" t="str">
        <f>IFERROR(__xludf.DUMMYFUNCTION("""COMPUTED_VALUE"""),"INTER-PJ")</f>
        <v>INTER-PJ</v>
      </c>
      <c r="J166" s="21" t="str">
        <f>IFERROR(__xludf.DUMMYFUNCTION("""COMPUTED_VALUE"""),"#Recebimentos #Salario #Fixo")</f>
        <v>#Recebimentos #Salario #Fixo</v>
      </c>
      <c r="K166" s="216"/>
      <c r="L166" s="216"/>
      <c r="M166" s="216"/>
      <c r="N166" s="216"/>
      <c r="O166" s="216"/>
      <c r="P166" s="216"/>
      <c r="Q166" s="216"/>
    </row>
    <row r="167">
      <c r="A167" s="11" t="str">
        <f>IFERROR(__xludf.DUMMYFUNCTION("""COMPUTED_VALUE"""),"PAGO")</f>
        <v>PAGO</v>
      </c>
      <c r="B167" s="98" t="str">
        <f>IFERROR(__xludf.DUMMYFUNCTION("""COMPUTED_VALUE"""),"Vakinha online - Talyssa Taques - sonambulismo")</f>
        <v>Vakinha online - Talyssa Taques - sonambulismo</v>
      </c>
      <c r="C167" s="13">
        <f>IFERROR(__xludf.DUMMYFUNCTION("""COMPUTED_VALUE"""),22.0)</f>
        <v>22</v>
      </c>
      <c r="D167" s="13" t="str">
        <f>IFERROR(__xludf.DUMMYFUNCTION("""COMPUTED_VALUE"""),"SEG.")</f>
        <v>SEG.</v>
      </c>
      <c r="E167" s="13">
        <f>IFERROR(__xludf.DUMMYFUNCTION("""COMPUTED_VALUE"""),2.0)</f>
        <v>2</v>
      </c>
      <c r="F167" s="15"/>
      <c r="G167" s="16"/>
      <c r="H167" s="227">
        <f>IFERROR(__xludf.DUMMYFUNCTION("""COMPUTED_VALUE"""),200.0)</f>
        <v>200</v>
      </c>
      <c r="I167" s="21" t="str">
        <f>IFERROR(__xludf.DUMMYFUNCTION("""COMPUTED_VALUE"""),"INTER-PJ")</f>
        <v>INTER-PJ</v>
      </c>
      <c r="J167" s="21" t="str">
        <f>IFERROR(__xludf.DUMMYFUNCTION("""COMPUTED_VALUE"""),"#Doação #Extra #Variavel")</f>
        <v>#Doação #Extra #Variavel</v>
      </c>
      <c r="K167" s="216"/>
      <c r="L167" s="216"/>
      <c r="M167" s="216"/>
      <c r="N167" s="216"/>
      <c r="O167" s="216"/>
      <c r="P167" s="216"/>
      <c r="Q167" s="216"/>
    </row>
    <row r="168">
      <c r="A168" s="11" t="str">
        <f>IFERROR(__xludf.DUMMYFUNCTION("""COMPUTED_VALUE"""),"PAGO")</f>
        <v>PAGO</v>
      </c>
      <c r="B168" s="98" t="str">
        <f>IFERROR(__xludf.DUMMYFUNCTION("""COMPUTED_VALUE"""),"Rendimento")</f>
        <v>Rendimento</v>
      </c>
      <c r="C168" s="13">
        <f>IFERROR(__xludf.DUMMYFUNCTION("""COMPUTED_VALUE"""),22.0)</f>
        <v>22</v>
      </c>
      <c r="D168" s="13" t="str">
        <f>IFERROR(__xludf.DUMMYFUNCTION("""COMPUTED_VALUE"""),"SEG.")</f>
        <v>SEG.</v>
      </c>
      <c r="E168" s="13">
        <f>IFERROR(__xludf.DUMMYFUNCTION("""COMPUTED_VALUE"""),2.0)</f>
        <v>2</v>
      </c>
      <c r="F168" s="15"/>
      <c r="G168" s="16">
        <f>IFERROR(__xludf.DUMMYFUNCTION("""COMPUTED_VALUE"""),0.01)</f>
        <v>0.01</v>
      </c>
      <c r="H168" s="227"/>
      <c r="I168" s="21" t="str">
        <f>IFERROR(__xludf.DUMMYFUNCTION("""COMPUTED_VALUE"""),"ITAU")</f>
        <v>ITAU</v>
      </c>
      <c r="J168" s="21" t="str">
        <f>IFERROR(__xludf.DUMMYFUNCTION("""COMPUTED_VALUE"""),"#Recebimentos #Rendimentos #Variavel")</f>
        <v>#Recebimentos #Rendimentos #Variavel</v>
      </c>
      <c r="K168" s="216"/>
      <c r="L168" s="216"/>
      <c r="M168" s="216"/>
      <c r="N168" s="216"/>
      <c r="O168" s="216"/>
      <c r="P168" s="216"/>
      <c r="Q168" s="216"/>
    </row>
    <row r="169">
      <c r="A169" s="11" t="str">
        <f>IFERROR(__xludf.DUMMYFUNCTION("""COMPUTED_VALUE"""),"PAGO")</f>
        <v>PAGO</v>
      </c>
      <c r="B169" s="98" t="str">
        <f>IFERROR(__xludf.DUMMYFUNCTION("""COMPUTED_VALUE"""),"Agua - ITAQUERA")</f>
        <v>Agua - ITAQUERA</v>
      </c>
      <c r="C169" s="13">
        <f>IFERROR(__xludf.DUMMYFUNCTION("""COMPUTED_VALUE"""),23.0)</f>
        <v>23</v>
      </c>
      <c r="D169" s="13" t="str">
        <f>IFERROR(__xludf.DUMMYFUNCTION("""COMPUTED_VALUE"""),"TER.")</f>
        <v>TER.</v>
      </c>
      <c r="E169" s="13">
        <f>IFERROR(__xludf.DUMMYFUNCTION("""COMPUTED_VALUE"""),2.0)</f>
        <v>2</v>
      </c>
      <c r="F169" s="15">
        <f>IFERROR(__xludf.DUMMYFUNCTION("""COMPUTED_VALUE"""),44249.0)</f>
        <v>44249</v>
      </c>
      <c r="G169" s="16"/>
      <c r="H169" s="227">
        <f>IFERROR(__xludf.DUMMYFUNCTION("""COMPUTED_VALUE"""),54.41)</f>
        <v>54.41</v>
      </c>
      <c r="I169" s="21" t="str">
        <f>IFERROR(__xludf.DUMMYFUNCTION("""COMPUTED_VALUE"""),"INTER-PJ")</f>
        <v>INTER-PJ</v>
      </c>
      <c r="J169" s="21" t="str">
        <f>IFERROR(__xludf.DUMMYFUNCTION("""COMPUTED_VALUE"""),"#Itaquera #Essencial #AjudaAlmir #Fixo")</f>
        <v>#Itaquera #Essencial #AjudaAlmir #Fixo</v>
      </c>
      <c r="K169" s="216"/>
      <c r="L169" s="216"/>
      <c r="M169" s="216"/>
      <c r="N169" s="216"/>
      <c r="O169" s="216"/>
      <c r="P169" s="216"/>
      <c r="Q169" s="216"/>
    </row>
    <row r="170">
      <c r="A170" s="11" t="str">
        <f>IFERROR(__xludf.DUMMYFUNCTION("""COMPUTED_VALUE"""),"CONTAS")</f>
        <v>CONTAS</v>
      </c>
      <c r="B170" s="98" t="str">
        <f>IFERROR(__xludf.DUMMYFUNCTION("""COMPUTED_VALUE"""),"Transferencia via PIX")</f>
        <v>Transferencia via PIX</v>
      </c>
      <c r="C170" s="13">
        <f>IFERROR(__xludf.DUMMYFUNCTION("""COMPUTED_VALUE"""),23.0)</f>
        <v>23</v>
      </c>
      <c r="D170" s="13" t="str">
        <f>IFERROR(__xludf.DUMMYFUNCTION("""COMPUTED_VALUE"""),"TER.")</f>
        <v>TER.</v>
      </c>
      <c r="E170" s="13">
        <f>IFERROR(__xludf.DUMMYFUNCTION("""COMPUTED_VALUE"""),2.0)</f>
        <v>2</v>
      </c>
      <c r="F170" s="15"/>
      <c r="G170" s="16"/>
      <c r="H170" s="227">
        <f>IFERROR(__xludf.DUMMYFUNCTION("""COMPUTED_VALUE"""),1000.0)</f>
        <v>1000</v>
      </c>
      <c r="I170" s="21" t="str">
        <f>IFERROR(__xludf.DUMMYFUNCTION("""COMPUTED_VALUE"""),"INTER-PJ")</f>
        <v>INTER-PJ</v>
      </c>
      <c r="J170" s="21"/>
      <c r="K170" s="216"/>
      <c r="L170" s="216"/>
      <c r="M170" s="216"/>
      <c r="N170" s="216"/>
      <c r="O170" s="216"/>
      <c r="P170" s="216"/>
      <c r="Q170" s="216"/>
    </row>
    <row r="171">
      <c r="A171" s="11" t="str">
        <f>IFERROR(__xludf.DUMMYFUNCTION("""COMPUTED_VALUE"""),"CONTAS")</f>
        <v>CONTAS</v>
      </c>
      <c r="B171" s="98" t="str">
        <f>IFERROR(__xludf.DUMMYFUNCTION("""COMPUTED_VALUE"""),"Recebimento via PIX")</f>
        <v>Recebimento via PIX</v>
      </c>
      <c r="C171" s="13">
        <f>IFERROR(__xludf.DUMMYFUNCTION("""COMPUTED_VALUE"""),23.0)</f>
        <v>23</v>
      </c>
      <c r="D171" s="13" t="str">
        <f>IFERROR(__xludf.DUMMYFUNCTION("""COMPUTED_VALUE"""),"TER.")</f>
        <v>TER.</v>
      </c>
      <c r="E171" s="13">
        <f>IFERROR(__xludf.DUMMYFUNCTION("""COMPUTED_VALUE"""),2.0)</f>
        <v>2</v>
      </c>
      <c r="F171" s="15"/>
      <c r="G171" s="16">
        <f>IFERROR(__xludf.DUMMYFUNCTION("""COMPUTED_VALUE"""),1000.0)</f>
        <v>1000</v>
      </c>
      <c r="H171" s="227"/>
      <c r="I171" s="21" t="str">
        <f>IFERROR(__xludf.DUMMYFUNCTION("""COMPUTED_VALUE"""),"NUBANK")</f>
        <v>NUBANK</v>
      </c>
      <c r="J171" s="21"/>
      <c r="K171" s="216"/>
      <c r="L171" s="216"/>
      <c r="M171" s="216"/>
      <c r="N171" s="216"/>
      <c r="O171" s="216"/>
      <c r="P171" s="216"/>
      <c r="Q171" s="216"/>
    </row>
    <row r="172">
      <c r="A172" s="11" t="str">
        <f>IFERROR(__xludf.DUMMYFUNCTION("""COMPUTED_VALUE"""),"PAGO")</f>
        <v>PAGO</v>
      </c>
      <c r="B172" s="98" t="str">
        <f>IFERROR(__xludf.DUMMYFUNCTION("""COMPUTED_VALUE"""),"Deposito Foxbit para investimentos em moedas digitais")</f>
        <v>Deposito Foxbit para investimentos em moedas digitais</v>
      </c>
      <c r="C172" s="13">
        <f>IFERROR(__xludf.DUMMYFUNCTION("""COMPUTED_VALUE"""),23.0)</f>
        <v>23</v>
      </c>
      <c r="D172" s="13" t="str">
        <f>IFERROR(__xludf.DUMMYFUNCTION("""COMPUTED_VALUE"""),"TER.")</f>
        <v>TER.</v>
      </c>
      <c r="E172" s="13">
        <f>IFERROR(__xludf.DUMMYFUNCTION("""COMPUTED_VALUE"""),2.0)</f>
        <v>2</v>
      </c>
      <c r="F172" s="15"/>
      <c r="G172" s="16"/>
      <c r="H172" s="227">
        <f>IFERROR(__xludf.DUMMYFUNCTION("""COMPUTED_VALUE"""),1000.0)</f>
        <v>1000</v>
      </c>
      <c r="I172" s="21" t="str">
        <f>IFERROR(__xludf.DUMMYFUNCTION("""COMPUTED_VALUE"""),"NUBANK")</f>
        <v>NUBANK</v>
      </c>
      <c r="J172" s="21" t="str">
        <f>IFERROR(__xludf.DUMMYFUNCTION("""COMPUTED_VALUE"""),"#Investimento #Foxbit #Variavel")</f>
        <v>#Investimento #Foxbit #Variavel</v>
      </c>
      <c r="K172" s="216"/>
      <c r="L172" s="216"/>
      <c r="M172" s="216"/>
      <c r="N172" s="216"/>
      <c r="O172" s="216"/>
      <c r="P172" s="216"/>
      <c r="Q172" s="216"/>
    </row>
    <row r="173">
      <c r="A173" s="11" t="str">
        <f>IFERROR(__xludf.DUMMYFUNCTION("""COMPUTED_VALUE"""),"PAGO")</f>
        <v>PAGO</v>
      </c>
      <c r="B173" s="98" t="str">
        <f>IFERROR(__xludf.DUMMYFUNCTION("""COMPUTED_VALUE"""),"Sodimac - folha de porta pinus 210x72x3,5 - será mesa")</f>
        <v>Sodimac - folha de porta pinus 210x72x3,5 - será mesa</v>
      </c>
      <c r="C173" s="13">
        <f>IFERROR(__xludf.DUMMYFUNCTION("""COMPUTED_VALUE"""),23.0)</f>
        <v>23</v>
      </c>
      <c r="D173" s="13" t="str">
        <f>IFERROR(__xludf.DUMMYFUNCTION("""COMPUTED_VALUE"""),"TER.")</f>
        <v>TER.</v>
      </c>
      <c r="E173" s="13">
        <f>IFERROR(__xludf.DUMMYFUNCTION("""COMPUTED_VALUE"""),2.0)</f>
        <v>2</v>
      </c>
      <c r="F173" s="15"/>
      <c r="G173" s="16"/>
      <c r="H173" s="227">
        <f>IFERROR(__xludf.DUMMYFUNCTION("""COMPUTED_VALUE"""),69.0)</f>
        <v>69</v>
      </c>
      <c r="I173" s="21" t="str">
        <f>IFERROR(__xludf.DUMMYFUNCTION("""COMPUTED_VALUE"""),"INTER-PJ")</f>
        <v>INTER-PJ</v>
      </c>
      <c r="J173" s="21" t="str">
        <f>IFERROR(__xludf.DUMMYFUNCTION("""COMPUTED_VALUE"""),"#Moradia #Variavel #Cicero #Lazer")</f>
        <v>#Moradia #Variavel #Cicero #Lazer</v>
      </c>
      <c r="K173" s="216"/>
      <c r="L173" s="216"/>
      <c r="M173" s="216"/>
      <c r="N173" s="216"/>
      <c r="O173" s="216"/>
      <c r="P173" s="216"/>
      <c r="Q173" s="216"/>
    </row>
    <row r="174">
      <c r="A174" s="11" t="str">
        <f>IFERROR(__xludf.DUMMYFUNCTION("""COMPUTED_VALUE"""),"PAGO")</f>
        <v>PAGO</v>
      </c>
      <c r="B174" s="98" t="str">
        <f>IFERROR(__xludf.DUMMYFUNCTION("""COMPUTED_VALUE"""),"Shibata")</f>
        <v>Shibata</v>
      </c>
      <c r="C174" s="13">
        <f>IFERROR(__xludf.DUMMYFUNCTION("""COMPUTED_VALUE"""),23.0)</f>
        <v>23</v>
      </c>
      <c r="D174" s="13" t="str">
        <f>IFERROR(__xludf.DUMMYFUNCTION("""COMPUTED_VALUE"""),"TER.")</f>
        <v>TER.</v>
      </c>
      <c r="E174" s="13">
        <f>IFERROR(__xludf.DUMMYFUNCTION("""COMPUTED_VALUE"""),2.0)</f>
        <v>2</v>
      </c>
      <c r="F174" s="15"/>
      <c r="G174" s="16"/>
      <c r="H174" s="227">
        <f>IFERROR(__xludf.DUMMYFUNCTION("""COMPUTED_VALUE"""),207.25)</f>
        <v>207.25</v>
      </c>
      <c r="I174" s="21" t="str">
        <f>IFERROR(__xludf.DUMMYFUNCTION("""COMPUTED_VALUE"""),"ALELO-ALI-BRQ")</f>
        <v>ALELO-ALI-BRQ</v>
      </c>
      <c r="J174" s="21" t="str">
        <f>IFERROR(__xludf.DUMMYFUNCTION("""COMPUTED_VALUE"""),"#Moradia #Essencial #Mercado #Variavel #Alimentação ")</f>
        <v>#Moradia #Essencial #Mercado #Variavel #Alimentação </v>
      </c>
      <c r="K174" s="216"/>
      <c r="L174" s="216"/>
      <c r="M174" s="216"/>
      <c r="N174" s="216"/>
      <c r="O174" s="216"/>
      <c r="P174" s="216"/>
      <c r="Q174" s="216"/>
    </row>
    <row r="175">
      <c r="A175" s="11" t="str">
        <f>IFERROR(__xludf.DUMMYFUNCTION("""COMPUTED_VALUE"""),"PAGO")</f>
        <v>PAGO</v>
      </c>
      <c r="B175" s="98" t="str">
        <f>IFERROR(__xludf.DUMMYFUNCTION("""COMPUTED_VALUE"""),"Cartao NuBank - pagando mesmo sem fechar fatura")</f>
        <v>Cartao NuBank - pagando mesmo sem fechar fatura</v>
      </c>
      <c r="C175" s="13">
        <f>IFERROR(__xludf.DUMMYFUNCTION("""COMPUTED_VALUE"""),24.0)</f>
        <v>24</v>
      </c>
      <c r="D175" s="13" t="str">
        <f>IFERROR(__xludf.DUMMYFUNCTION("""COMPUTED_VALUE"""),"QUA.")</f>
        <v>QUA.</v>
      </c>
      <c r="E175" s="13">
        <f>IFERROR(__xludf.DUMMYFUNCTION("""COMPUTED_VALUE"""),2.0)</f>
        <v>2</v>
      </c>
      <c r="F175" s="15"/>
      <c r="G175" s="16"/>
      <c r="H175" s="227">
        <f>IFERROR(__xludf.DUMMYFUNCTION("""COMPUTED_VALUE"""),1182.29)</f>
        <v>1182.29</v>
      </c>
      <c r="I175" s="21" t="str">
        <f>IFERROR(__xludf.DUMMYFUNCTION("""COMPUTED_VALUE"""),"NUBANK")</f>
        <v>NUBANK</v>
      </c>
      <c r="J175" s="21"/>
      <c r="K175" s="216"/>
      <c r="L175" s="216"/>
      <c r="M175" s="216"/>
      <c r="N175" s="216"/>
      <c r="O175" s="216"/>
      <c r="P175" s="216"/>
      <c r="Q175" s="216"/>
    </row>
    <row r="176">
      <c r="A176" s="11" t="str">
        <f>IFERROR(__xludf.DUMMYFUNCTION("""COMPUTED_VALUE"""),"CREDITO")</f>
        <v>CREDITO</v>
      </c>
      <c r="B176" s="98" t="str">
        <f>IFERROR(__xludf.DUMMYFUNCTION("""COMPUTED_VALUE"""),"Amazonprimebr")</f>
        <v>Amazonprimebr</v>
      </c>
      <c r="C176" s="13"/>
      <c r="D176" s="13"/>
      <c r="E176" s="13">
        <f>IFERROR(__xludf.DUMMYFUNCTION("""COMPUTED_VALUE"""),2.0)</f>
        <v>2</v>
      </c>
      <c r="F176" s="15">
        <f>IFERROR(__xludf.DUMMYFUNCTION("""COMPUTED_VALUE"""),44209.0)</f>
        <v>44209</v>
      </c>
      <c r="G176" s="16"/>
      <c r="H176" s="227">
        <f>IFERROR(__xludf.DUMMYFUNCTION("""COMPUTED_VALUE"""),9.9)</f>
        <v>9.9</v>
      </c>
      <c r="I176" s="21"/>
      <c r="J176" s="21" t="str">
        <f>IFERROR(__xludf.DUMMYFUNCTION("""COMPUTED_VALUE"""),"#CartaoDeCredito #Cicero #Essencial #Streaming #Fixo ")</f>
        <v>#CartaoDeCredito #Cicero #Essencial #Streaming #Fixo </v>
      </c>
      <c r="K176" s="216"/>
      <c r="L176" s="216"/>
      <c r="M176" s="216"/>
      <c r="N176" s="216"/>
      <c r="O176" s="216"/>
      <c r="P176" s="216"/>
      <c r="Q176" s="216"/>
    </row>
    <row r="177">
      <c r="A177" s="11" t="str">
        <f>IFERROR(__xludf.DUMMYFUNCTION("""COMPUTED_VALUE"""),"CREDITO")</f>
        <v>CREDITO</v>
      </c>
      <c r="B177" s="98" t="str">
        <f>IFERROR(__xludf.DUMMYFUNCTION("""COMPUTED_VALUE"""),"Assaí Atacadista")</f>
        <v>Assaí Atacadista</v>
      </c>
      <c r="C177" s="13"/>
      <c r="D177" s="13"/>
      <c r="E177" s="13">
        <f>IFERROR(__xludf.DUMMYFUNCTION("""COMPUTED_VALUE"""),2.0)</f>
        <v>2</v>
      </c>
      <c r="F177" s="15">
        <f>IFERROR(__xludf.DUMMYFUNCTION("""COMPUTED_VALUE"""),44230.0)</f>
        <v>44230</v>
      </c>
      <c r="G177" s="16"/>
      <c r="H177" s="227">
        <f>IFERROR(__xludf.DUMMYFUNCTION("""COMPUTED_VALUE"""),408.5)</f>
        <v>408.5</v>
      </c>
      <c r="I177" s="21"/>
      <c r="J177" s="21" t="str">
        <f>IFERROR(__xludf.DUMMYFUNCTION("""COMPUTED_VALUE"""),"#CartaoDeCredito #Cicero #Moradia #Essencial #Mercado #Fixo #Alimentação ")</f>
        <v>#CartaoDeCredito #Cicero #Moradia #Essencial #Mercado #Fixo #Alimentação </v>
      </c>
      <c r="K177" s="216"/>
      <c r="L177" s="216"/>
      <c r="M177" s="216"/>
      <c r="N177" s="216"/>
      <c r="O177" s="216"/>
      <c r="P177" s="216"/>
      <c r="Q177" s="216"/>
    </row>
    <row r="178">
      <c r="A178" s="11" t="str">
        <f>IFERROR(__xludf.DUMMYFUNCTION("""COMPUTED_VALUE"""),"CREDITO")</f>
        <v>CREDITO</v>
      </c>
      <c r="B178" s="98" t="str">
        <f>IFERROR(__xludf.DUMMYFUNCTION("""COMPUTED_VALUE"""),"Assaí Atacadista")</f>
        <v>Assaí Atacadista</v>
      </c>
      <c r="C178" s="13"/>
      <c r="D178" s="13"/>
      <c r="E178" s="13">
        <f>IFERROR(__xludf.DUMMYFUNCTION("""COMPUTED_VALUE"""),2.0)</f>
        <v>2</v>
      </c>
      <c r="F178" s="15">
        <f>IFERROR(__xludf.DUMMYFUNCTION("""COMPUTED_VALUE"""),44230.0)</f>
        <v>44230</v>
      </c>
      <c r="G178" s="16"/>
      <c r="H178" s="227">
        <f>IFERROR(__xludf.DUMMYFUNCTION("""COMPUTED_VALUE"""),139.9)</f>
        <v>139.9</v>
      </c>
      <c r="I178" s="21"/>
      <c r="J178" s="21" t="str">
        <f>IFERROR(__xludf.DUMMYFUNCTION("""COMPUTED_VALUE"""),"#CartaoDeCredito #Cicero #Moradia #Essencial #Mercado #Fixo #Alimentação ")</f>
        <v>#CartaoDeCredito #Cicero #Moradia #Essencial #Mercado #Fixo #Alimentação </v>
      </c>
      <c r="K178" s="216"/>
      <c r="L178" s="216"/>
      <c r="M178" s="216"/>
      <c r="N178" s="216"/>
      <c r="O178" s="216"/>
      <c r="P178" s="216"/>
      <c r="Q178" s="216"/>
    </row>
    <row r="179">
      <c r="A179" s="11" t="str">
        <f>IFERROR(__xludf.DUMMYFUNCTION("""COMPUTED_VALUE"""),"CREDITO")</f>
        <v>CREDITO</v>
      </c>
      <c r="B179" s="98" t="str">
        <f>IFERROR(__xludf.DUMMYFUNCTION("""COMPUTED_VALUE"""),"Estacionamento - Miami Park - Gastro")</f>
        <v>Estacionamento - Miami Park - Gastro</v>
      </c>
      <c r="C179" s="13"/>
      <c r="D179" s="13"/>
      <c r="E179" s="13">
        <f>IFERROR(__xludf.DUMMYFUNCTION("""COMPUTED_VALUE"""),2.0)</f>
        <v>2</v>
      </c>
      <c r="F179" s="15">
        <f>IFERROR(__xludf.DUMMYFUNCTION("""COMPUTED_VALUE"""),44230.0)</f>
        <v>44230</v>
      </c>
      <c r="G179" s="16"/>
      <c r="H179" s="227">
        <f>IFERROR(__xludf.DUMMYFUNCTION("""COMPUTED_VALUE"""),10.5)</f>
        <v>10.5</v>
      </c>
      <c r="I179" s="21"/>
      <c r="J179" s="21" t="str">
        <f>IFERROR(__xludf.DUMMYFUNCTION("""COMPUTED_VALUE"""),"#CartaoDeCredito #Cicero #Carro #Estacionamento #Variavel")</f>
        <v>#CartaoDeCredito #Cicero #Carro #Estacionamento #Variavel</v>
      </c>
      <c r="K179" s="216"/>
      <c r="L179" s="216"/>
      <c r="M179" s="216"/>
      <c r="N179" s="216"/>
      <c r="O179" s="216"/>
      <c r="P179" s="216"/>
      <c r="Q179" s="216"/>
    </row>
    <row r="180">
      <c r="A180" s="11" t="str">
        <f>IFERROR(__xludf.DUMMYFUNCTION("""COMPUTED_VALUE"""),"CREDITO")</f>
        <v>CREDITO</v>
      </c>
      <c r="B180" s="98" t="str">
        <f>IFERROR(__xludf.DUMMYFUNCTION("""COMPUTED_VALUE"""),"Supermercado Maximo")</f>
        <v>Supermercado Maximo</v>
      </c>
      <c r="C180" s="13"/>
      <c r="D180" s="13"/>
      <c r="E180" s="13">
        <f>IFERROR(__xludf.DUMMYFUNCTION("""COMPUTED_VALUE"""),2.0)</f>
        <v>2</v>
      </c>
      <c r="F180" s="15">
        <f>IFERROR(__xludf.DUMMYFUNCTION("""COMPUTED_VALUE"""),44230.0)</f>
        <v>44230</v>
      </c>
      <c r="G180" s="16"/>
      <c r="H180" s="227">
        <f>IFERROR(__xludf.DUMMYFUNCTION("""COMPUTED_VALUE"""),37.2)</f>
        <v>37.2</v>
      </c>
      <c r="I180" s="21"/>
      <c r="J180" s="21" t="str">
        <f>IFERROR(__xludf.DUMMYFUNCTION("""COMPUTED_VALUE"""),"#CartaoDeCredito #Cicero #Moradia #Essencial #Mercado #Variavel #Alimentação")</f>
        <v>#CartaoDeCredito #Cicero #Moradia #Essencial #Mercado #Variavel #Alimentação</v>
      </c>
      <c r="K180" s="216"/>
      <c r="L180" s="216"/>
      <c r="M180" s="216"/>
      <c r="N180" s="216"/>
      <c r="O180" s="216"/>
      <c r="P180" s="216"/>
      <c r="Q180" s="216"/>
    </row>
    <row r="181">
      <c r="A181" s="11" t="str">
        <f>IFERROR(__xludf.DUMMYFUNCTION("""COMPUTED_VALUE"""),"CREDITO")</f>
        <v>CREDITO</v>
      </c>
      <c r="B181" s="98" t="str">
        <f>IFERROR(__xludf.DUMMYFUNCTION("""COMPUTED_VALUE"""),"estacionamento - andromeda - Exames")</f>
        <v>estacionamento - andromeda - Exames</v>
      </c>
      <c r="C181" s="13"/>
      <c r="D181" s="13"/>
      <c r="E181" s="13">
        <f>IFERROR(__xludf.DUMMYFUNCTION("""COMPUTED_VALUE"""),2.0)</f>
        <v>2</v>
      </c>
      <c r="F181" s="15">
        <f>IFERROR(__xludf.DUMMYFUNCTION("""COMPUTED_VALUE"""),44231.0)</f>
        <v>44231</v>
      </c>
      <c r="G181" s="16"/>
      <c r="H181" s="227">
        <f>IFERROR(__xludf.DUMMYFUNCTION("""COMPUTED_VALUE"""),4.0)</f>
        <v>4</v>
      </c>
      <c r="I181" s="21"/>
      <c r="J181" s="21" t="str">
        <f>IFERROR(__xludf.DUMMYFUNCTION("""COMPUTED_VALUE"""),"#CartaoDeCredito #Cicero #Carro #Estacionamento #Variavel")</f>
        <v>#CartaoDeCredito #Cicero #Carro #Estacionamento #Variavel</v>
      </c>
      <c r="K181" s="216"/>
      <c r="L181" s="216"/>
      <c r="M181" s="216"/>
      <c r="N181" s="216"/>
      <c r="O181" s="216"/>
      <c r="P181" s="216"/>
      <c r="Q181" s="216"/>
    </row>
    <row r="182">
      <c r="A182" s="11" t="str">
        <f>IFERROR(__xludf.DUMMYFUNCTION("""COMPUTED_VALUE"""),"CREDITO")</f>
        <v>CREDITO</v>
      </c>
      <c r="B182" s="98" t="str">
        <f>IFERROR(__xludf.DUMMYFUNCTION("""COMPUTED_VALUE"""),"Farmácia - byo fórmula")</f>
        <v>Farmácia - byo fórmula</v>
      </c>
      <c r="C182" s="13"/>
      <c r="D182" s="13"/>
      <c r="E182" s="13">
        <f>IFERROR(__xludf.DUMMYFUNCTION("""COMPUTED_VALUE"""),2.0)</f>
        <v>2</v>
      </c>
      <c r="F182" s="15">
        <f>IFERROR(__xludf.DUMMYFUNCTION("""COMPUTED_VALUE"""),44231.0)</f>
        <v>44231</v>
      </c>
      <c r="G182" s="16"/>
      <c r="H182" s="227">
        <f>IFERROR(__xludf.DUMMYFUNCTION("""COMPUTED_VALUE"""),70.0)</f>
        <v>70</v>
      </c>
      <c r="I182" s="21"/>
      <c r="J182" s="21" t="str">
        <f>IFERROR(__xludf.DUMMYFUNCTION("""COMPUTED_VALUE"""),"#CartaoDeCredito #Cicero #Remedios #Variavel ")</f>
        <v>#CartaoDeCredito #Cicero #Remedios #Variavel </v>
      </c>
      <c r="K182" s="216"/>
      <c r="L182" s="216"/>
      <c r="M182" s="216"/>
      <c r="N182" s="216"/>
      <c r="O182" s="216"/>
      <c r="P182" s="216"/>
      <c r="Q182" s="216"/>
    </row>
    <row r="183">
      <c r="A183" s="11" t="str">
        <f>IFERROR(__xludf.DUMMYFUNCTION("""COMPUTED_VALUE"""),"CREDITO")</f>
        <v>CREDITO</v>
      </c>
      <c r="B183" s="98" t="str">
        <f>IFERROR(__xludf.DUMMYFUNCTION("""COMPUTED_VALUE"""),"Levitar SJC - sorvetes")</f>
        <v>Levitar SJC - sorvetes</v>
      </c>
      <c r="C183" s="13"/>
      <c r="D183" s="13"/>
      <c r="E183" s="13">
        <f>IFERROR(__xludf.DUMMYFUNCTION("""COMPUTED_VALUE"""),2.0)</f>
        <v>2</v>
      </c>
      <c r="F183" s="15">
        <f>IFERROR(__xludf.DUMMYFUNCTION("""COMPUTED_VALUE"""),44231.0)</f>
        <v>44231</v>
      </c>
      <c r="G183" s="16"/>
      <c r="H183" s="227">
        <f>IFERROR(__xludf.DUMMYFUNCTION("""COMPUTED_VALUE"""),43.8)</f>
        <v>43.8</v>
      </c>
      <c r="I183" s="21"/>
      <c r="J183" s="21" t="str">
        <f>IFERROR(__xludf.DUMMYFUNCTION("""COMPUTED_VALUE"""),"#CartaoDeCredito #Cicero #Lazer #Comida #Variavel")</f>
        <v>#CartaoDeCredito #Cicero #Lazer #Comida #Variavel</v>
      </c>
      <c r="K183" s="216"/>
      <c r="L183" s="216"/>
      <c r="M183" s="216"/>
      <c r="N183" s="216"/>
      <c r="O183" s="216"/>
      <c r="P183" s="216"/>
      <c r="Q183" s="216"/>
    </row>
    <row r="184">
      <c r="A184" s="11" t="str">
        <f>IFERROR(__xludf.DUMMYFUNCTION("""COMPUTED_VALUE"""),"CREDITO")</f>
        <v>CREDITO</v>
      </c>
      <c r="B184" s="98" t="str">
        <f>IFERROR(__xludf.DUMMYFUNCTION("""COMPUTED_VALUE"""),"McDonalds - Drive Thru Av. Andromeda SJC")</f>
        <v>McDonalds - Drive Thru Av. Andromeda SJC</v>
      </c>
      <c r="C184" s="13"/>
      <c r="D184" s="13"/>
      <c r="E184" s="13">
        <f>IFERROR(__xludf.DUMMYFUNCTION("""COMPUTED_VALUE"""),2.0)</f>
        <v>2</v>
      </c>
      <c r="F184" s="15">
        <f>IFERROR(__xludf.DUMMYFUNCTION("""COMPUTED_VALUE"""),44232.0)</f>
        <v>44232</v>
      </c>
      <c r="G184" s="16"/>
      <c r="H184" s="227">
        <f>IFERROR(__xludf.DUMMYFUNCTION("""COMPUTED_VALUE"""),112.0)</f>
        <v>112</v>
      </c>
      <c r="I184" s="21"/>
      <c r="J184" s="21" t="str">
        <f>IFERROR(__xludf.DUMMYFUNCTION("""COMPUTED_VALUE"""),"#CartaoDeCredito #Cicero #Lazer #Comida #Variavel")</f>
        <v>#CartaoDeCredito #Cicero #Lazer #Comida #Variavel</v>
      </c>
      <c r="K184" s="216"/>
      <c r="L184" s="216"/>
      <c r="M184" s="216"/>
      <c r="N184" s="216"/>
      <c r="O184" s="216"/>
      <c r="P184" s="216"/>
      <c r="Q184" s="216"/>
    </row>
    <row r="185">
      <c r="A185" s="11" t="str">
        <f>IFERROR(__xludf.DUMMYFUNCTION("""COMPUTED_VALUE"""),"CREDITO")</f>
        <v>CREDITO</v>
      </c>
      <c r="B185" s="98" t="str">
        <f>IFERROR(__xludf.DUMMYFUNCTION("""COMPUTED_VALUE"""),"Drogaria São Paulo - Internet")</f>
        <v>Drogaria São Paulo - Internet</v>
      </c>
      <c r="C185" s="13"/>
      <c r="D185" s="13"/>
      <c r="E185" s="13">
        <f>IFERROR(__xludf.DUMMYFUNCTION("""COMPUTED_VALUE"""),2.0)</f>
        <v>2</v>
      </c>
      <c r="F185" s="15">
        <f>IFERROR(__xludf.DUMMYFUNCTION("""COMPUTED_VALUE"""),44232.0)</f>
        <v>44232</v>
      </c>
      <c r="G185" s="16"/>
      <c r="H185" s="227">
        <f>IFERROR(__xludf.DUMMYFUNCTION("""COMPUTED_VALUE"""),49.65)</f>
        <v>49.65</v>
      </c>
      <c r="I185" s="21"/>
      <c r="J185" s="21" t="str">
        <f>IFERROR(__xludf.DUMMYFUNCTION("""COMPUTED_VALUE"""),"#CartaoDeCredito #Cicero #Remedios #Carlos #Variavel ")</f>
        <v>#CartaoDeCredito #Cicero #Remedios #Carlos #Variavel </v>
      </c>
      <c r="K185" s="216"/>
      <c r="L185" s="216"/>
      <c r="M185" s="216"/>
      <c r="N185" s="216"/>
      <c r="O185" s="216"/>
      <c r="P185" s="216"/>
      <c r="Q185" s="216"/>
    </row>
    <row r="186">
      <c r="A186" s="11" t="str">
        <f>IFERROR(__xludf.DUMMYFUNCTION("""COMPUTED_VALUE"""),"CREDITO")</f>
        <v>CREDITO</v>
      </c>
      <c r="B186" s="98" t="str">
        <f>IFERROR(__xludf.DUMMYFUNCTION("""COMPUTED_VALUE"""),"Farma Conde - Av Andrômeda")</f>
        <v>Farma Conde - Av Andrômeda</v>
      </c>
      <c r="C186" s="13"/>
      <c r="D186" s="13"/>
      <c r="E186" s="13">
        <f>IFERROR(__xludf.DUMMYFUNCTION("""COMPUTED_VALUE"""),2.0)</f>
        <v>2</v>
      </c>
      <c r="F186" s="15">
        <f>IFERROR(__xludf.DUMMYFUNCTION("""COMPUTED_VALUE"""),44232.0)</f>
        <v>44232</v>
      </c>
      <c r="G186" s="16"/>
      <c r="H186" s="227">
        <f>IFERROR(__xludf.DUMMYFUNCTION("""COMPUTED_VALUE"""),18.52)</f>
        <v>18.52</v>
      </c>
      <c r="I186" s="21"/>
      <c r="J186" s="21" t="str">
        <f>IFERROR(__xludf.DUMMYFUNCTION("""COMPUTED_VALUE"""),"#CartaoDeCredito #Cicero #Remedios #Carlos #Variavel ")</f>
        <v>#CartaoDeCredito #Cicero #Remedios #Carlos #Variavel </v>
      </c>
      <c r="K186" s="216"/>
      <c r="L186" s="216"/>
      <c r="M186" s="216"/>
      <c r="N186" s="216"/>
      <c r="O186" s="216"/>
      <c r="P186" s="216"/>
      <c r="Q186" s="216"/>
    </row>
    <row r="187">
      <c r="A187" s="11" t="str">
        <f>IFERROR(__xludf.DUMMYFUNCTION("""COMPUTED_VALUE"""),"CREDITO")</f>
        <v>CREDITO</v>
      </c>
      <c r="B187" s="98" t="str">
        <f>IFERROR(__xludf.DUMMYFUNCTION("""COMPUTED_VALUE"""),"Lojas Americanas - internet")</f>
        <v>Lojas Americanas - internet</v>
      </c>
      <c r="C187" s="13"/>
      <c r="D187" s="13"/>
      <c r="E187" s="13">
        <f>IFERROR(__xludf.DUMMYFUNCTION("""COMPUTED_VALUE"""),2.0)</f>
        <v>2</v>
      </c>
      <c r="F187" s="15">
        <f>IFERROR(__xludf.DUMMYFUNCTION("""COMPUTED_VALUE"""),44232.0)</f>
        <v>44232</v>
      </c>
      <c r="G187" s="16"/>
      <c r="H187" s="227">
        <f>IFERROR(__xludf.DUMMYFUNCTION("""COMPUTED_VALUE"""),143.92)</f>
        <v>143.92</v>
      </c>
      <c r="I187" s="21"/>
      <c r="J187" s="21" t="str">
        <f>IFERROR(__xludf.DUMMYFUNCTION("""COMPUTED_VALUE"""),"#CartaoDeCredito #Cicero #Remedios #Carlos #Variavel ")</f>
        <v>#CartaoDeCredito #Cicero #Remedios #Carlos #Variavel </v>
      </c>
      <c r="K187" s="216"/>
      <c r="L187" s="216"/>
      <c r="M187" s="216"/>
      <c r="N187" s="216"/>
      <c r="O187" s="216"/>
      <c r="P187" s="216"/>
      <c r="Q187" s="216"/>
    </row>
    <row r="188">
      <c r="A188" s="11" t="str">
        <f>IFERROR(__xludf.DUMMYFUNCTION("""COMPUTED_VALUE"""),"CREDITO")</f>
        <v>CREDITO</v>
      </c>
      <c r="B188" s="98" t="str">
        <f>IFERROR(__xludf.DUMMYFUNCTION("""COMPUTED_VALUE"""),"Vitella de prata SJC - churrasco")</f>
        <v>Vitella de prata SJC - churrasco</v>
      </c>
      <c r="C188" s="13"/>
      <c r="D188" s="13"/>
      <c r="E188" s="13">
        <f>IFERROR(__xludf.DUMMYFUNCTION("""COMPUTED_VALUE"""),2.0)</f>
        <v>2</v>
      </c>
      <c r="F188" s="15">
        <f>IFERROR(__xludf.DUMMYFUNCTION("""COMPUTED_VALUE"""),44234.0)</f>
        <v>44234</v>
      </c>
      <c r="G188" s="16"/>
      <c r="H188" s="227">
        <f>IFERROR(__xludf.DUMMYFUNCTION("""COMPUTED_VALUE"""),65.95)</f>
        <v>65.95</v>
      </c>
      <c r="I188" s="21"/>
      <c r="J188" s="21" t="str">
        <f>IFERROR(__xludf.DUMMYFUNCTION("""COMPUTED_VALUE"""),"#CartaoDeCredito #Cicero #Lazer #Comida #Variavel")</f>
        <v>#CartaoDeCredito #Cicero #Lazer #Comida #Variavel</v>
      </c>
      <c r="K188" s="216"/>
      <c r="L188" s="216"/>
      <c r="M188" s="216"/>
      <c r="N188" s="216"/>
      <c r="O188" s="216"/>
      <c r="P188" s="216"/>
      <c r="Q188" s="216"/>
    </row>
    <row r="189">
      <c r="A189" s="11" t="str">
        <f>IFERROR(__xludf.DUMMYFUNCTION("""COMPUTED_VALUE"""),"CREDITO")</f>
        <v>CREDITO</v>
      </c>
      <c r="B189" s="98" t="str">
        <f>IFERROR(__xludf.DUMMYFUNCTION("""COMPUTED_VALUE"""),"Levitar SJC - sorvetes")</f>
        <v>Levitar SJC - sorvetes</v>
      </c>
      <c r="C189" s="13"/>
      <c r="D189" s="13"/>
      <c r="E189" s="13">
        <f>IFERROR(__xludf.DUMMYFUNCTION("""COMPUTED_VALUE"""),2.0)</f>
        <v>2</v>
      </c>
      <c r="F189" s="15">
        <f>IFERROR(__xludf.DUMMYFUNCTION("""COMPUTED_VALUE"""),44234.0)</f>
        <v>44234</v>
      </c>
      <c r="G189" s="16"/>
      <c r="H189" s="227">
        <f>IFERROR(__xludf.DUMMYFUNCTION("""COMPUTED_VALUE"""),38.8)</f>
        <v>38.8</v>
      </c>
      <c r="I189" s="21"/>
      <c r="J189" s="21" t="str">
        <f>IFERROR(__xludf.DUMMYFUNCTION("""COMPUTED_VALUE"""),"#CartaoDeCredito #Cicero #Lazer #Comida #Variavel")</f>
        <v>#CartaoDeCredito #Cicero #Lazer #Comida #Variavel</v>
      </c>
      <c r="K189" s="216"/>
      <c r="L189" s="216"/>
      <c r="M189" s="216"/>
      <c r="N189" s="216"/>
      <c r="O189" s="216"/>
      <c r="P189" s="216"/>
      <c r="Q189" s="216"/>
    </row>
    <row r="190">
      <c r="A190" s="11" t="str">
        <f>IFERROR(__xludf.DUMMYFUNCTION("""COMPUTED_VALUE"""),"CREDITO")</f>
        <v>CREDITO</v>
      </c>
      <c r="B190" s="98" t="str">
        <f>IFERROR(__xludf.DUMMYFUNCTION("""COMPUTED_VALUE"""),"estacionamento - andromeda - Correios")</f>
        <v>estacionamento - andromeda - Correios</v>
      </c>
      <c r="C190" s="13"/>
      <c r="D190" s="13"/>
      <c r="E190" s="13">
        <f>IFERROR(__xludf.DUMMYFUNCTION("""COMPUTED_VALUE"""),2.0)</f>
        <v>2</v>
      </c>
      <c r="F190" s="15">
        <f>IFERROR(__xludf.DUMMYFUNCTION("""COMPUTED_VALUE"""),44237.0)</f>
        <v>44237</v>
      </c>
      <c r="G190" s="16"/>
      <c r="H190" s="227">
        <f>IFERROR(__xludf.DUMMYFUNCTION("""COMPUTED_VALUE"""),4.0)</f>
        <v>4</v>
      </c>
      <c r="I190" s="21"/>
      <c r="J190" s="21" t="str">
        <f>IFERROR(__xludf.DUMMYFUNCTION("""COMPUTED_VALUE"""),"#CartaoDeCredito #Cicero #Carro #Estacionamento #Variavel")</f>
        <v>#CartaoDeCredito #Cicero #Carro #Estacionamento #Variavel</v>
      </c>
      <c r="K190" s="216"/>
      <c r="L190" s="216"/>
      <c r="M190" s="216"/>
      <c r="N190" s="216"/>
      <c r="O190" s="216"/>
      <c r="P190" s="216"/>
      <c r="Q190" s="216"/>
    </row>
    <row r="191">
      <c r="A191" s="11" t="str">
        <f>IFERROR(__xludf.DUMMYFUNCTION("""COMPUTED_VALUE"""),"CREDITO")</f>
        <v>CREDITO</v>
      </c>
      <c r="B191" s="98" t="str">
        <f>IFERROR(__xludf.DUMMYFUNCTION("""COMPUTED_VALUE"""),"Amazonprimebr")</f>
        <v>Amazonprimebr</v>
      </c>
      <c r="C191" s="13"/>
      <c r="D191" s="13"/>
      <c r="E191" s="13">
        <f>IFERROR(__xludf.DUMMYFUNCTION("""COMPUTED_VALUE"""),2.0)</f>
        <v>2</v>
      </c>
      <c r="F191" s="15">
        <f>IFERROR(__xludf.DUMMYFUNCTION("""COMPUTED_VALUE"""),44240.0)</f>
        <v>44240</v>
      </c>
      <c r="G191" s="16"/>
      <c r="H191" s="227">
        <f>IFERROR(__xludf.DUMMYFUNCTION("""COMPUTED_VALUE"""),9.9)</f>
        <v>9.9</v>
      </c>
      <c r="I191" s="21"/>
      <c r="J191" s="21" t="str">
        <f>IFERROR(__xludf.DUMMYFUNCTION("""COMPUTED_VALUE"""),"#CartaoDeCredito #Cicero #Streaming #Fixo ")</f>
        <v>#CartaoDeCredito #Cicero #Streaming #Fixo </v>
      </c>
      <c r="K191" s="216"/>
      <c r="L191" s="216"/>
      <c r="M191" s="216"/>
      <c r="N191" s="216"/>
      <c r="O191" s="216"/>
      <c r="P191" s="216"/>
      <c r="Q191" s="216"/>
    </row>
    <row r="192">
      <c r="A192" s="11" t="str">
        <f>IFERROR(__xludf.DUMMYFUNCTION("""COMPUTED_VALUE"""),"CREDITO")</f>
        <v>CREDITO</v>
      </c>
      <c r="B192" s="98" t="str">
        <f>IFERROR(__xludf.DUMMYFUNCTION("""COMPUTED_VALUE"""),"Uber - ida para a oficina Fix Center")</f>
        <v>Uber - ida para a oficina Fix Center</v>
      </c>
      <c r="C192" s="13"/>
      <c r="D192" s="13"/>
      <c r="E192" s="13">
        <f>IFERROR(__xludf.DUMMYFUNCTION("""COMPUTED_VALUE"""),2.0)</f>
        <v>2</v>
      </c>
      <c r="F192" s="15">
        <f>IFERROR(__xludf.DUMMYFUNCTION("""COMPUTED_VALUE"""),44246.0)</f>
        <v>44246</v>
      </c>
      <c r="G192" s="16"/>
      <c r="H192" s="227">
        <f>IFERROR(__xludf.DUMMYFUNCTION("""COMPUTED_VALUE"""),15.75)</f>
        <v>15.75</v>
      </c>
      <c r="I192" s="21"/>
      <c r="J192" s="21" t="str">
        <f>IFERROR(__xludf.DUMMYFUNCTION("""COMPUTED_VALUE"""),"#CartaoDeCredito #Cicero #Carro #Uber #Variavel")</f>
        <v>#CartaoDeCredito #Cicero #Carro #Uber #Variavel</v>
      </c>
      <c r="K192" s="216"/>
      <c r="L192" s="216"/>
      <c r="M192" s="216"/>
      <c r="N192" s="216"/>
      <c r="O192" s="216"/>
      <c r="P192" s="216"/>
      <c r="Q192" s="216"/>
    </row>
    <row r="193">
      <c r="A193" s="11"/>
      <c r="B193" s="98"/>
      <c r="C193" s="13"/>
      <c r="D193" s="13"/>
      <c r="E193" s="13">
        <f>IFERROR(__xludf.DUMMYFUNCTION("""COMPUTED_VALUE"""),2.0)</f>
        <v>2</v>
      </c>
      <c r="F193" s="15"/>
      <c r="G193" s="16"/>
      <c r="H193" s="227"/>
      <c r="I193" s="21"/>
      <c r="J193" s="21"/>
      <c r="K193" s="216"/>
      <c r="L193" s="216"/>
      <c r="M193" s="216"/>
      <c r="N193" s="216"/>
      <c r="O193" s="216"/>
      <c r="P193" s="216"/>
      <c r="Q193" s="216"/>
    </row>
    <row r="194">
      <c r="A194" s="11" t="str">
        <f>IFERROR(__xludf.DUMMYFUNCTION("""COMPUTED_VALUE"""),"CONTAS")</f>
        <v>CONTAS</v>
      </c>
      <c r="B194" s="98" t="str">
        <f>IFERROR(__xludf.DUMMYFUNCTION("""COMPUTED_VALUE"""),"Transferencia via PIX")</f>
        <v>Transferencia via PIX</v>
      </c>
      <c r="C194" s="13">
        <f>IFERROR(__xludf.DUMMYFUNCTION("""COMPUTED_VALUE"""),24.0)</f>
        <v>24</v>
      </c>
      <c r="D194" s="13" t="str">
        <f>IFERROR(__xludf.DUMMYFUNCTION("""COMPUTED_VALUE"""),"QUA.")</f>
        <v>QUA.</v>
      </c>
      <c r="E194" s="13">
        <f>IFERROR(__xludf.DUMMYFUNCTION("""COMPUTED_VALUE"""),2.0)</f>
        <v>2</v>
      </c>
      <c r="F194" s="15"/>
      <c r="G194" s="16"/>
      <c r="H194" s="227">
        <f>IFERROR(__xludf.DUMMYFUNCTION("""COMPUTED_VALUE"""),1000.0)</f>
        <v>1000</v>
      </c>
      <c r="I194" s="21" t="str">
        <f>IFERROR(__xludf.DUMMYFUNCTION("""COMPUTED_VALUE"""),"INTER-PJ")</f>
        <v>INTER-PJ</v>
      </c>
      <c r="J194" s="21"/>
      <c r="K194" s="216"/>
      <c r="L194" s="216"/>
      <c r="M194" s="216"/>
      <c r="N194" s="216"/>
      <c r="O194" s="216"/>
      <c r="P194" s="216"/>
      <c r="Q194" s="216"/>
    </row>
    <row r="195">
      <c r="A195" s="11" t="str">
        <f>IFERROR(__xludf.DUMMYFUNCTION("""COMPUTED_VALUE"""),"CONTAS")</f>
        <v>CONTAS</v>
      </c>
      <c r="B195" s="98" t="str">
        <f>IFERROR(__xludf.DUMMYFUNCTION("""COMPUTED_VALUE"""),"Recebimento via PIX")</f>
        <v>Recebimento via PIX</v>
      </c>
      <c r="C195" s="13">
        <f>IFERROR(__xludf.DUMMYFUNCTION("""COMPUTED_VALUE"""),24.0)</f>
        <v>24</v>
      </c>
      <c r="D195" s="13" t="str">
        <f>IFERROR(__xludf.DUMMYFUNCTION("""COMPUTED_VALUE"""),"QUA.")</f>
        <v>QUA.</v>
      </c>
      <c r="E195" s="13">
        <f>IFERROR(__xludf.DUMMYFUNCTION("""COMPUTED_VALUE"""),2.0)</f>
        <v>2</v>
      </c>
      <c r="F195" s="15"/>
      <c r="G195" s="16">
        <f>IFERROR(__xludf.DUMMYFUNCTION("""COMPUTED_VALUE"""),1000.0)</f>
        <v>1000</v>
      </c>
      <c r="H195" s="227"/>
      <c r="I195" s="21" t="str">
        <f>IFERROR(__xludf.DUMMYFUNCTION("""COMPUTED_VALUE"""),"NUBANK")</f>
        <v>NUBANK</v>
      </c>
      <c r="J195" s="21"/>
      <c r="K195" s="216"/>
      <c r="L195" s="216"/>
      <c r="M195" s="216"/>
      <c r="N195" s="216"/>
      <c r="O195" s="216"/>
      <c r="P195" s="216"/>
      <c r="Q195" s="216"/>
    </row>
    <row r="196">
      <c r="A196" s="11" t="str">
        <f>IFERROR(__xludf.DUMMYFUNCTION("""COMPUTED_VALUE"""),"PAGO")</f>
        <v>PAGO</v>
      </c>
      <c r="B196" s="98" t="str">
        <f>IFERROR(__xludf.DUMMYFUNCTION("""COMPUTED_VALUE"""),"Recarga TIM Cicero 11 948825242")</f>
        <v>Recarga TIM Cicero 11 948825242</v>
      </c>
      <c r="C196" s="13">
        <f>IFERROR(__xludf.DUMMYFUNCTION("""COMPUTED_VALUE"""),24.0)</f>
        <v>24</v>
      </c>
      <c r="D196" s="13" t="str">
        <f>IFERROR(__xludf.DUMMYFUNCTION("""COMPUTED_VALUE"""),"QUA.")</f>
        <v>QUA.</v>
      </c>
      <c r="E196" s="13">
        <f>IFERROR(__xludf.DUMMYFUNCTION("""COMPUTED_VALUE"""),2.0)</f>
        <v>2</v>
      </c>
      <c r="F196" s="15"/>
      <c r="G196" s="16"/>
      <c r="H196" s="227">
        <f>IFERROR(__xludf.DUMMYFUNCTION("""COMPUTED_VALUE"""),20.0)</f>
        <v>20</v>
      </c>
      <c r="I196" s="21" t="str">
        <f>IFERROR(__xludf.DUMMYFUNCTION("""COMPUTED_VALUE"""),"NUBANK")</f>
        <v>NUBANK</v>
      </c>
      <c r="J196" s="21" t="str">
        <f>IFERROR(__xludf.DUMMYFUNCTION("""COMPUTED_VALUE"""),"#Variavel #Recarga #TIM ")</f>
        <v>#Variavel #Recarga #TIM </v>
      </c>
      <c r="K196" s="216"/>
      <c r="L196" s="216"/>
      <c r="M196" s="216"/>
      <c r="N196" s="216"/>
      <c r="O196" s="216"/>
      <c r="P196" s="216"/>
      <c r="Q196" s="216"/>
    </row>
    <row r="197">
      <c r="A197" s="11" t="str">
        <f>IFERROR(__xludf.DUMMYFUNCTION("""COMPUTED_VALUE"""),"PAGO")</f>
        <v>PAGO</v>
      </c>
      <c r="B197" s="98" t="str">
        <f>IFERROR(__xludf.DUMMYFUNCTION("""COMPUTED_VALUE"""),"Elo Educacional: mensalidade(598,00) + material(137,00)")</f>
        <v>Elo Educacional: mensalidade(598,00) + material(137,00)</v>
      </c>
      <c r="C197" s="13">
        <f>IFERROR(__xludf.DUMMYFUNCTION("""COMPUTED_VALUE"""),24.0)</f>
        <v>24</v>
      </c>
      <c r="D197" s="13" t="str">
        <f>IFERROR(__xludf.DUMMYFUNCTION("""COMPUTED_VALUE"""),"QUA.")</f>
        <v>QUA.</v>
      </c>
      <c r="E197" s="13">
        <f>IFERROR(__xludf.DUMMYFUNCTION("""COMPUTED_VALUE"""),2.0)</f>
        <v>2</v>
      </c>
      <c r="F197" s="15"/>
      <c r="G197" s="16"/>
      <c r="H197" s="227">
        <f>IFERROR(__xludf.DUMMYFUNCTION("""COMPUTED_VALUE"""),814.66)</f>
        <v>814.66</v>
      </c>
      <c r="I197" s="21" t="str">
        <f>IFERROR(__xludf.DUMMYFUNCTION("""COMPUTED_VALUE"""),"INTER-PJ")</f>
        <v>INTER-PJ</v>
      </c>
      <c r="J197" s="21" t="str">
        <f>IFERROR(__xludf.DUMMYFUNCTION("""COMPUTED_VALUE"""),"#Essencial #Escola #Eduardo #Fixo")</f>
        <v>#Essencial #Escola #Eduardo #Fixo</v>
      </c>
      <c r="K197" s="216"/>
      <c r="L197" s="216"/>
      <c r="M197" s="216"/>
      <c r="N197" s="216"/>
      <c r="O197" s="216"/>
      <c r="P197" s="216"/>
      <c r="Q197" s="216"/>
    </row>
    <row r="198">
      <c r="A198" s="11" t="str">
        <f>IFERROR(__xludf.DUMMYFUNCTION("""COMPUTED_VALUE"""),"PAGO")</f>
        <v>PAGO</v>
      </c>
      <c r="B198" s="98" t="str">
        <f>IFERROR(__xludf.DUMMYFUNCTION("""COMPUTED_VALUE"""),"Recarga Alelo Refeição BRQ")</f>
        <v>Recarga Alelo Refeição BRQ</v>
      </c>
      <c r="C198" s="13">
        <f>IFERROR(__xludf.DUMMYFUNCTION("""COMPUTED_VALUE"""),25.0)</f>
        <v>25</v>
      </c>
      <c r="D198" s="13" t="str">
        <f>IFERROR(__xludf.DUMMYFUNCTION("""COMPUTED_VALUE"""),"QUI.")</f>
        <v>QUI.</v>
      </c>
      <c r="E198" s="13">
        <f>IFERROR(__xludf.DUMMYFUNCTION("""COMPUTED_VALUE"""),2.0)</f>
        <v>2</v>
      </c>
      <c r="F198" s="15"/>
      <c r="G198" s="16">
        <f>IFERROR(__xludf.DUMMYFUNCTION("""COMPUTED_VALUE"""),327.0)</f>
        <v>327</v>
      </c>
      <c r="H198" s="227"/>
      <c r="I198" s="21" t="str">
        <f>IFERROR(__xludf.DUMMYFUNCTION("""COMPUTED_VALUE"""),"ALELO-REF-BRQ")</f>
        <v>ALELO-REF-BRQ</v>
      </c>
      <c r="J198" s="21" t="str">
        <f>IFERROR(__xludf.DUMMYFUNCTION("""COMPUTED_VALUE"""),"#AleloRefeiçãoBRQ #Recebimentos #Fixo")</f>
        <v>#AleloRefeiçãoBRQ #Recebimentos #Fixo</v>
      </c>
      <c r="K198" s="216"/>
      <c r="L198" s="216"/>
      <c r="M198" s="216"/>
      <c r="N198" s="216"/>
      <c r="O198" s="216"/>
      <c r="P198" s="216"/>
      <c r="Q198" s="216"/>
    </row>
    <row r="199">
      <c r="A199" s="11" t="str">
        <f>IFERROR(__xludf.DUMMYFUNCTION("""COMPUTED_VALUE"""),"PAGO")</f>
        <v>PAGO</v>
      </c>
      <c r="B199" s="98" t="str">
        <f>IFERROR(__xludf.DUMMYFUNCTION("""COMPUTED_VALUE"""),"Recarga Alelo Alimentação BRQ")</f>
        <v>Recarga Alelo Alimentação BRQ</v>
      </c>
      <c r="C199" s="13">
        <f>IFERROR(__xludf.DUMMYFUNCTION("""COMPUTED_VALUE"""),25.0)</f>
        <v>25</v>
      </c>
      <c r="D199" s="13" t="str">
        <f>IFERROR(__xludf.DUMMYFUNCTION("""COMPUTED_VALUE"""),"QUI.")</f>
        <v>QUI.</v>
      </c>
      <c r="E199" s="13">
        <f>IFERROR(__xludf.DUMMYFUNCTION("""COMPUTED_VALUE"""),2.0)</f>
        <v>2</v>
      </c>
      <c r="F199" s="15"/>
      <c r="G199" s="16">
        <f>IFERROR(__xludf.DUMMYFUNCTION("""COMPUTED_VALUE"""),1500.0)</f>
        <v>1500</v>
      </c>
      <c r="H199" s="227"/>
      <c r="I199" s="21" t="str">
        <f>IFERROR(__xludf.DUMMYFUNCTION("""COMPUTED_VALUE"""),"ALELO-ALI-BRQ")</f>
        <v>ALELO-ALI-BRQ</v>
      </c>
      <c r="J199" s="21" t="str">
        <f>IFERROR(__xludf.DUMMYFUNCTION("""COMPUTED_VALUE"""),"#AleloAlimentaçãoBRQ #Recebimentos #Fixo")</f>
        <v>#AleloAlimentaçãoBRQ #Recebimentos #Fixo</v>
      </c>
      <c r="K199" s="216"/>
      <c r="L199" s="216"/>
      <c r="M199" s="216"/>
      <c r="N199" s="216"/>
      <c r="O199" s="216"/>
      <c r="P199" s="216"/>
      <c r="Q199" s="216"/>
    </row>
    <row r="200">
      <c r="A200" s="11" t="str">
        <f>IFERROR(__xludf.DUMMYFUNCTION("""COMPUTED_VALUE"""),"PAGO")</f>
        <v>PAGO</v>
      </c>
      <c r="B200" s="98" t="str">
        <f>IFERROR(__xludf.DUMMYFUNCTION("""COMPUTED_VALUE"""),"Chicken Beer")</f>
        <v>Chicken Beer</v>
      </c>
      <c r="C200" s="13">
        <f>IFERROR(__xludf.DUMMYFUNCTION("""COMPUTED_VALUE"""),26.0)</f>
        <v>26</v>
      </c>
      <c r="D200" s="13" t="str">
        <f>IFERROR(__xludf.DUMMYFUNCTION("""COMPUTED_VALUE"""),"SEX.")</f>
        <v>SEX.</v>
      </c>
      <c r="E200" s="13">
        <f>IFERROR(__xludf.DUMMYFUNCTION("""COMPUTED_VALUE"""),2.0)</f>
        <v>2</v>
      </c>
      <c r="F200" s="15"/>
      <c r="G200" s="16"/>
      <c r="H200" s="227">
        <f>IFERROR(__xludf.DUMMYFUNCTION("""COMPUTED_VALUE"""),62.9)</f>
        <v>62.9</v>
      </c>
      <c r="I200" s="21" t="str">
        <f>IFERROR(__xludf.DUMMYFUNCTION("""COMPUTED_VALUE"""),"ALELO-REF-BRQ")</f>
        <v>ALELO-REF-BRQ</v>
      </c>
      <c r="J200" s="21" t="str">
        <f>IFERROR(__xludf.DUMMYFUNCTION("""COMPUTED_VALUE"""),"#Lazer #Comida #Variavel")</f>
        <v>#Lazer #Comida #Variavel</v>
      </c>
      <c r="K200" s="216"/>
      <c r="L200" s="216"/>
      <c r="M200" s="216"/>
      <c r="N200" s="216"/>
      <c r="O200" s="216"/>
      <c r="P200" s="216"/>
      <c r="Q200" s="216"/>
    </row>
    <row r="201">
      <c r="A201" s="11" t="str">
        <f>IFERROR(__xludf.DUMMYFUNCTION("""COMPUTED_VALUE"""),"PAGO")</f>
        <v>PAGO</v>
      </c>
      <c r="B201" s="98" t="str">
        <f>IFERROR(__xludf.DUMMYFUNCTION("""COMPUTED_VALUE"""),"Shibata")</f>
        <v>Shibata</v>
      </c>
      <c r="C201" s="13">
        <f>IFERROR(__xludf.DUMMYFUNCTION("""COMPUTED_VALUE"""),27.0)</f>
        <v>27</v>
      </c>
      <c r="D201" s="13" t="str">
        <f>IFERROR(__xludf.DUMMYFUNCTION("""COMPUTED_VALUE"""),"SÁB.")</f>
        <v>SÁB.</v>
      </c>
      <c r="E201" s="13">
        <f>IFERROR(__xludf.DUMMYFUNCTION("""COMPUTED_VALUE"""),2.0)</f>
        <v>2</v>
      </c>
      <c r="F201" s="15"/>
      <c r="G201" s="16"/>
      <c r="H201" s="227">
        <f>IFERROR(__xludf.DUMMYFUNCTION("""COMPUTED_VALUE"""),236.38)</f>
        <v>236.38</v>
      </c>
      <c r="I201" s="21" t="str">
        <f>IFERROR(__xludf.DUMMYFUNCTION("""COMPUTED_VALUE"""),"ALELO-ALI-BRQ")</f>
        <v>ALELO-ALI-BRQ</v>
      </c>
      <c r="J201" s="21" t="str">
        <f>IFERROR(__xludf.DUMMYFUNCTION("""COMPUTED_VALUE"""),"#Moradia #Essencial #Mercado #Variavel #Alimentação ")</f>
        <v>#Moradia #Essencial #Mercado #Variavel #Alimentação </v>
      </c>
      <c r="K201" s="216"/>
      <c r="L201" s="216"/>
      <c r="M201" s="216"/>
      <c r="N201" s="216"/>
      <c r="O201" s="216"/>
      <c r="P201" s="216"/>
      <c r="Q201" s="216"/>
    </row>
    <row r="202">
      <c r="A202" s="11" t="str">
        <f>IFERROR(__xludf.DUMMYFUNCTION("""COMPUTED_VALUE"""),"PAGO")</f>
        <v>PAGO</v>
      </c>
      <c r="B202" s="98" t="str">
        <f>IFERROR(__xludf.DUMMYFUNCTION("""COMPUTED_VALUE"""),"Farmácia Pague Menos")</f>
        <v>Farmácia Pague Menos</v>
      </c>
      <c r="C202" s="13">
        <f>IFERROR(__xludf.DUMMYFUNCTION("""COMPUTED_VALUE"""),27.0)</f>
        <v>27</v>
      </c>
      <c r="D202" s="13" t="str">
        <f>IFERROR(__xludf.DUMMYFUNCTION("""COMPUTED_VALUE"""),"SÁB.")</f>
        <v>SÁB.</v>
      </c>
      <c r="E202" s="13">
        <f>IFERROR(__xludf.DUMMYFUNCTION("""COMPUTED_VALUE"""),2.0)</f>
        <v>2</v>
      </c>
      <c r="F202" s="15"/>
      <c r="G202" s="16"/>
      <c r="H202" s="227">
        <f>IFERROR(__xludf.DUMMYFUNCTION("""COMPUTED_VALUE"""),19.0)</f>
        <v>19</v>
      </c>
      <c r="I202" s="21" t="str">
        <f>IFERROR(__xludf.DUMMYFUNCTION("""COMPUTED_VALUE"""),"INTER-PJ")</f>
        <v>INTER-PJ</v>
      </c>
      <c r="J202" s="21" t="str">
        <f>IFERROR(__xludf.DUMMYFUNCTION("""COMPUTED_VALUE"""),"#Remedios #Carlos #Eduardo #Variavel ")</f>
        <v>#Remedios #Carlos #Eduardo #Variavel </v>
      </c>
      <c r="K202" s="216"/>
      <c r="L202" s="216"/>
      <c r="M202" s="216"/>
      <c r="N202" s="216"/>
      <c r="O202" s="216"/>
      <c r="P202" s="216"/>
      <c r="Q202" s="216"/>
    </row>
    <row r="203">
      <c r="A203" s="11" t="str">
        <f>IFERROR(__xludf.DUMMYFUNCTION("""COMPUTED_VALUE"""),"PAGO")</f>
        <v>PAGO</v>
      </c>
      <c r="B203" s="98" t="str">
        <f>IFERROR(__xludf.DUMMYFUNCTION("""COMPUTED_VALUE"""),"Droga Quinze")</f>
        <v>Droga Quinze</v>
      </c>
      <c r="C203" s="13">
        <f>IFERROR(__xludf.DUMMYFUNCTION("""COMPUTED_VALUE"""),27.0)</f>
        <v>27</v>
      </c>
      <c r="D203" s="13" t="str">
        <f>IFERROR(__xludf.DUMMYFUNCTION("""COMPUTED_VALUE"""),"SÁB.")</f>
        <v>SÁB.</v>
      </c>
      <c r="E203" s="13">
        <f>IFERROR(__xludf.DUMMYFUNCTION("""COMPUTED_VALUE"""),2.0)</f>
        <v>2</v>
      </c>
      <c r="F203" s="15"/>
      <c r="G203" s="16"/>
      <c r="H203" s="227">
        <f>IFERROR(__xludf.DUMMYFUNCTION("""COMPUTED_VALUE"""),60.27)</f>
        <v>60.27</v>
      </c>
      <c r="I203" s="21" t="str">
        <f>IFERROR(__xludf.DUMMYFUNCTION("""COMPUTED_VALUE"""),"INTER-PJ")</f>
        <v>INTER-PJ</v>
      </c>
      <c r="J203" s="21" t="str">
        <f>IFERROR(__xludf.DUMMYFUNCTION("""COMPUTED_VALUE"""),"#Remedios #Carlos #Eduardo #Variavel ")</f>
        <v>#Remedios #Carlos #Eduardo #Variavel </v>
      </c>
      <c r="K203" s="216"/>
      <c r="L203" s="216"/>
      <c r="M203" s="216"/>
      <c r="N203" s="216"/>
      <c r="O203" s="216"/>
      <c r="P203" s="216"/>
      <c r="Q203" s="216"/>
    </row>
    <row r="204">
      <c r="A204" s="11" t="str">
        <f>IFERROR(__xludf.DUMMYFUNCTION("""COMPUTED_VALUE"""),"PAGO")</f>
        <v>PAGO</v>
      </c>
      <c r="B204" s="98" t="str">
        <f>IFERROR(__xludf.DUMMYFUNCTION("""COMPUTED_VALUE"""),"Brasileirinho SJC")</f>
        <v>Brasileirinho SJC</v>
      </c>
      <c r="C204" s="13">
        <f>IFERROR(__xludf.DUMMYFUNCTION("""COMPUTED_VALUE"""),27.0)</f>
        <v>27</v>
      </c>
      <c r="D204" s="13" t="str">
        <f>IFERROR(__xludf.DUMMYFUNCTION("""COMPUTED_VALUE"""),"SÁB.")</f>
        <v>SÁB.</v>
      </c>
      <c r="E204" s="13">
        <f>IFERROR(__xludf.DUMMYFUNCTION("""COMPUTED_VALUE"""),2.0)</f>
        <v>2</v>
      </c>
      <c r="F204" s="15"/>
      <c r="G204" s="16"/>
      <c r="H204" s="227">
        <f>IFERROR(__xludf.DUMMYFUNCTION("""COMPUTED_VALUE"""),46.0)</f>
        <v>46</v>
      </c>
      <c r="I204" s="21" t="str">
        <f>IFERROR(__xludf.DUMMYFUNCTION("""COMPUTED_VALUE"""),"ALELO-REF-BRQ")</f>
        <v>ALELO-REF-BRQ</v>
      </c>
      <c r="J204" s="21" t="str">
        <f>IFERROR(__xludf.DUMMYFUNCTION("""COMPUTED_VALUE"""),"#Lazer #Comida #Variavel")</f>
        <v>#Lazer #Comida #Variavel</v>
      </c>
      <c r="K204" s="216"/>
      <c r="L204" s="216"/>
      <c r="M204" s="216"/>
      <c r="N204" s="216"/>
      <c r="O204" s="216"/>
      <c r="P204" s="216"/>
      <c r="Q204" s="216"/>
    </row>
    <row r="205">
      <c r="A205" s="11" t="str">
        <f>IFERROR(__xludf.DUMMYFUNCTION("""COMPUTED_VALUE"""),"PAGO")</f>
        <v>PAGO</v>
      </c>
      <c r="B205" s="98" t="str">
        <f>IFERROR(__xludf.DUMMYFUNCTION("""COMPUTED_VALUE"""),"Levitar SJC - sorvetes")</f>
        <v>Levitar SJC - sorvetes</v>
      </c>
      <c r="C205" s="13">
        <f>IFERROR(__xludf.DUMMYFUNCTION("""COMPUTED_VALUE"""),28.0)</f>
        <v>28</v>
      </c>
      <c r="D205" s="13" t="str">
        <f>IFERROR(__xludf.DUMMYFUNCTION("""COMPUTED_VALUE"""),"DOM.")</f>
        <v>DOM.</v>
      </c>
      <c r="E205" s="13">
        <f>IFERROR(__xludf.DUMMYFUNCTION("""COMPUTED_VALUE"""),2.0)</f>
        <v>2</v>
      </c>
      <c r="F205" s="15"/>
      <c r="G205" s="16"/>
      <c r="H205" s="227">
        <f>IFERROR(__xludf.DUMMYFUNCTION("""COMPUTED_VALUE"""),23.2)</f>
        <v>23.2</v>
      </c>
      <c r="I205" s="21" t="str">
        <f>IFERROR(__xludf.DUMMYFUNCTION("""COMPUTED_VALUE"""),"ITAU")</f>
        <v>ITAU</v>
      </c>
      <c r="J205" s="21" t="str">
        <f>IFERROR(__xludf.DUMMYFUNCTION("""COMPUTED_VALUE"""),"#Lazer #Comida #Variavel")</f>
        <v>#Lazer #Comida #Variavel</v>
      </c>
      <c r="K205" s="216"/>
      <c r="L205" s="216"/>
      <c r="M205" s="216"/>
      <c r="N205" s="216"/>
      <c r="O205" s="216"/>
      <c r="P205" s="216"/>
      <c r="Q205" s="216"/>
    </row>
    <row r="206">
      <c r="A206" s="11" t="str">
        <f>IFERROR(__xludf.DUMMYFUNCTION("""COMPUTED_VALUE"""),"PAGO")</f>
        <v>PAGO</v>
      </c>
      <c r="B206" s="98" t="str">
        <f>IFERROR(__xludf.DUMMYFUNCTION("""COMPUTED_VALUE"""),"Vitella de Prata SJC")</f>
        <v>Vitella de Prata SJC</v>
      </c>
      <c r="C206" s="13">
        <f>IFERROR(__xludf.DUMMYFUNCTION("""COMPUTED_VALUE"""),28.0)</f>
        <v>28</v>
      </c>
      <c r="D206" s="13" t="str">
        <f>IFERROR(__xludf.DUMMYFUNCTION("""COMPUTED_VALUE"""),"DOM.")</f>
        <v>DOM.</v>
      </c>
      <c r="E206" s="13">
        <f>IFERROR(__xludf.DUMMYFUNCTION("""COMPUTED_VALUE"""),2.0)</f>
        <v>2</v>
      </c>
      <c r="F206" s="15"/>
      <c r="G206" s="16"/>
      <c r="H206" s="227">
        <f>IFERROR(__xludf.DUMMYFUNCTION("""COMPUTED_VALUE"""),21.47)</f>
        <v>21.47</v>
      </c>
      <c r="I206" s="21" t="str">
        <f>IFERROR(__xludf.DUMMYFUNCTION("""COMPUTED_VALUE"""),"ALELO-REF-BRQ")</f>
        <v>ALELO-REF-BRQ</v>
      </c>
      <c r="J206" s="21" t="str">
        <f>IFERROR(__xludf.DUMMYFUNCTION("""COMPUTED_VALUE"""),"#Lazer #Comida #Variavel")</f>
        <v>#Lazer #Comida #Variavel</v>
      </c>
      <c r="K206" s="216"/>
      <c r="L206" s="216"/>
      <c r="M206" s="216"/>
      <c r="N206" s="216"/>
      <c r="O206" s="216"/>
      <c r="P206" s="216"/>
      <c r="Q206" s="216"/>
    </row>
    <row r="207">
      <c r="A207" s="11" t="str">
        <f>IFERROR(__xludf.DUMMYFUNCTION("""COMPUTED_VALUE"""),"PAGO")</f>
        <v>PAGO</v>
      </c>
      <c r="B207" s="98" t="str">
        <f>IFERROR(__xludf.DUMMYFUNCTION("""COMPUTED_VALUE"""),"IPTU SJC")</f>
        <v>IPTU SJC</v>
      </c>
      <c r="C207" s="13">
        <f>IFERROR(__xludf.DUMMYFUNCTION("""COMPUTED_VALUE"""),28.0)</f>
        <v>28</v>
      </c>
      <c r="D207" s="13" t="str">
        <f>IFERROR(__xludf.DUMMYFUNCTION("""COMPUTED_VALUE"""),"DOM.")</f>
        <v>DOM.</v>
      </c>
      <c r="E207" s="13">
        <f>IFERROR(__xludf.DUMMYFUNCTION("""COMPUTED_VALUE"""),2.0)</f>
        <v>2</v>
      </c>
      <c r="F207" s="15"/>
      <c r="G207" s="16"/>
      <c r="H207" s="227">
        <f>IFERROR(__xludf.DUMMYFUNCTION("""COMPUTED_VALUE"""),509.12)</f>
        <v>509.12</v>
      </c>
      <c r="I207" s="21" t="str">
        <f>IFERROR(__xludf.DUMMYFUNCTION("""COMPUTED_VALUE"""),"INTER-PJ")</f>
        <v>INTER-PJ</v>
      </c>
      <c r="J207" s="21" t="str">
        <f>IFERROR(__xludf.DUMMYFUNCTION("""COMPUTED_VALUE"""),"#Moradia #Impostos #Variavel")</f>
        <v>#Moradia #Impostos #Variavel</v>
      </c>
      <c r="K207" s="216"/>
      <c r="L207" s="216"/>
      <c r="M207" s="216"/>
      <c r="N207" s="216"/>
      <c r="O207" s="216"/>
      <c r="P207" s="216"/>
      <c r="Q207" s="216"/>
    </row>
    <row r="208">
      <c r="A208" s="11"/>
      <c r="B208" s="98"/>
      <c r="C208" s="13"/>
      <c r="D208" s="13"/>
      <c r="E208" s="13"/>
      <c r="F208" s="15"/>
      <c r="G208" s="16"/>
      <c r="H208" s="227"/>
      <c r="I208" s="21"/>
      <c r="J208" s="21"/>
      <c r="K208" s="216"/>
      <c r="L208" s="216"/>
      <c r="M208" s="216"/>
      <c r="N208" s="216"/>
      <c r="O208" s="216"/>
      <c r="P208" s="216"/>
      <c r="Q208" s="216"/>
    </row>
    <row r="209">
      <c r="A209" s="11"/>
      <c r="B209" s="98"/>
      <c r="C209" s="13"/>
      <c r="D209" s="13"/>
      <c r="E209" s="13"/>
      <c r="F209" s="15"/>
      <c r="G209" s="16"/>
      <c r="H209" s="227"/>
      <c r="I209" s="21"/>
      <c r="J209" s="21"/>
      <c r="K209" s="216"/>
      <c r="L209" s="216"/>
      <c r="M209" s="216"/>
      <c r="N209" s="216"/>
      <c r="O209" s="216"/>
      <c r="P209" s="216"/>
      <c r="Q209" s="216"/>
    </row>
    <row r="210">
      <c r="A210" s="11"/>
      <c r="B210" s="98"/>
      <c r="C210" s="13"/>
      <c r="D210" s="13"/>
      <c r="E210" s="13"/>
      <c r="F210" s="15"/>
      <c r="G210" s="16"/>
      <c r="H210" s="227"/>
      <c r="I210" s="21"/>
      <c r="J210" s="21"/>
      <c r="K210" s="216"/>
      <c r="L210" s="216"/>
      <c r="M210" s="216"/>
      <c r="N210" s="216"/>
      <c r="O210" s="216"/>
      <c r="P210" s="216"/>
      <c r="Q210" s="216"/>
    </row>
    <row r="211">
      <c r="A211" s="11" t="str">
        <f>IFERROR(__xludf.DUMMYFUNCTION("""COMPUTED_VALUE"""),"PAGO")</f>
        <v>PAGO</v>
      </c>
      <c r="B211" s="98" t="str">
        <f>IFERROR(__xludf.DUMMYFUNCTION("""COMPUTED_VALUE"""),"Entrada mes anterior")</f>
        <v>Entrada mes anterior</v>
      </c>
      <c r="C211" s="13">
        <f>IFERROR(__xludf.DUMMYFUNCTION("""COMPUTED_VALUE"""),1.0)</f>
        <v>1</v>
      </c>
      <c r="D211" s="13" t="str">
        <f>IFERROR(__xludf.DUMMYFUNCTION("""COMPUTED_VALUE"""),"SEG.")</f>
        <v>SEG.</v>
      </c>
      <c r="E211" s="13">
        <f>IFERROR(__xludf.DUMMYFUNCTION("""COMPUTED_VALUE"""),3.0)</f>
        <v>3</v>
      </c>
      <c r="F211" s="15"/>
      <c r="G211" s="16">
        <f>IFERROR(__xludf.DUMMYFUNCTION("""COMPUTED_VALUE"""),541.5500000000011)</f>
        <v>541.55</v>
      </c>
      <c r="H211" s="227"/>
      <c r="I211" s="21" t="str">
        <f>IFERROR(__xludf.DUMMYFUNCTION("""COMPUTED_VALUE"""),"ITAU")</f>
        <v>ITAU</v>
      </c>
      <c r="J211" s="21" t="str">
        <f>IFERROR(__xludf.DUMMYFUNCTION("""COMPUTED_VALUE"""),"#Recebimentos #Ajuste #Variavel")</f>
        <v>#Recebimentos #Ajuste #Variavel</v>
      </c>
      <c r="K211" s="216"/>
      <c r="L211" s="216"/>
      <c r="M211" s="216"/>
      <c r="N211" s="216"/>
      <c r="O211" s="216"/>
      <c r="P211" s="216"/>
      <c r="Q211" s="216"/>
    </row>
    <row r="212">
      <c r="A212" s="11" t="str">
        <f>IFERROR(__xludf.DUMMYFUNCTION("""COMPUTED_VALUE"""),"PAGO")</f>
        <v>PAGO</v>
      </c>
      <c r="B212" s="98" t="str">
        <f>IFERROR(__xludf.DUMMYFUNCTION("""COMPUTED_VALUE"""),"Entrada mes anterior")</f>
        <v>Entrada mes anterior</v>
      </c>
      <c r="C212" s="13">
        <f>IFERROR(__xludf.DUMMYFUNCTION("""COMPUTED_VALUE"""),1.0)</f>
        <v>1</v>
      </c>
      <c r="D212" s="13" t="str">
        <f>IFERROR(__xludf.DUMMYFUNCTION("""COMPUTED_VALUE"""),"SEG.")</f>
        <v>SEG.</v>
      </c>
      <c r="E212" s="13">
        <f>IFERROR(__xludf.DUMMYFUNCTION("""COMPUTED_VALUE"""),3.0)</f>
        <v>3</v>
      </c>
      <c r="F212" s="15"/>
      <c r="G212" s="16">
        <f>IFERROR(__xludf.DUMMYFUNCTION("""COMPUTED_VALUE"""),2.849999999999909)</f>
        <v>2.85</v>
      </c>
      <c r="H212" s="227"/>
      <c r="I212" s="21" t="str">
        <f>IFERROR(__xludf.DUMMYFUNCTION("""COMPUTED_VALUE"""),"INTER")</f>
        <v>INTER</v>
      </c>
      <c r="J212" s="21" t="str">
        <f>IFERROR(__xludf.DUMMYFUNCTION("""COMPUTED_VALUE"""),"#Recebimentos #Ajuste #Variavel")</f>
        <v>#Recebimentos #Ajuste #Variavel</v>
      </c>
      <c r="K212" s="216"/>
      <c r="L212" s="216"/>
      <c r="M212" s="216"/>
      <c r="N212" s="216"/>
      <c r="O212" s="216"/>
      <c r="P212" s="216"/>
      <c r="Q212" s="216"/>
    </row>
    <row r="213">
      <c r="A213" s="11" t="str">
        <f>IFERROR(__xludf.DUMMYFUNCTION("""COMPUTED_VALUE"""),"PAGO")</f>
        <v>PAGO</v>
      </c>
      <c r="B213" s="98" t="str">
        <f>IFERROR(__xludf.DUMMYFUNCTION("""COMPUTED_VALUE"""),"Entrada mes anterior")</f>
        <v>Entrada mes anterior</v>
      </c>
      <c r="C213" s="13">
        <f>IFERROR(__xludf.DUMMYFUNCTION("""COMPUTED_VALUE"""),1.0)</f>
        <v>1</v>
      </c>
      <c r="D213" s="13" t="str">
        <f>IFERROR(__xludf.DUMMYFUNCTION("""COMPUTED_VALUE"""),"SEG.")</f>
        <v>SEG.</v>
      </c>
      <c r="E213" s="13">
        <f>IFERROR(__xludf.DUMMYFUNCTION("""COMPUTED_VALUE"""),3.0)</f>
        <v>3</v>
      </c>
      <c r="F213" s="15"/>
      <c r="G213" s="16">
        <f>IFERROR(__xludf.DUMMYFUNCTION("""COMPUTED_VALUE"""),1305.0499999999993)</f>
        <v>1305.05</v>
      </c>
      <c r="H213" s="227"/>
      <c r="I213" s="21" t="str">
        <f>IFERROR(__xludf.DUMMYFUNCTION("""COMPUTED_VALUE"""),"INTER-PJ")</f>
        <v>INTER-PJ</v>
      </c>
      <c r="J213" s="21" t="str">
        <f>IFERROR(__xludf.DUMMYFUNCTION("""COMPUTED_VALUE"""),"#Recebimentos #Ajuste #Variavel")</f>
        <v>#Recebimentos #Ajuste #Variavel</v>
      </c>
      <c r="K213" s="216"/>
      <c r="L213" s="216"/>
      <c r="M213" s="216"/>
      <c r="N213" s="216"/>
      <c r="O213" s="216"/>
      <c r="P213" s="216"/>
      <c r="Q213" s="216"/>
    </row>
    <row r="214">
      <c r="A214" s="11" t="str">
        <f>IFERROR(__xludf.DUMMYFUNCTION("""COMPUTED_VALUE"""),"PAGO")</f>
        <v>PAGO</v>
      </c>
      <c r="B214" s="98" t="str">
        <f>IFERROR(__xludf.DUMMYFUNCTION("""COMPUTED_VALUE"""),"Entrada mes anterior")</f>
        <v>Entrada mes anterior</v>
      </c>
      <c r="C214" s="13">
        <f>IFERROR(__xludf.DUMMYFUNCTION("""COMPUTED_VALUE"""),1.0)</f>
        <v>1</v>
      </c>
      <c r="D214" s="13" t="str">
        <f>IFERROR(__xludf.DUMMYFUNCTION("""COMPUTED_VALUE"""),"SEG.")</f>
        <v>SEG.</v>
      </c>
      <c r="E214" s="13">
        <f>IFERROR(__xludf.DUMMYFUNCTION("""COMPUTED_VALUE"""),3.0)</f>
        <v>3</v>
      </c>
      <c r="F214" s="15"/>
      <c r="G214" s="16">
        <f>IFERROR(__xludf.DUMMYFUNCTION("""COMPUTED_VALUE"""),285.27999999999975)</f>
        <v>285.28</v>
      </c>
      <c r="H214" s="227"/>
      <c r="I214" s="21" t="str">
        <f>IFERROR(__xludf.DUMMYFUNCTION("""COMPUTED_VALUE"""),"NUBANK")</f>
        <v>NUBANK</v>
      </c>
      <c r="J214" s="21" t="str">
        <f>IFERROR(__xludf.DUMMYFUNCTION("""COMPUTED_VALUE"""),"#Recebimentos #Ajuste #Variavel")</f>
        <v>#Recebimentos #Ajuste #Variavel</v>
      </c>
      <c r="K214" s="216"/>
      <c r="L214" s="216"/>
      <c r="M214" s="216"/>
      <c r="N214" s="216"/>
      <c r="O214" s="216"/>
      <c r="P214" s="216"/>
      <c r="Q214" s="216"/>
    </row>
    <row r="215">
      <c r="A215" s="11" t="str">
        <f>IFERROR(__xludf.DUMMYFUNCTION("""COMPUTED_VALUE"""),"PAGO")</f>
        <v>PAGO</v>
      </c>
      <c r="B215" s="98" t="str">
        <f>IFERROR(__xludf.DUMMYFUNCTION("""COMPUTED_VALUE"""),"Entrada mes anterior")</f>
        <v>Entrada mes anterior</v>
      </c>
      <c r="C215" s="13">
        <f>IFERROR(__xludf.DUMMYFUNCTION("""COMPUTED_VALUE"""),1.0)</f>
        <v>1</v>
      </c>
      <c r="D215" s="13" t="str">
        <f>IFERROR(__xludf.DUMMYFUNCTION("""COMPUTED_VALUE"""),"SEG.")</f>
        <v>SEG.</v>
      </c>
      <c r="E215" s="13">
        <f>IFERROR(__xludf.DUMMYFUNCTION("""COMPUTED_VALUE"""),3.0)</f>
        <v>3</v>
      </c>
      <c r="F215" s="15"/>
      <c r="G215" s="16">
        <f>IFERROR(__xludf.DUMMYFUNCTION("""COMPUTED_VALUE"""),9.52)</f>
        <v>9.52</v>
      </c>
      <c r="H215" s="227"/>
      <c r="I215" s="21" t="str">
        <f>IFERROR(__xludf.DUMMYFUNCTION("""COMPUTED_VALUE"""),"C6BANK")</f>
        <v>C6BANK</v>
      </c>
      <c r="J215" s="21" t="str">
        <f>IFERROR(__xludf.DUMMYFUNCTION("""COMPUTED_VALUE"""),"#Recebimentos #Ajuste #Variavel")</f>
        <v>#Recebimentos #Ajuste #Variavel</v>
      </c>
      <c r="K215" s="216"/>
      <c r="L215" s="216"/>
      <c r="M215" s="216"/>
      <c r="N215" s="216"/>
      <c r="O215" s="216"/>
      <c r="P215" s="216"/>
      <c r="Q215" s="216"/>
    </row>
    <row r="216">
      <c r="A216" s="11" t="str">
        <f>IFERROR(__xludf.DUMMYFUNCTION("""COMPUTED_VALUE"""),"PAGO")</f>
        <v>PAGO</v>
      </c>
      <c r="B216" s="98" t="str">
        <f>IFERROR(__xludf.DUMMYFUNCTION("""COMPUTED_VALUE"""),"Entrada mes anterior")</f>
        <v>Entrada mes anterior</v>
      </c>
      <c r="C216" s="13">
        <f>IFERROR(__xludf.DUMMYFUNCTION("""COMPUTED_VALUE"""),1.0)</f>
        <v>1</v>
      </c>
      <c r="D216" s="13" t="str">
        <f>IFERROR(__xludf.DUMMYFUNCTION("""COMPUTED_VALUE"""),"SEG.")</f>
        <v>SEG.</v>
      </c>
      <c r="E216" s="13">
        <f>IFERROR(__xludf.DUMMYFUNCTION("""COMPUTED_VALUE"""),3.0)</f>
        <v>3</v>
      </c>
      <c r="F216" s="15"/>
      <c r="G216" s="16">
        <f>IFERROR(__xludf.DUMMYFUNCTION("""COMPUTED_VALUE"""),419.58000000000004)</f>
        <v>419.58</v>
      </c>
      <c r="H216" s="227"/>
      <c r="I216" s="21" t="str">
        <f>IFERROR(__xludf.DUMMYFUNCTION("""COMPUTED_VALUE"""),"ALELO-REF-BRQ")</f>
        <v>ALELO-REF-BRQ</v>
      </c>
      <c r="J216" s="21" t="str">
        <f>IFERROR(__xludf.DUMMYFUNCTION("""COMPUTED_VALUE"""),"#Recebimentos #Ajuste #Variavel")</f>
        <v>#Recebimentos #Ajuste #Variavel</v>
      </c>
      <c r="K216" s="216"/>
      <c r="L216" s="216"/>
      <c r="M216" s="216"/>
      <c r="N216" s="216"/>
      <c r="O216" s="216"/>
      <c r="P216" s="216"/>
      <c r="Q216" s="216"/>
    </row>
    <row r="217">
      <c r="A217" s="11" t="str">
        <f>IFERROR(__xludf.DUMMYFUNCTION("""COMPUTED_VALUE"""),"PAGO")</f>
        <v>PAGO</v>
      </c>
      <c r="B217" s="98" t="str">
        <f>IFERROR(__xludf.DUMMYFUNCTION("""COMPUTED_VALUE"""),"Entrada mes anterior")</f>
        <v>Entrada mes anterior</v>
      </c>
      <c r="C217" s="13">
        <f>IFERROR(__xludf.DUMMYFUNCTION("""COMPUTED_VALUE"""),1.0)</f>
        <v>1</v>
      </c>
      <c r="D217" s="13" t="str">
        <f>IFERROR(__xludf.DUMMYFUNCTION("""COMPUTED_VALUE"""),"SEG.")</f>
        <v>SEG.</v>
      </c>
      <c r="E217" s="13">
        <f>IFERROR(__xludf.DUMMYFUNCTION("""COMPUTED_VALUE"""),3.0)</f>
        <v>3</v>
      </c>
      <c r="F217" s="15"/>
      <c r="G217" s="16">
        <f>IFERROR(__xludf.DUMMYFUNCTION("""COMPUTED_VALUE"""),2079.1)</f>
        <v>2079.1</v>
      </c>
      <c r="H217" s="227"/>
      <c r="I217" s="21" t="str">
        <f>IFERROR(__xludf.DUMMYFUNCTION("""COMPUTED_VALUE"""),"ALELO-ALI-BRQ")</f>
        <v>ALELO-ALI-BRQ</v>
      </c>
      <c r="J217" s="21" t="str">
        <f>IFERROR(__xludf.DUMMYFUNCTION("""COMPUTED_VALUE"""),"#Recebimentos #Ajuste #Variavel")</f>
        <v>#Recebimentos #Ajuste #Variavel</v>
      </c>
      <c r="K217" s="216"/>
      <c r="L217" s="216"/>
      <c r="M217" s="216"/>
      <c r="N217" s="216"/>
      <c r="O217" s="216"/>
      <c r="P217" s="216"/>
      <c r="Q217" s="216"/>
    </row>
    <row r="218">
      <c r="A218" s="11" t="str">
        <f>IFERROR(__xludf.DUMMYFUNCTION("""COMPUTED_VALUE"""),"PAGO")</f>
        <v>PAGO</v>
      </c>
      <c r="B218" s="98" t="str">
        <f>IFERROR(__xludf.DUMMYFUNCTION("""COMPUTED_VALUE"""),"Agua - DEBITO AUTO")</f>
        <v>Agua - DEBITO AUTO</v>
      </c>
      <c r="C218" s="13">
        <f>IFERROR(__xludf.DUMMYFUNCTION("""COMPUTED_VALUE"""),1.0)</f>
        <v>1</v>
      </c>
      <c r="D218" s="13" t="str">
        <f>IFERROR(__xludf.DUMMYFUNCTION("""COMPUTED_VALUE"""),"SEG.")</f>
        <v>SEG.</v>
      </c>
      <c r="E218" s="13">
        <f>IFERROR(__xludf.DUMMYFUNCTION("""COMPUTED_VALUE"""),3.0)</f>
        <v>3</v>
      </c>
      <c r="F218" s="15"/>
      <c r="G218" s="16"/>
      <c r="H218" s="227">
        <f>IFERROR(__xludf.DUMMYFUNCTION("""COMPUTED_VALUE"""),49.03)</f>
        <v>49.03</v>
      </c>
      <c r="I218" s="21" t="str">
        <f>IFERROR(__xludf.DUMMYFUNCTION("""COMPUTED_VALUE"""),"ITAU")</f>
        <v>ITAU</v>
      </c>
      <c r="J218" s="21" t="str">
        <f>IFERROR(__xludf.DUMMYFUNCTION("""COMPUTED_VALUE"""),"#Moradia #Essencial #Agua #Fixo")</f>
        <v>#Moradia #Essencial #Agua #Fixo</v>
      </c>
      <c r="K218" s="216"/>
      <c r="L218" s="216"/>
      <c r="M218" s="216"/>
      <c r="N218" s="216"/>
      <c r="O218" s="216"/>
      <c r="P218" s="216"/>
      <c r="Q218" s="216"/>
    </row>
    <row r="219">
      <c r="A219" s="11" t="str">
        <f>IFERROR(__xludf.DUMMYFUNCTION("""COMPUTED_VALUE"""),"PAGO")</f>
        <v>PAGO</v>
      </c>
      <c r="B219" s="98" t="str">
        <f>IFERROR(__xludf.DUMMYFUNCTION("""COMPUTED_VALUE"""),"Devolução Alelo Refeição BRQ")</f>
        <v>Devolução Alelo Refeição BRQ</v>
      </c>
      <c r="C219" s="13">
        <f>IFERROR(__xludf.DUMMYFUNCTION("""COMPUTED_VALUE"""),1.0)</f>
        <v>1</v>
      </c>
      <c r="D219" s="13" t="str">
        <f>IFERROR(__xludf.DUMMYFUNCTION("""COMPUTED_VALUE"""),"SEG.")</f>
        <v>SEG.</v>
      </c>
      <c r="E219" s="13">
        <f>IFERROR(__xludf.DUMMYFUNCTION("""COMPUTED_VALUE"""),3.0)</f>
        <v>3</v>
      </c>
      <c r="F219" s="15"/>
      <c r="G219" s="16"/>
      <c r="H219" s="227">
        <f>IFERROR(__xludf.DUMMYFUNCTION("""COMPUTED_VALUE"""),327.0)</f>
        <v>327</v>
      </c>
      <c r="I219" s="21" t="str">
        <f>IFERROR(__xludf.DUMMYFUNCTION("""COMPUTED_VALUE"""),"ALELO-REF-BRQ")</f>
        <v>ALELO-REF-BRQ</v>
      </c>
      <c r="J219" s="21" t="str">
        <f>IFERROR(__xludf.DUMMYFUNCTION("""COMPUTED_VALUE"""),"#AleloRefeiçãoBRQ #Recebimentos #Fixo")</f>
        <v>#AleloRefeiçãoBRQ #Recebimentos #Fixo</v>
      </c>
      <c r="K219" s="216"/>
      <c r="L219" s="216"/>
      <c r="M219" s="216"/>
      <c r="N219" s="216"/>
      <c r="O219" s="216"/>
      <c r="P219" s="216"/>
      <c r="Q219" s="216"/>
    </row>
    <row r="220">
      <c r="A220" s="11" t="str">
        <f>IFERROR(__xludf.DUMMYFUNCTION("""COMPUTED_VALUE"""),"PAGO")</f>
        <v>PAGO</v>
      </c>
      <c r="B220" s="98" t="str">
        <f>IFERROR(__xludf.DUMMYFUNCTION("""COMPUTED_VALUE"""),"Devolução Alelo Alimentação BRQ")</f>
        <v>Devolução Alelo Alimentação BRQ</v>
      </c>
      <c r="C220" s="13">
        <f>IFERROR(__xludf.DUMMYFUNCTION("""COMPUTED_VALUE"""),1.0)</f>
        <v>1</v>
      </c>
      <c r="D220" s="13" t="str">
        <f>IFERROR(__xludf.DUMMYFUNCTION("""COMPUTED_VALUE"""),"SEG.")</f>
        <v>SEG.</v>
      </c>
      <c r="E220" s="13">
        <f>IFERROR(__xludf.DUMMYFUNCTION("""COMPUTED_VALUE"""),3.0)</f>
        <v>3</v>
      </c>
      <c r="F220" s="15"/>
      <c r="G220" s="16"/>
      <c r="H220" s="227">
        <f>IFERROR(__xludf.DUMMYFUNCTION("""COMPUTED_VALUE"""),1500.0)</f>
        <v>1500</v>
      </c>
      <c r="I220" s="21" t="str">
        <f>IFERROR(__xludf.DUMMYFUNCTION("""COMPUTED_VALUE"""),"ALELO-ALI-BRQ")</f>
        <v>ALELO-ALI-BRQ</v>
      </c>
      <c r="J220" s="21" t="str">
        <f>IFERROR(__xludf.DUMMYFUNCTION("""COMPUTED_VALUE"""),"#AleloAlimentaçãoBRQ #Recebimentos #Fixo")</f>
        <v>#AleloAlimentaçãoBRQ #Recebimentos #Fixo</v>
      </c>
      <c r="K220" s="216"/>
      <c r="L220" s="216"/>
      <c r="M220" s="216"/>
      <c r="N220" s="216"/>
      <c r="O220" s="216"/>
      <c r="P220" s="216"/>
      <c r="Q220" s="216"/>
    </row>
    <row r="221">
      <c r="A221" s="11" t="str">
        <f>IFERROR(__xludf.DUMMYFUNCTION("""COMPUTED_VALUE"""),"PAGO")</f>
        <v>PAGO</v>
      </c>
      <c r="B221" s="98" t="str">
        <f>IFERROR(__xludf.DUMMYFUNCTION("""COMPUTED_VALUE"""),"Combustivel")</f>
        <v>Combustivel</v>
      </c>
      <c r="C221" s="13">
        <f>IFERROR(__xludf.DUMMYFUNCTION("""COMPUTED_VALUE"""),1.0)</f>
        <v>1</v>
      </c>
      <c r="D221" s="13" t="str">
        <f>IFERROR(__xludf.DUMMYFUNCTION("""COMPUTED_VALUE"""),"SEG.")</f>
        <v>SEG.</v>
      </c>
      <c r="E221" s="13">
        <f>IFERROR(__xludf.DUMMYFUNCTION("""COMPUTED_VALUE"""),3.0)</f>
        <v>3</v>
      </c>
      <c r="F221" s="15"/>
      <c r="G221" s="16"/>
      <c r="H221" s="227">
        <f>IFERROR(__xludf.DUMMYFUNCTION("""COMPUTED_VALUE"""),188.62)</f>
        <v>188.62</v>
      </c>
      <c r="I221" s="21" t="str">
        <f>IFERROR(__xludf.DUMMYFUNCTION("""COMPUTED_VALUE"""),"INTER-PJ")</f>
        <v>INTER-PJ</v>
      </c>
      <c r="J221" s="21" t="str">
        <f>IFERROR(__xludf.DUMMYFUNCTION("""COMPUTED_VALUE"""),"#Carro #Combustivel #Variavel")</f>
        <v>#Carro #Combustivel #Variavel</v>
      </c>
      <c r="K221" s="216"/>
      <c r="L221" s="216"/>
      <c r="M221" s="216"/>
      <c r="N221" s="216"/>
      <c r="O221" s="216"/>
      <c r="P221" s="216"/>
      <c r="Q221" s="216"/>
    </row>
    <row r="222">
      <c r="A222" s="11" t="str">
        <f>IFERROR(__xludf.DUMMYFUNCTION("""COMPUTED_VALUE"""),"PAGO")</f>
        <v>PAGO</v>
      </c>
      <c r="B222" s="98" t="str">
        <f>IFERROR(__xludf.DUMMYFUNCTION("""COMPUTED_VALUE"""),"Brasileirinho")</f>
        <v>Brasileirinho</v>
      </c>
      <c r="C222" s="13">
        <f>IFERROR(__xludf.DUMMYFUNCTION("""COMPUTED_VALUE"""),1.0)</f>
        <v>1</v>
      </c>
      <c r="D222" s="13" t="str">
        <f>IFERROR(__xludf.DUMMYFUNCTION("""COMPUTED_VALUE"""),"SEG.")</f>
        <v>SEG.</v>
      </c>
      <c r="E222" s="13">
        <f>IFERROR(__xludf.DUMMYFUNCTION("""COMPUTED_VALUE"""),3.0)</f>
        <v>3</v>
      </c>
      <c r="F222" s="15"/>
      <c r="G222" s="16"/>
      <c r="H222" s="227">
        <f>IFERROR(__xludf.DUMMYFUNCTION("""COMPUTED_VALUE"""),36.15)</f>
        <v>36.15</v>
      </c>
      <c r="I222" s="21" t="str">
        <f>IFERROR(__xludf.DUMMYFUNCTION("""COMPUTED_VALUE"""),"ALELO-ALI-BRQ")</f>
        <v>ALELO-ALI-BRQ</v>
      </c>
      <c r="J222" s="21" t="str">
        <f>IFERROR(__xludf.DUMMYFUNCTION("""COMPUTED_VALUE"""),"#Lazer #Comida #Variavel")</f>
        <v>#Lazer #Comida #Variavel</v>
      </c>
      <c r="K222" s="216"/>
      <c r="L222" s="216"/>
      <c r="M222" s="216"/>
      <c r="N222" s="216"/>
      <c r="O222" s="216"/>
      <c r="P222" s="216"/>
      <c r="Q222" s="216"/>
    </row>
    <row r="223">
      <c r="A223" s="11" t="str">
        <f>IFERROR(__xludf.DUMMYFUNCTION("""COMPUTED_VALUE"""),"PAGO")</f>
        <v>PAGO</v>
      </c>
      <c r="B223" s="98" t="str">
        <f>IFERROR(__xludf.DUMMYFUNCTION("""COMPUTED_VALUE"""),"Shibata")</f>
        <v>Shibata</v>
      </c>
      <c r="C223" s="13">
        <f>IFERROR(__xludf.DUMMYFUNCTION("""COMPUTED_VALUE"""),4.0)</f>
        <v>4</v>
      </c>
      <c r="D223" s="13" t="str">
        <f>IFERROR(__xludf.DUMMYFUNCTION("""COMPUTED_VALUE"""),"QUI.")</f>
        <v>QUI.</v>
      </c>
      <c r="E223" s="13">
        <f>IFERROR(__xludf.DUMMYFUNCTION("""COMPUTED_VALUE"""),3.0)</f>
        <v>3</v>
      </c>
      <c r="F223" s="15"/>
      <c r="G223" s="16"/>
      <c r="H223" s="227">
        <f>IFERROR(__xludf.DUMMYFUNCTION("""COMPUTED_VALUE"""),308.5)</f>
        <v>308.5</v>
      </c>
      <c r="I223" s="21" t="str">
        <f>IFERROR(__xludf.DUMMYFUNCTION("""COMPUTED_VALUE"""),"ALELO-ALI-BRQ")</f>
        <v>ALELO-ALI-BRQ</v>
      </c>
      <c r="J223" s="21" t="str">
        <f>IFERROR(__xludf.DUMMYFUNCTION("""COMPUTED_VALUE"""),"#Moradia #Essencial #Mercado #Variavel #Alimentação ")</f>
        <v>#Moradia #Essencial #Mercado #Variavel #Alimentação </v>
      </c>
      <c r="K223" s="216"/>
      <c r="L223" s="216"/>
      <c r="M223" s="216"/>
      <c r="N223" s="216"/>
      <c r="O223" s="216"/>
      <c r="P223" s="216"/>
      <c r="Q223" s="216"/>
    </row>
    <row r="224">
      <c r="A224" s="11" t="str">
        <f>IFERROR(__xludf.DUMMYFUNCTION("""COMPUTED_VALUE"""),"PAGO")</f>
        <v>PAGO</v>
      </c>
      <c r="B224" s="98" t="str">
        <f>IFERROR(__xludf.DUMMYFUNCTION("""COMPUTED_VALUE"""),"Shibata - Garrafa Térmica de Pressão")</f>
        <v>Shibata - Garrafa Térmica de Pressão</v>
      </c>
      <c r="C224" s="13">
        <f>IFERROR(__xludf.DUMMYFUNCTION("""COMPUTED_VALUE"""),4.0)</f>
        <v>4</v>
      </c>
      <c r="D224" s="13" t="str">
        <f>IFERROR(__xludf.DUMMYFUNCTION("""COMPUTED_VALUE"""),"QUI.")</f>
        <v>QUI.</v>
      </c>
      <c r="E224" s="13">
        <f>IFERROR(__xludf.DUMMYFUNCTION("""COMPUTED_VALUE"""),3.0)</f>
        <v>3</v>
      </c>
      <c r="F224" s="15"/>
      <c r="G224" s="16"/>
      <c r="H224" s="227">
        <f>IFERROR(__xludf.DUMMYFUNCTION("""COMPUTED_VALUE"""),69.9)</f>
        <v>69.9</v>
      </c>
      <c r="I224" s="21" t="str">
        <f>IFERROR(__xludf.DUMMYFUNCTION("""COMPUTED_VALUE"""),"ALELO-ALI-BRQ")</f>
        <v>ALELO-ALI-BRQ</v>
      </c>
      <c r="J224" s="21" t="str">
        <f>IFERROR(__xludf.DUMMYFUNCTION("""COMPUTED_VALUE"""),"#Moradia #Essencial #Mercado #Variavel #Alimentação ")</f>
        <v>#Moradia #Essencial #Mercado #Variavel #Alimentação </v>
      </c>
      <c r="K224" s="216"/>
      <c r="L224" s="216"/>
      <c r="M224" s="216"/>
      <c r="N224" s="216"/>
      <c r="O224" s="216"/>
      <c r="P224" s="216"/>
      <c r="Q224" s="216"/>
    </row>
    <row r="225">
      <c r="A225" s="11" t="str">
        <f>IFERROR(__xludf.DUMMYFUNCTION("""COMPUTED_VALUE"""),"PAGO")</f>
        <v>PAGO</v>
      </c>
      <c r="B225" s="98" t="str">
        <f>IFERROR(__xludf.DUMMYFUNCTION("""COMPUTED_VALUE"""),"Shibata - Pizza")</f>
        <v>Shibata - Pizza</v>
      </c>
      <c r="C225" s="13">
        <f>IFERROR(__xludf.DUMMYFUNCTION("""COMPUTED_VALUE"""),5.0)</f>
        <v>5</v>
      </c>
      <c r="D225" s="13" t="str">
        <f>IFERROR(__xludf.DUMMYFUNCTION("""COMPUTED_VALUE"""),"SEX.")</f>
        <v>SEX.</v>
      </c>
      <c r="E225" s="13">
        <f>IFERROR(__xludf.DUMMYFUNCTION("""COMPUTED_VALUE"""),3.0)</f>
        <v>3</v>
      </c>
      <c r="F225" s="15"/>
      <c r="G225" s="16"/>
      <c r="H225" s="227">
        <f>IFERROR(__xludf.DUMMYFUNCTION("""COMPUTED_VALUE"""),63.8)</f>
        <v>63.8</v>
      </c>
      <c r="I225" s="21" t="str">
        <f>IFERROR(__xludf.DUMMYFUNCTION("""COMPUTED_VALUE"""),"ALELO-REF-BRQ")</f>
        <v>ALELO-REF-BRQ</v>
      </c>
      <c r="J225" s="21" t="str">
        <f>IFERROR(__xludf.DUMMYFUNCTION("""COMPUTED_VALUE"""),"#Lazer #Comida #Variavel")</f>
        <v>#Lazer #Comida #Variavel</v>
      </c>
      <c r="K225" s="216"/>
      <c r="L225" s="216"/>
      <c r="M225" s="216"/>
      <c r="N225" s="216"/>
      <c r="O225" s="216"/>
      <c r="P225" s="216"/>
      <c r="Q225" s="216"/>
    </row>
    <row r="226">
      <c r="A226" s="11" t="str">
        <f>IFERROR(__xludf.DUMMYFUNCTION("""COMPUTED_VALUE"""),"PAGO")</f>
        <v>PAGO</v>
      </c>
      <c r="B226" s="98" t="str">
        <f>IFERROR(__xludf.DUMMYFUNCTION("""COMPUTED_VALUE"""),"Shibata")</f>
        <v>Shibata</v>
      </c>
      <c r="C226" s="13">
        <f>IFERROR(__xludf.DUMMYFUNCTION("""COMPUTED_VALUE"""),5.0)</f>
        <v>5</v>
      </c>
      <c r="D226" s="13" t="str">
        <f>IFERROR(__xludf.DUMMYFUNCTION("""COMPUTED_VALUE"""),"SEX.")</f>
        <v>SEX.</v>
      </c>
      <c r="E226" s="13">
        <f>IFERROR(__xludf.DUMMYFUNCTION("""COMPUTED_VALUE"""),3.0)</f>
        <v>3</v>
      </c>
      <c r="F226" s="15"/>
      <c r="G226" s="16"/>
      <c r="H226" s="227">
        <f>IFERROR(__xludf.DUMMYFUNCTION("""COMPUTED_VALUE"""),20.3)</f>
        <v>20.3</v>
      </c>
      <c r="I226" s="21" t="str">
        <f>IFERROR(__xludf.DUMMYFUNCTION("""COMPUTED_VALUE"""),"ALELO-REF-BRQ")</f>
        <v>ALELO-REF-BRQ</v>
      </c>
      <c r="J226" s="21" t="str">
        <f>IFERROR(__xludf.DUMMYFUNCTION("""COMPUTED_VALUE"""),"#Moradia #Essencial #Mercado #Variavel #Alimentação ")</f>
        <v>#Moradia #Essencial #Mercado #Variavel #Alimentação </v>
      </c>
      <c r="K226" s="216"/>
      <c r="L226" s="216"/>
      <c r="M226" s="216"/>
      <c r="N226" s="216"/>
      <c r="O226" s="216"/>
      <c r="P226" s="216"/>
      <c r="Q226" s="216"/>
    </row>
    <row r="227">
      <c r="A227" s="11" t="str">
        <f>IFERROR(__xludf.DUMMYFUNCTION("""COMPUTED_VALUE"""),"PAGO")</f>
        <v>PAGO</v>
      </c>
      <c r="B227" s="98" t="str">
        <f>IFERROR(__xludf.DUMMYFUNCTION("""COMPUTED_VALUE"""),"Resgate reserva de emergencia")</f>
        <v>Resgate reserva de emergencia</v>
      </c>
      <c r="C227" s="13">
        <f>IFERROR(__xludf.DUMMYFUNCTION("""COMPUTED_VALUE"""),8.0)</f>
        <v>8</v>
      </c>
      <c r="D227" s="13" t="str">
        <f>IFERROR(__xludf.DUMMYFUNCTION("""COMPUTED_VALUE"""),"SEG.")</f>
        <v>SEG.</v>
      </c>
      <c r="E227" s="13">
        <f>IFERROR(__xludf.DUMMYFUNCTION("""COMPUTED_VALUE"""),3.0)</f>
        <v>3</v>
      </c>
      <c r="F227" s="15"/>
      <c r="G227" s="16">
        <f>IFERROR(__xludf.DUMMYFUNCTION("""COMPUTED_VALUE"""),6000.0)</f>
        <v>6000</v>
      </c>
      <c r="H227" s="227"/>
      <c r="I227" s="21" t="str">
        <f>IFERROR(__xludf.DUMMYFUNCTION("""COMPUTED_VALUE"""),"NUBANK")</f>
        <v>NUBANK</v>
      </c>
      <c r="J227" s="21" t="str">
        <f>IFERROR(__xludf.DUMMYFUNCTION("""COMPUTED_VALUE"""),"#Resgate #Nubank #Variavel")</f>
        <v>#Resgate #Nubank #Variavel</v>
      </c>
      <c r="K227" s="216"/>
      <c r="L227" s="216"/>
      <c r="M227" s="216"/>
      <c r="N227" s="216"/>
      <c r="O227" s="216"/>
      <c r="P227" s="216"/>
      <c r="Q227" s="216"/>
    </row>
    <row r="228">
      <c r="A228" s="11" t="str">
        <f>IFERROR(__xludf.DUMMYFUNCTION("""COMPUTED_VALUE"""),"PAGO")</f>
        <v>PAGO</v>
      </c>
      <c r="B228" s="98" t="str">
        <f>IFERROR(__xludf.DUMMYFUNCTION("""COMPUTED_VALUE"""),"Rendimento")</f>
        <v>Rendimento</v>
      </c>
      <c r="C228" s="13">
        <f>IFERROR(__xludf.DUMMYFUNCTION("""COMPUTED_VALUE"""),8.0)</f>
        <v>8</v>
      </c>
      <c r="D228" s="13" t="str">
        <f>IFERROR(__xludf.DUMMYFUNCTION("""COMPUTED_VALUE"""),"SEG.")</f>
        <v>SEG.</v>
      </c>
      <c r="E228" s="13">
        <f>IFERROR(__xludf.DUMMYFUNCTION("""COMPUTED_VALUE"""),3.0)</f>
        <v>3</v>
      </c>
      <c r="F228" s="15"/>
      <c r="G228" s="16">
        <f>IFERROR(__xludf.DUMMYFUNCTION("""COMPUTED_VALUE"""),0.96)</f>
        <v>0.96</v>
      </c>
      <c r="H228" s="227"/>
      <c r="I228" s="21" t="str">
        <f>IFERROR(__xludf.DUMMYFUNCTION("""COMPUTED_VALUE"""),"NUBANK")</f>
        <v>NUBANK</v>
      </c>
      <c r="J228" s="21" t="str">
        <f>IFERROR(__xludf.DUMMYFUNCTION("""COMPUTED_VALUE"""),"#Recebimentos #Rendimentos #Variavel")</f>
        <v>#Recebimentos #Rendimentos #Variavel</v>
      </c>
      <c r="K228" s="216"/>
      <c r="L228" s="216"/>
      <c r="M228" s="216"/>
      <c r="N228" s="216"/>
      <c r="O228" s="216"/>
      <c r="P228" s="216"/>
      <c r="Q228" s="216"/>
    </row>
    <row r="229">
      <c r="A229" s="11" t="str">
        <f>IFERROR(__xludf.DUMMYFUNCTION("""COMPUTED_VALUE"""),"PAGO")</f>
        <v>PAGO</v>
      </c>
      <c r="B229" s="98" t="str">
        <f>IFERROR(__xludf.DUMMYFUNCTION("""COMPUTED_VALUE"""),"Cartao Roberta")</f>
        <v>Cartao Roberta</v>
      </c>
      <c r="C229" s="13">
        <f>IFERROR(__xludf.DUMMYFUNCTION("""COMPUTED_VALUE"""),8.0)</f>
        <v>8</v>
      </c>
      <c r="D229" s="13" t="str">
        <f>IFERROR(__xludf.DUMMYFUNCTION("""COMPUTED_VALUE"""),"SEG.")</f>
        <v>SEG.</v>
      </c>
      <c r="E229" s="13">
        <f>IFERROR(__xludf.DUMMYFUNCTION("""COMPUTED_VALUE"""),3.0)</f>
        <v>3</v>
      </c>
      <c r="F229" s="15"/>
      <c r="G229" s="16"/>
      <c r="H229" s="227">
        <f>IFERROR(__xludf.DUMMYFUNCTION("""COMPUTED_VALUE"""),1123.03)</f>
        <v>1123.03</v>
      </c>
      <c r="I229" s="21" t="str">
        <f>IFERROR(__xludf.DUMMYFUNCTION("""COMPUTED_VALUE"""),"NUBANK")</f>
        <v>NUBANK</v>
      </c>
      <c r="J229" s="21"/>
      <c r="K229" s="216"/>
      <c r="L229" s="216"/>
      <c r="M229" s="216"/>
      <c r="N229" s="216"/>
      <c r="O229" s="216"/>
      <c r="P229" s="216"/>
      <c r="Q229" s="216"/>
    </row>
    <row r="230">
      <c r="A230" s="11" t="str">
        <f>IFERROR(__xludf.DUMMYFUNCTION("""COMPUTED_VALUE"""),"CREDITO")</f>
        <v>CREDITO</v>
      </c>
      <c r="B230" s="98" t="str">
        <f>IFERROR(__xludf.DUMMYFUNCTION("""COMPUTED_VALUE"""),"TORRA TORRA 03/03 VESTUÁRIO .SAO JOSE DOS")</f>
        <v>TORRA TORRA 03/03 VESTUÁRIO .SAO JOSE DOS</v>
      </c>
      <c r="C230" s="13"/>
      <c r="D230" s="13"/>
      <c r="E230" s="13">
        <f>IFERROR(__xludf.DUMMYFUNCTION("""COMPUTED_VALUE"""),3.0)</f>
        <v>3</v>
      </c>
      <c r="F230" s="15">
        <f>IFERROR(__xludf.DUMMYFUNCTION("""COMPUTED_VALUE"""),44186.0)</f>
        <v>44186</v>
      </c>
      <c r="G230" s="16"/>
      <c r="H230" s="227">
        <f>IFERROR(__xludf.DUMMYFUNCTION("""COMPUTED_VALUE"""),144.63)</f>
        <v>144.63</v>
      </c>
      <c r="I230" s="21"/>
      <c r="J230" s="21" t="str">
        <f>IFERROR(__xludf.DUMMYFUNCTION("""COMPUTED_VALUE"""),"#CartaoDeCredito #Roberta #Lazer #Presentes #Variavel #Natal #AnoNovo")</f>
        <v>#CartaoDeCredito #Roberta #Lazer #Presentes #Variavel #Natal #AnoNovo</v>
      </c>
      <c r="K230" s="216"/>
      <c r="L230" s="216"/>
      <c r="M230" s="216"/>
      <c r="N230" s="216"/>
      <c r="O230" s="216"/>
      <c r="P230" s="216"/>
      <c r="Q230" s="216"/>
    </row>
    <row r="231">
      <c r="A231" s="11" t="str">
        <f>IFERROR(__xludf.DUMMYFUNCTION("""COMPUTED_VALUE"""),"CREDITO")</f>
        <v>CREDITO</v>
      </c>
      <c r="B231" s="98" t="str">
        <f>IFERROR(__xludf.DUMMYFUNCTION("""COMPUTED_VALUE"""),"SPITI DIVERSOS .SAO PAULO")</f>
        <v>SPITI DIVERSOS .SAO PAULO</v>
      </c>
      <c r="C231" s="13"/>
      <c r="D231" s="13"/>
      <c r="E231" s="13">
        <f>IFERROR(__xludf.DUMMYFUNCTION("""COMPUTED_VALUE"""),3.0)</f>
        <v>3</v>
      </c>
      <c r="F231" s="15">
        <f>IFERROR(__xludf.DUMMYFUNCTION("""COMPUTED_VALUE"""),44228.0)</f>
        <v>44228</v>
      </c>
      <c r="G231" s="16"/>
      <c r="H231" s="227">
        <f>IFERROR(__xludf.DUMMYFUNCTION("""COMPUTED_VALUE"""),1.0)</f>
        <v>1</v>
      </c>
      <c r="I231" s="21"/>
      <c r="J231" s="21" t="str">
        <f>IFERROR(__xludf.DUMMYFUNCTION("""COMPUTED_VALUE"""),"#CartaoDeCredito #Roberta #Lazer #Variavel")</f>
        <v>#CartaoDeCredito #Roberta #Lazer #Variavel</v>
      </c>
      <c r="K231" s="216"/>
      <c r="L231" s="216"/>
      <c r="M231" s="216"/>
      <c r="N231" s="216"/>
      <c r="O231" s="216"/>
      <c r="P231" s="216"/>
      <c r="Q231" s="216"/>
    </row>
    <row r="232">
      <c r="A232" s="11" t="str">
        <f>IFERROR(__xludf.DUMMYFUNCTION("""COMPUTED_VALUE"""),"CREDITO")</f>
        <v>CREDITO</v>
      </c>
      <c r="B232" s="98" t="str">
        <f>IFERROR(__xludf.DUMMYFUNCTION("""COMPUTED_VALUE"""),"CADEIRA GAMER - MAGALU * VESTUÁRIO .FRANCA")</f>
        <v>CADEIRA GAMER - MAGALU * VESTUÁRIO .FRANCA</v>
      </c>
      <c r="C232" s="13"/>
      <c r="D232" s="13"/>
      <c r="E232" s="13">
        <f>IFERROR(__xludf.DUMMYFUNCTION("""COMPUTED_VALUE"""),3.0)</f>
        <v>3</v>
      </c>
      <c r="F232" s="15">
        <f>IFERROR(__xludf.DUMMYFUNCTION("""COMPUTED_VALUE"""),44242.0)</f>
        <v>44242</v>
      </c>
      <c r="G232" s="16"/>
      <c r="H232" s="227">
        <f>IFERROR(__xludf.DUMMYFUNCTION("""COMPUTED_VALUE"""),820.17)</f>
        <v>820.17</v>
      </c>
      <c r="I232" s="21"/>
      <c r="J232" s="21" t="str">
        <f>IFERROR(__xludf.DUMMYFUNCTION("""COMPUTED_VALUE"""),"#CartaoDeCredito #Roberta #Saude #Lazer #Variavel #Familia")</f>
        <v>#CartaoDeCredito #Roberta #Saude #Lazer #Variavel #Familia</v>
      </c>
      <c r="K232" s="216"/>
      <c r="L232" s="216"/>
      <c r="M232" s="216"/>
      <c r="N232" s="216"/>
      <c r="O232" s="216"/>
      <c r="P232" s="216"/>
      <c r="Q232" s="216"/>
    </row>
    <row r="233">
      <c r="A233" s="11" t="str">
        <f>IFERROR(__xludf.DUMMYFUNCTION("""COMPUTED_VALUE"""),"CREDITO")</f>
        <v>CREDITO</v>
      </c>
      <c r="B233" s="98" t="str">
        <f>IFERROR(__xludf.DUMMYFUNCTION("""COMPUTED_VALUE"""),"JEQUITI SAÚDE .OSASCO")</f>
        <v>JEQUITI SAÚDE .OSASCO</v>
      </c>
      <c r="C233" s="13"/>
      <c r="D233" s="13"/>
      <c r="E233" s="13">
        <f>IFERROR(__xludf.DUMMYFUNCTION("""COMPUTED_VALUE"""),3.0)</f>
        <v>3</v>
      </c>
      <c r="F233" s="15">
        <f>IFERROR(__xludf.DUMMYFUNCTION("""COMPUTED_VALUE"""),44247.0)</f>
        <v>44247</v>
      </c>
      <c r="G233" s="16"/>
      <c r="H233" s="227">
        <f>IFERROR(__xludf.DUMMYFUNCTION("""COMPUTED_VALUE"""),108.63)</f>
        <v>108.63</v>
      </c>
      <c r="I233" s="21"/>
      <c r="J233" s="21" t="str">
        <f>IFERROR(__xludf.DUMMYFUNCTION("""COMPUTED_VALUE"""),"#CartaoDeCredito #Roberta #Variavel")</f>
        <v>#CartaoDeCredito #Roberta #Variavel</v>
      </c>
      <c r="K233" s="216"/>
      <c r="L233" s="216"/>
      <c r="M233" s="216"/>
      <c r="N233" s="216"/>
      <c r="O233" s="216"/>
      <c r="P233" s="216"/>
      <c r="Q233" s="216"/>
    </row>
    <row r="234">
      <c r="A234" s="11" t="str">
        <f>IFERROR(__xludf.DUMMYFUNCTION("""COMPUTED_VALUE"""),"CREDITO")</f>
        <v>CREDITO</v>
      </c>
      <c r="B234" s="98" t="str">
        <f>IFERROR(__xludf.DUMMYFUNCTION("""COMPUTED_VALUE"""),"NETFLIX.COM DIVERSOS .SAO PAULO")</f>
        <v>NETFLIX.COM DIVERSOS .SAO PAULO</v>
      </c>
      <c r="C234" s="13"/>
      <c r="D234" s="13"/>
      <c r="E234" s="13">
        <f>IFERROR(__xludf.DUMMYFUNCTION("""COMPUTED_VALUE"""),3.0)</f>
        <v>3</v>
      </c>
      <c r="F234" s="15">
        <f>IFERROR(__xludf.DUMMYFUNCTION("""COMPUTED_VALUE"""),44248.0)</f>
        <v>44248</v>
      </c>
      <c r="G234" s="16"/>
      <c r="H234" s="227">
        <f>IFERROR(__xludf.DUMMYFUNCTION("""COMPUTED_VALUE"""),32.9)</f>
        <v>32.9</v>
      </c>
      <c r="I234" s="21"/>
      <c r="J234" s="21" t="str">
        <f>IFERROR(__xludf.DUMMYFUNCTION("""COMPUTED_VALUE"""),"#CartaoDeCredito #Roberta #Streaming #Fixo ")</f>
        <v>#CartaoDeCredito #Roberta #Streaming #Fixo </v>
      </c>
      <c r="K234" s="216"/>
      <c r="L234" s="216"/>
      <c r="M234" s="216"/>
      <c r="N234" s="216"/>
      <c r="O234" s="216"/>
      <c r="P234" s="216"/>
      <c r="Q234" s="216"/>
    </row>
    <row r="235">
      <c r="A235" s="11" t="str">
        <f>IFERROR(__xludf.DUMMYFUNCTION("""COMPUTED_VALUE"""),"CREDITO")</f>
        <v>CREDITO</v>
      </c>
      <c r="B235" s="98" t="str">
        <f>IFERROR(__xludf.DUMMYFUNCTION("""COMPUTED_VALUE"""),"ZAE SAO JOSE*ZAE SAO J DIVERSOS .RECIFE")</f>
        <v>ZAE SAO JOSE*ZAE SAO J DIVERSOS .RECIFE</v>
      </c>
      <c r="C235" s="13"/>
      <c r="D235" s="13"/>
      <c r="E235" s="13">
        <f>IFERROR(__xludf.DUMMYFUNCTION("""COMPUTED_VALUE"""),3.0)</f>
        <v>3</v>
      </c>
      <c r="F235" s="15">
        <f>IFERROR(__xludf.DUMMYFUNCTION("""COMPUTED_VALUE"""),44252.0)</f>
        <v>44252</v>
      </c>
      <c r="G235" s="16"/>
      <c r="H235" s="227">
        <f>IFERROR(__xludf.DUMMYFUNCTION("""COMPUTED_VALUE"""),2.0)</f>
        <v>2</v>
      </c>
      <c r="I235" s="21"/>
      <c r="J235" s="21" t="str">
        <f>IFERROR(__xludf.DUMMYFUNCTION("""COMPUTED_VALUE"""),"#CartaoDeCredito #Roberta #Carro #Estacionamento #Variavel #Natal #AnoNovo")</f>
        <v>#CartaoDeCredito #Roberta #Carro #Estacionamento #Variavel #Natal #AnoNovo</v>
      </c>
      <c r="K235" s="216"/>
      <c r="L235" s="216"/>
      <c r="M235" s="216"/>
      <c r="N235" s="216"/>
      <c r="O235" s="216"/>
      <c r="P235" s="216"/>
      <c r="Q235" s="216"/>
    </row>
    <row r="236">
      <c r="A236" s="11" t="str">
        <f>IFERROR(__xludf.DUMMYFUNCTION("""COMPUTED_VALUE"""),"CREDITO")</f>
        <v>CREDITO</v>
      </c>
      <c r="B236" s="98" t="str">
        <f>IFERROR(__xludf.DUMMYFUNCTION("""COMPUTED_VALUE"""),"SEGURO RESIDENCIAL ITAU")</f>
        <v>SEGURO RESIDENCIAL ITAU</v>
      </c>
      <c r="C236" s="13"/>
      <c r="D236" s="13"/>
      <c r="E236" s="13">
        <f>IFERROR(__xludf.DUMMYFUNCTION("""COMPUTED_VALUE"""),3.0)</f>
        <v>3</v>
      </c>
      <c r="F236" s="15">
        <f>IFERROR(__xludf.DUMMYFUNCTION("""COMPUTED_VALUE"""),44238.0)</f>
        <v>44238</v>
      </c>
      <c r="G236" s="16"/>
      <c r="H236" s="227">
        <f>IFERROR(__xludf.DUMMYFUNCTION("""COMPUTED_VALUE"""),13.7)</f>
        <v>13.7</v>
      </c>
      <c r="I236" s="21"/>
      <c r="J236" s="21" t="str">
        <f>IFERROR(__xludf.DUMMYFUNCTION("""COMPUTED_VALUE"""),"#CartaoDeCredito #Roberta #Essencial #Fixo #Moradia")</f>
        <v>#CartaoDeCredito #Roberta #Essencial #Fixo #Moradia</v>
      </c>
      <c r="K236" s="216"/>
      <c r="L236" s="216"/>
      <c r="M236" s="216"/>
      <c r="N236" s="216"/>
      <c r="O236" s="216"/>
      <c r="P236" s="216"/>
      <c r="Q236" s="216"/>
    </row>
    <row r="237">
      <c r="A237" s="11"/>
      <c r="B237" s="98"/>
      <c r="C237" s="13"/>
      <c r="D237" s="13"/>
      <c r="E237" s="13">
        <f>IFERROR(__xludf.DUMMYFUNCTION("""COMPUTED_VALUE"""),3.0)</f>
        <v>3</v>
      </c>
      <c r="F237" s="15"/>
      <c r="G237" s="16"/>
      <c r="H237" s="227"/>
      <c r="I237" s="21"/>
      <c r="J237" s="21"/>
      <c r="K237" s="216"/>
      <c r="L237" s="216"/>
      <c r="M237" s="216"/>
      <c r="N237" s="216"/>
      <c r="O237" s="216"/>
      <c r="P237" s="216"/>
      <c r="Q237" s="216"/>
    </row>
    <row r="238">
      <c r="A238" s="11" t="str">
        <f>IFERROR(__xludf.DUMMYFUNCTION("""COMPUTED_VALUE"""),"PAGO")</f>
        <v>PAGO</v>
      </c>
      <c r="B238" s="98" t="str">
        <f>IFERROR(__xludf.DUMMYFUNCTION("""COMPUTED_VALUE"""),"Convenio Sr. Antonio - São Cristovão")</f>
        <v>Convenio Sr. Antonio - São Cristovão</v>
      </c>
      <c r="C238" s="13">
        <f>IFERROR(__xludf.DUMMYFUNCTION("""COMPUTED_VALUE"""),8.0)</f>
        <v>8</v>
      </c>
      <c r="D238" s="13" t="str">
        <f>IFERROR(__xludf.DUMMYFUNCTION("""COMPUTED_VALUE"""),"SEG.")</f>
        <v>SEG.</v>
      </c>
      <c r="E238" s="13">
        <f>IFERROR(__xludf.DUMMYFUNCTION("""COMPUTED_VALUE"""),3.0)</f>
        <v>3</v>
      </c>
      <c r="F238" s="15"/>
      <c r="G238" s="16"/>
      <c r="H238" s="227">
        <f>IFERROR(__xludf.DUMMYFUNCTION("""COMPUTED_VALUE"""),539.99)</f>
        <v>539.99</v>
      </c>
      <c r="I238" s="21" t="str">
        <f>IFERROR(__xludf.DUMMYFUNCTION("""COMPUTED_VALUE"""),"NUBANK")</f>
        <v>NUBANK</v>
      </c>
      <c r="J238" s="21" t="str">
        <f>IFERROR(__xludf.DUMMYFUNCTION("""COMPUTED_VALUE"""),"#Essencial #Saude #Convenio #Papai #Fixo")</f>
        <v>#Essencial #Saude #Convenio #Papai #Fixo</v>
      </c>
      <c r="K238" s="216"/>
      <c r="L238" s="216"/>
      <c r="M238" s="216"/>
      <c r="N238" s="216"/>
      <c r="O238" s="216"/>
      <c r="P238" s="216"/>
      <c r="Q238" s="216"/>
    </row>
    <row r="239">
      <c r="A239" s="11" t="str">
        <f>IFERROR(__xludf.DUMMYFUNCTION("""COMPUTED_VALUE"""),"PAGO")</f>
        <v>PAGO</v>
      </c>
      <c r="B239" s="98" t="str">
        <f>IFERROR(__xludf.DUMMYFUNCTION("""COMPUTED_VALUE"""),"Fatura VIVOFIBRA INTERNET")</f>
        <v>Fatura VIVOFIBRA INTERNET</v>
      </c>
      <c r="C239" s="13">
        <f>IFERROR(__xludf.DUMMYFUNCTION("""COMPUTED_VALUE"""),8.0)</f>
        <v>8</v>
      </c>
      <c r="D239" s="13" t="str">
        <f>IFERROR(__xludf.DUMMYFUNCTION("""COMPUTED_VALUE"""),"SEG.")</f>
        <v>SEG.</v>
      </c>
      <c r="E239" s="13">
        <f>IFERROR(__xludf.DUMMYFUNCTION("""COMPUTED_VALUE"""),3.0)</f>
        <v>3</v>
      </c>
      <c r="F239" s="15"/>
      <c r="G239" s="16"/>
      <c r="H239" s="227">
        <f>IFERROR(__xludf.DUMMYFUNCTION("""COMPUTED_VALUE"""),149.99)</f>
        <v>149.99</v>
      </c>
      <c r="I239" s="21" t="str">
        <f>IFERROR(__xludf.DUMMYFUNCTION("""COMPUTED_VALUE"""),"INTER-PJ")</f>
        <v>INTER-PJ</v>
      </c>
      <c r="J239" s="21" t="str">
        <f>IFERROR(__xludf.DUMMYFUNCTION("""COMPUTED_VALUE"""),"#Essencial #Internet #Fixo ")</f>
        <v>#Essencial #Internet #Fixo </v>
      </c>
      <c r="K239" s="216"/>
      <c r="L239" s="216"/>
      <c r="M239" s="216"/>
      <c r="N239" s="216"/>
      <c r="O239" s="216"/>
      <c r="P239" s="216"/>
      <c r="Q239" s="216"/>
    </row>
    <row r="240">
      <c r="A240" s="11" t="str">
        <f>IFERROR(__xludf.DUMMYFUNCTION("""COMPUTED_VALUE"""),"PAGO")</f>
        <v>PAGO</v>
      </c>
      <c r="B240" s="98" t="str">
        <f>IFERROR(__xludf.DUMMYFUNCTION("""COMPUTED_VALUE"""),"Recarga TIM Cicero 11 948825242")</f>
        <v>Recarga TIM Cicero 11 948825242</v>
      </c>
      <c r="C240" s="13">
        <f>IFERROR(__xludf.DUMMYFUNCTION("""COMPUTED_VALUE"""),8.0)</f>
        <v>8</v>
      </c>
      <c r="D240" s="13" t="str">
        <f>IFERROR(__xludf.DUMMYFUNCTION("""COMPUTED_VALUE"""),"SEG.")</f>
        <v>SEG.</v>
      </c>
      <c r="E240" s="13">
        <f>IFERROR(__xludf.DUMMYFUNCTION("""COMPUTED_VALUE"""),3.0)</f>
        <v>3</v>
      </c>
      <c r="F240" s="15"/>
      <c r="G240" s="16"/>
      <c r="H240" s="227">
        <f>IFERROR(__xludf.DUMMYFUNCTION("""COMPUTED_VALUE"""),20.0)</f>
        <v>20</v>
      </c>
      <c r="I240" s="21" t="str">
        <f>IFERROR(__xludf.DUMMYFUNCTION("""COMPUTED_VALUE"""),"NUBANK")</f>
        <v>NUBANK</v>
      </c>
      <c r="J240" s="21" t="str">
        <f>IFERROR(__xludf.DUMMYFUNCTION("""COMPUTED_VALUE"""),"#Variavel #Recarga #TIM ")</f>
        <v>#Variavel #Recarga #TIM </v>
      </c>
      <c r="K240" s="216"/>
      <c r="L240" s="216"/>
      <c r="M240" s="216"/>
      <c r="N240" s="216"/>
      <c r="O240" s="216"/>
      <c r="P240" s="216"/>
      <c r="Q240" s="216"/>
    </row>
    <row r="241">
      <c r="A241" s="11" t="str">
        <f>IFERROR(__xludf.DUMMYFUNCTION("""COMPUTED_VALUE"""),"PAGO")</f>
        <v>PAGO</v>
      </c>
      <c r="B241" s="98" t="str">
        <f>IFERROR(__xludf.DUMMYFUNCTION("""COMPUTED_VALUE"""),"Transferi para investimento - Clear RBRP11 Subscrição")</f>
        <v>Transferi para investimento - Clear RBRP11 Subscrição</v>
      </c>
      <c r="C241" s="13">
        <f>IFERROR(__xludf.DUMMYFUNCTION("""COMPUTED_VALUE"""),8.0)</f>
        <v>8</v>
      </c>
      <c r="D241" s="13" t="str">
        <f>IFERROR(__xludf.DUMMYFUNCTION("""COMPUTED_VALUE"""),"SEG.")</f>
        <v>SEG.</v>
      </c>
      <c r="E241" s="13">
        <f>IFERROR(__xludf.DUMMYFUNCTION("""COMPUTED_VALUE"""),3.0)</f>
        <v>3</v>
      </c>
      <c r="F241" s="15"/>
      <c r="G241" s="16"/>
      <c r="H241" s="227">
        <f>IFERROR(__xludf.DUMMYFUNCTION("""COMPUTED_VALUE"""),800.0)</f>
        <v>800</v>
      </c>
      <c r="I241" s="21" t="str">
        <f>IFERROR(__xludf.DUMMYFUNCTION("""COMPUTED_VALUE"""),"NUBANK")</f>
        <v>NUBANK</v>
      </c>
      <c r="J241" s="21" t="str">
        <f>IFERROR(__xludf.DUMMYFUNCTION("""COMPUTED_VALUE"""),"#Transferencia #Investimento #Variavel #Clear")</f>
        <v>#Transferencia #Investimento #Variavel #Clear</v>
      </c>
      <c r="K241" s="216"/>
      <c r="L241" s="216"/>
      <c r="M241" s="216"/>
      <c r="N241" s="216"/>
      <c r="O241" s="216"/>
      <c r="P241" s="216"/>
      <c r="Q241" s="216"/>
    </row>
    <row r="242">
      <c r="A242" s="11" t="str">
        <f>IFERROR(__xludf.DUMMYFUNCTION("""COMPUTED_VALUE"""),"PAGO")</f>
        <v>PAGO</v>
      </c>
      <c r="B242" s="98" t="str">
        <f>IFERROR(__xludf.DUMMYFUNCTION("""COMPUTED_VALUE"""),"Shibata")</f>
        <v>Shibata</v>
      </c>
      <c r="C242" s="13">
        <f>IFERROR(__xludf.DUMMYFUNCTION("""COMPUTED_VALUE"""),10.0)</f>
        <v>10</v>
      </c>
      <c r="D242" s="13" t="str">
        <f>IFERROR(__xludf.DUMMYFUNCTION("""COMPUTED_VALUE"""),"QUA.")</f>
        <v>QUA.</v>
      </c>
      <c r="E242" s="13">
        <f>IFERROR(__xludf.DUMMYFUNCTION("""COMPUTED_VALUE"""),3.0)</f>
        <v>3</v>
      </c>
      <c r="F242" s="15"/>
      <c r="G242" s="16"/>
      <c r="H242" s="227">
        <f>IFERROR(__xludf.DUMMYFUNCTION("""COMPUTED_VALUE"""),8.48)</f>
        <v>8.48</v>
      </c>
      <c r="I242" s="21" t="str">
        <f>IFERROR(__xludf.DUMMYFUNCTION("""COMPUTED_VALUE"""),"ALELO-REF-BRQ")</f>
        <v>ALELO-REF-BRQ</v>
      </c>
      <c r="J242" s="21" t="str">
        <f>IFERROR(__xludf.DUMMYFUNCTION("""COMPUTED_VALUE"""),"#Moradia #Essencial #Mercado #Variavel #Alimentação ")</f>
        <v>#Moradia #Essencial #Mercado #Variavel #Alimentação </v>
      </c>
      <c r="K242" s="216"/>
      <c r="L242" s="216"/>
      <c r="M242" s="216"/>
      <c r="N242" s="216"/>
      <c r="O242" s="216"/>
      <c r="P242" s="216"/>
      <c r="Q242" s="216"/>
    </row>
    <row r="243">
      <c r="A243" s="11" t="str">
        <f>IFERROR(__xludf.DUMMYFUNCTION("""COMPUTED_VALUE"""),"PAGO")</f>
        <v>PAGO</v>
      </c>
      <c r="B243" s="98" t="str">
        <f>IFERROR(__xludf.DUMMYFUNCTION("""COMPUTED_VALUE"""),"Shibata")</f>
        <v>Shibata</v>
      </c>
      <c r="C243" s="13">
        <f>IFERROR(__xludf.DUMMYFUNCTION("""COMPUTED_VALUE"""),10.0)</f>
        <v>10</v>
      </c>
      <c r="D243" s="13" t="str">
        <f>IFERROR(__xludf.DUMMYFUNCTION("""COMPUTED_VALUE"""),"QUA.")</f>
        <v>QUA.</v>
      </c>
      <c r="E243" s="13">
        <f>IFERROR(__xludf.DUMMYFUNCTION("""COMPUTED_VALUE"""),3.0)</f>
        <v>3</v>
      </c>
      <c r="F243" s="15"/>
      <c r="G243" s="16"/>
      <c r="H243" s="227">
        <f>IFERROR(__xludf.DUMMYFUNCTION("""COMPUTED_VALUE"""),164.55)</f>
        <v>164.55</v>
      </c>
      <c r="I243" s="21" t="str">
        <f>IFERROR(__xludf.DUMMYFUNCTION("""COMPUTED_VALUE"""),"ALELO-ALI-BRQ")</f>
        <v>ALELO-ALI-BRQ</v>
      </c>
      <c r="J243" s="21" t="str">
        <f>IFERROR(__xludf.DUMMYFUNCTION("""COMPUTED_VALUE"""),"#Moradia #Essencial #Mercado #Variavel #Alimentação ")</f>
        <v>#Moradia #Essencial #Mercado #Variavel #Alimentação </v>
      </c>
      <c r="K243" s="216"/>
      <c r="L243" s="216"/>
      <c r="M243" s="216"/>
      <c r="N243" s="216"/>
      <c r="O243" s="216"/>
      <c r="P243" s="216"/>
      <c r="Q243" s="216"/>
    </row>
    <row r="244">
      <c r="A244" s="11" t="str">
        <f>IFERROR(__xludf.DUMMYFUNCTION("""COMPUTED_VALUE"""),"PAGO")</f>
        <v>PAGO</v>
      </c>
      <c r="B244" s="98" t="str">
        <f>IFERROR(__xludf.DUMMYFUNCTION("""COMPUTED_VALUE"""),"Shibata")</f>
        <v>Shibata</v>
      </c>
      <c r="C244" s="13">
        <f>IFERROR(__xludf.DUMMYFUNCTION("""COMPUTED_VALUE"""),10.0)</f>
        <v>10</v>
      </c>
      <c r="D244" s="13" t="str">
        <f>IFERROR(__xludf.DUMMYFUNCTION("""COMPUTED_VALUE"""),"QUA.")</f>
        <v>QUA.</v>
      </c>
      <c r="E244" s="13">
        <f>IFERROR(__xludf.DUMMYFUNCTION("""COMPUTED_VALUE"""),3.0)</f>
        <v>3</v>
      </c>
      <c r="F244" s="15"/>
      <c r="G244" s="16"/>
      <c r="H244" s="227">
        <f>IFERROR(__xludf.DUMMYFUNCTION("""COMPUTED_VALUE"""),104.23)</f>
        <v>104.23</v>
      </c>
      <c r="I244" s="21" t="str">
        <f>IFERROR(__xludf.DUMMYFUNCTION("""COMPUTED_VALUE"""),"INTER-PJ")</f>
        <v>INTER-PJ</v>
      </c>
      <c r="J244" s="21" t="str">
        <f>IFERROR(__xludf.DUMMYFUNCTION("""COMPUTED_VALUE"""),"#Moradia #Essencial #Mercado #Variavel #Alimentação ")</f>
        <v>#Moradia #Essencial #Mercado #Variavel #Alimentação </v>
      </c>
      <c r="K244" s="216"/>
      <c r="L244" s="216"/>
      <c r="M244" s="216"/>
      <c r="N244" s="216"/>
      <c r="O244" s="216"/>
      <c r="P244" s="216"/>
      <c r="Q244" s="216"/>
    </row>
    <row r="245">
      <c r="A245" s="11" t="str">
        <f>IFERROR(__xludf.DUMMYFUNCTION("""COMPUTED_VALUE"""),"PAGO")</f>
        <v>PAGO</v>
      </c>
      <c r="B245" s="98" t="str">
        <f>IFERROR(__xludf.DUMMYFUNCTION("""COMPUTED_VALUE"""),"Elo Educacional: mensalidade(598,00) + material(137,00)")</f>
        <v>Elo Educacional: mensalidade(598,00) + material(137,00)</v>
      </c>
      <c r="C245" s="13">
        <f>IFERROR(__xludf.DUMMYFUNCTION("""COMPUTED_VALUE"""),10.0)</f>
        <v>10</v>
      </c>
      <c r="D245" s="13" t="str">
        <f>IFERROR(__xludf.DUMMYFUNCTION("""COMPUTED_VALUE"""),"QUA.")</f>
        <v>QUA.</v>
      </c>
      <c r="E245" s="13">
        <f>IFERROR(__xludf.DUMMYFUNCTION("""COMPUTED_VALUE"""),3.0)</f>
        <v>3</v>
      </c>
      <c r="F245" s="15">
        <f>IFERROR(__xludf.DUMMYFUNCTION("""COMPUTED_VALUE"""),44263.0)</f>
        <v>44263</v>
      </c>
      <c r="G245" s="16"/>
      <c r="H245" s="227">
        <f>IFERROR(__xludf.DUMMYFUNCTION("""COMPUTED_VALUE"""),735.0)</f>
        <v>735</v>
      </c>
      <c r="I245" s="21" t="str">
        <f>IFERROR(__xludf.DUMMYFUNCTION("""COMPUTED_VALUE"""),"NUBANK")</f>
        <v>NUBANK</v>
      </c>
      <c r="J245" s="21" t="str">
        <f>IFERROR(__xludf.DUMMYFUNCTION("""COMPUTED_VALUE"""),"#Essencial #Escola #Eduardo #Fixo")</f>
        <v>#Essencial #Escola #Eduardo #Fixo</v>
      </c>
      <c r="K245" s="216"/>
      <c r="L245" s="216"/>
      <c r="M245" s="216"/>
      <c r="N245" s="216"/>
      <c r="O245" s="216"/>
      <c r="P245" s="216"/>
      <c r="Q245" s="216"/>
    </row>
    <row r="246">
      <c r="A246" s="11" t="str">
        <f>IFERROR(__xludf.DUMMYFUNCTION("""COMPUTED_VALUE"""),"PAGO")</f>
        <v>PAGO</v>
      </c>
      <c r="B246" s="98" t="str">
        <f>IFERROR(__xludf.DUMMYFUNCTION("""COMPUTED_VALUE"""),"Convenio Uniodonto")</f>
        <v>Convenio Uniodonto</v>
      </c>
      <c r="C246" s="13">
        <f>IFERROR(__xludf.DUMMYFUNCTION("""COMPUTED_VALUE"""),10.0)</f>
        <v>10</v>
      </c>
      <c r="D246" s="13" t="str">
        <f>IFERROR(__xludf.DUMMYFUNCTION("""COMPUTED_VALUE"""),"QUA.")</f>
        <v>QUA.</v>
      </c>
      <c r="E246" s="13">
        <f>IFERROR(__xludf.DUMMYFUNCTION("""COMPUTED_VALUE"""),3.0)</f>
        <v>3</v>
      </c>
      <c r="F246" s="15">
        <f>IFERROR(__xludf.DUMMYFUNCTION("""COMPUTED_VALUE"""),44263.0)</f>
        <v>44263</v>
      </c>
      <c r="G246" s="16"/>
      <c r="H246" s="227">
        <f>IFERROR(__xludf.DUMMYFUNCTION("""COMPUTED_VALUE"""),102.0)</f>
        <v>102</v>
      </c>
      <c r="I246" s="21" t="str">
        <f>IFERROR(__xludf.DUMMYFUNCTION("""COMPUTED_VALUE"""),"NUBANK")</f>
        <v>NUBANK</v>
      </c>
      <c r="J246" s="21" t="str">
        <f>IFERROR(__xludf.DUMMYFUNCTION("""COMPUTED_VALUE"""),"#Essencial #Saude #Convenio #Familia #Fixo ")</f>
        <v>#Essencial #Saude #Convenio #Familia #Fixo </v>
      </c>
      <c r="K246" s="216"/>
      <c r="L246" s="216"/>
      <c r="M246" s="216"/>
      <c r="N246" s="216"/>
      <c r="O246" s="216"/>
      <c r="P246" s="216"/>
      <c r="Q246" s="216"/>
    </row>
    <row r="247">
      <c r="A247" s="11" t="str">
        <f>IFERROR(__xludf.DUMMYFUNCTION("""COMPUTED_VALUE"""),"PAGO")</f>
        <v>PAGO</v>
      </c>
      <c r="B247" s="98" t="str">
        <f>IFERROR(__xludf.DUMMYFUNCTION("""COMPUTED_VALUE"""),"Rendimento")</f>
        <v>Rendimento</v>
      </c>
      <c r="C247" s="13">
        <f>IFERROR(__xludf.DUMMYFUNCTION("""COMPUTED_VALUE"""),10.0)</f>
        <v>10</v>
      </c>
      <c r="D247" s="13" t="str">
        <f>IFERROR(__xludf.DUMMYFUNCTION("""COMPUTED_VALUE"""),"QUA.")</f>
        <v>QUA.</v>
      </c>
      <c r="E247" s="13">
        <f>IFERROR(__xludf.DUMMYFUNCTION("""COMPUTED_VALUE"""),3.0)</f>
        <v>3</v>
      </c>
      <c r="F247" s="15"/>
      <c r="G247" s="16">
        <f>IFERROR(__xludf.DUMMYFUNCTION("""COMPUTED_VALUE"""),0.08)</f>
        <v>0.08</v>
      </c>
      <c r="H247" s="227"/>
      <c r="I247" s="21" t="str">
        <f>IFERROR(__xludf.DUMMYFUNCTION("""COMPUTED_VALUE"""),"ITAU")</f>
        <v>ITAU</v>
      </c>
      <c r="J247" s="21" t="str">
        <f>IFERROR(__xludf.DUMMYFUNCTION("""COMPUTED_VALUE"""),"#Recebimentos #Rendimentos #Variavel")</f>
        <v>#Recebimentos #Rendimentos #Variavel</v>
      </c>
      <c r="K247" s="216"/>
      <c r="L247" s="216"/>
      <c r="M247" s="216"/>
      <c r="N247" s="216"/>
      <c r="O247" s="216"/>
      <c r="P247" s="216"/>
      <c r="Q247" s="216"/>
    </row>
    <row r="248">
      <c r="A248" s="11" t="str">
        <f>IFERROR(__xludf.DUMMYFUNCTION("""COMPUTED_VALUE"""),"PAGO")</f>
        <v>PAGO</v>
      </c>
      <c r="B248" s="98" t="str">
        <f>IFERROR(__xludf.DUMMYFUNCTION("""COMPUTED_VALUE"""),"Cartao NuBank")</f>
        <v>Cartao NuBank</v>
      </c>
      <c r="C248" s="13">
        <f>IFERROR(__xludf.DUMMYFUNCTION("""COMPUTED_VALUE"""),11.0)</f>
        <v>11</v>
      </c>
      <c r="D248" s="13" t="str">
        <f>IFERROR(__xludf.DUMMYFUNCTION("""COMPUTED_VALUE"""),"QUI.")</f>
        <v>QUI.</v>
      </c>
      <c r="E248" s="13">
        <f>IFERROR(__xludf.DUMMYFUNCTION("""COMPUTED_VALUE"""),3.0)</f>
        <v>3</v>
      </c>
      <c r="F248" s="15"/>
      <c r="G248" s="16"/>
      <c r="H248" s="227">
        <f>IFERROR(__xludf.DUMMYFUNCTION("""COMPUTED_VALUE"""),0.0)</f>
        <v>0</v>
      </c>
      <c r="I248" s="21" t="str">
        <f>IFERROR(__xludf.DUMMYFUNCTION("""COMPUTED_VALUE"""),"ITAU")</f>
        <v>ITAU</v>
      </c>
      <c r="J248" s="21"/>
      <c r="K248" s="216"/>
      <c r="L248" s="216"/>
      <c r="M248" s="216"/>
      <c r="N248" s="216"/>
      <c r="O248" s="216"/>
      <c r="P248" s="216"/>
      <c r="Q248" s="216"/>
    </row>
    <row r="249">
      <c r="A249" s="11"/>
      <c r="B249" s="98"/>
      <c r="C249" s="13"/>
      <c r="D249" s="13"/>
      <c r="E249" s="13">
        <f>IFERROR(__xludf.DUMMYFUNCTION("""COMPUTED_VALUE"""),3.0)</f>
        <v>3</v>
      </c>
      <c r="F249" s="15"/>
      <c r="G249" s="16"/>
      <c r="H249" s="227"/>
      <c r="I249" s="21"/>
      <c r="J249" s="21"/>
      <c r="K249" s="216"/>
      <c r="L249" s="216"/>
      <c r="M249" s="216"/>
      <c r="N249" s="216"/>
      <c r="O249" s="216"/>
      <c r="P249" s="216"/>
      <c r="Q249" s="216"/>
    </row>
    <row r="250">
      <c r="A250" s="11"/>
      <c r="B250" s="98"/>
      <c r="C250" s="13"/>
      <c r="D250" s="13"/>
      <c r="E250" s="13">
        <f>IFERROR(__xludf.DUMMYFUNCTION("""COMPUTED_VALUE"""),3.0)</f>
        <v>3</v>
      </c>
      <c r="F250" s="15"/>
      <c r="G250" s="16"/>
      <c r="H250" s="227"/>
      <c r="I250" s="21"/>
      <c r="J250" s="21"/>
      <c r="K250" s="216"/>
      <c r="L250" s="216"/>
      <c r="M250" s="216"/>
      <c r="N250" s="216"/>
      <c r="O250" s="216"/>
      <c r="P250" s="216"/>
      <c r="Q250" s="216"/>
    </row>
    <row r="251">
      <c r="A251" s="11" t="str">
        <f>IFERROR(__xludf.DUMMYFUNCTION("""COMPUTED_VALUE"""),"PAGO")</f>
        <v>PAGO</v>
      </c>
      <c r="B251" s="98" t="str">
        <f>IFERROR(__xludf.DUMMYFUNCTION("""COMPUTED_VALUE"""),"Levitar SJC - sorvetes")</f>
        <v>Levitar SJC - sorvetes</v>
      </c>
      <c r="C251" s="13">
        <f>IFERROR(__xludf.DUMMYFUNCTION("""COMPUTED_VALUE"""),11.0)</f>
        <v>11</v>
      </c>
      <c r="D251" s="13" t="str">
        <f>IFERROR(__xludf.DUMMYFUNCTION("""COMPUTED_VALUE"""),"QUI.")</f>
        <v>QUI.</v>
      </c>
      <c r="E251" s="13">
        <f>IFERROR(__xludf.DUMMYFUNCTION("""COMPUTED_VALUE"""),3.0)</f>
        <v>3</v>
      </c>
      <c r="F251" s="15"/>
      <c r="G251" s="16"/>
      <c r="H251" s="227">
        <f>IFERROR(__xludf.DUMMYFUNCTION("""COMPUTED_VALUE"""),25.0)</f>
        <v>25</v>
      </c>
      <c r="I251" s="21" t="str">
        <f>IFERROR(__xludf.DUMMYFUNCTION("""COMPUTED_VALUE"""),"NUBANK")</f>
        <v>NUBANK</v>
      </c>
      <c r="J251" s="21" t="str">
        <f>IFERROR(__xludf.DUMMYFUNCTION("""COMPUTED_VALUE"""),"#Lazer #Comida #Variavel")</f>
        <v>#Lazer #Comida #Variavel</v>
      </c>
      <c r="K251" s="216"/>
      <c r="L251" s="216"/>
      <c r="M251" s="216"/>
      <c r="N251" s="216"/>
      <c r="O251" s="216"/>
      <c r="P251" s="216"/>
      <c r="Q251" s="216"/>
    </row>
    <row r="252">
      <c r="A252" s="11" t="str">
        <f>IFERROR(__xludf.DUMMYFUNCTION("""COMPUTED_VALUE"""),"PAGO")</f>
        <v>PAGO</v>
      </c>
      <c r="B252" s="98" t="str">
        <f>IFERROR(__xludf.DUMMYFUNCTION("""COMPUTED_VALUE"""),"Pansleys House - Disk Marmitex")</f>
        <v>Pansleys House - Disk Marmitex</v>
      </c>
      <c r="C252" s="13">
        <f>IFERROR(__xludf.DUMMYFUNCTION("""COMPUTED_VALUE"""),12.0)</f>
        <v>12</v>
      </c>
      <c r="D252" s="13" t="str">
        <f>IFERROR(__xludf.DUMMYFUNCTION("""COMPUTED_VALUE"""),"SEX.")</f>
        <v>SEX.</v>
      </c>
      <c r="E252" s="13">
        <f>IFERROR(__xludf.DUMMYFUNCTION("""COMPUTED_VALUE"""),3.0)</f>
        <v>3</v>
      </c>
      <c r="F252" s="15"/>
      <c r="G252" s="16"/>
      <c r="H252" s="227">
        <f>IFERROR(__xludf.DUMMYFUNCTION("""COMPUTED_VALUE"""),33.0)</f>
        <v>33</v>
      </c>
      <c r="I252" s="21" t="str">
        <f>IFERROR(__xludf.DUMMYFUNCTION("""COMPUTED_VALUE"""),"NUBANK")</f>
        <v>NUBANK</v>
      </c>
      <c r="J252" s="21" t="str">
        <f>IFERROR(__xludf.DUMMYFUNCTION("""COMPUTED_VALUE"""),"#Lazer #Comida #Variavel")</f>
        <v>#Lazer #Comida #Variavel</v>
      </c>
      <c r="K252" s="216"/>
      <c r="L252" s="216"/>
      <c r="M252" s="216"/>
      <c r="N252" s="216"/>
      <c r="O252" s="216"/>
      <c r="P252" s="216"/>
      <c r="Q252" s="216"/>
    </row>
    <row r="253">
      <c r="A253" s="11" t="str">
        <f>IFERROR(__xludf.DUMMYFUNCTION("""COMPUTED_VALUE"""),"PAGO")</f>
        <v>PAGO</v>
      </c>
      <c r="B253" s="98" t="str">
        <f>IFERROR(__xludf.DUMMYFUNCTION("""COMPUTED_VALUE"""),"Convenio Carlos")</f>
        <v>Convenio Carlos</v>
      </c>
      <c r="C253" s="13">
        <f>IFERROR(__xludf.DUMMYFUNCTION("""COMPUTED_VALUE"""),15.0)</f>
        <v>15</v>
      </c>
      <c r="D253" s="13" t="str">
        <f>IFERROR(__xludf.DUMMYFUNCTION("""COMPUTED_VALUE"""),"SEG.")</f>
        <v>SEG.</v>
      </c>
      <c r="E253" s="13">
        <f>IFERROR(__xludf.DUMMYFUNCTION("""COMPUTED_VALUE"""),3.0)</f>
        <v>3</v>
      </c>
      <c r="F253" s="15">
        <f>IFERROR(__xludf.DUMMYFUNCTION("""COMPUTED_VALUE"""),44263.0)</f>
        <v>44263</v>
      </c>
      <c r="G253" s="16"/>
      <c r="H253" s="227">
        <f>IFERROR(__xludf.DUMMYFUNCTION("""COMPUTED_VALUE"""),208.7)</f>
        <v>208.7</v>
      </c>
      <c r="I253" s="21" t="str">
        <f>IFERROR(__xludf.DUMMYFUNCTION("""COMPUTED_VALUE"""),"INTER-PJ")</f>
        <v>INTER-PJ</v>
      </c>
      <c r="J253" s="21" t="str">
        <f>IFERROR(__xludf.DUMMYFUNCTION("""COMPUTED_VALUE"""),"#Essencial #Saude #Convenio #Familia #Fixo ")</f>
        <v>#Essencial #Saude #Convenio #Familia #Fixo </v>
      </c>
      <c r="K253" s="216"/>
      <c r="L253" s="216"/>
      <c r="M253" s="216"/>
      <c r="N253" s="216"/>
      <c r="O253" s="216"/>
      <c r="P253" s="216"/>
      <c r="Q253" s="216"/>
    </row>
    <row r="254">
      <c r="A254" s="11" t="str">
        <f>IFERROR(__xludf.DUMMYFUNCTION("""COMPUTED_VALUE"""),"PAGO")</f>
        <v>PAGO</v>
      </c>
      <c r="B254" s="98" t="str">
        <f>IFERROR(__xludf.DUMMYFUNCTION("""COMPUTED_VALUE"""),"Convenio Eduardo")</f>
        <v>Convenio Eduardo</v>
      </c>
      <c r="C254" s="13">
        <f>IFERROR(__xludf.DUMMYFUNCTION("""COMPUTED_VALUE"""),15.0)</f>
        <v>15</v>
      </c>
      <c r="D254" s="13" t="str">
        <f>IFERROR(__xludf.DUMMYFUNCTION("""COMPUTED_VALUE"""),"SEG.")</f>
        <v>SEG.</v>
      </c>
      <c r="E254" s="13">
        <f>IFERROR(__xludf.DUMMYFUNCTION("""COMPUTED_VALUE"""),3.0)</f>
        <v>3</v>
      </c>
      <c r="F254" s="15">
        <f>IFERROR(__xludf.DUMMYFUNCTION("""COMPUTED_VALUE"""),44263.0)</f>
        <v>44263</v>
      </c>
      <c r="G254" s="16"/>
      <c r="H254" s="227">
        <f>IFERROR(__xludf.DUMMYFUNCTION("""COMPUTED_VALUE"""),208.7)</f>
        <v>208.7</v>
      </c>
      <c r="I254" s="21" t="str">
        <f>IFERROR(__xludf.DUMMYFUNCTION("""COMPUTED_VALUE"""),"INTER-PJ")</f>
        <v>INTER-PJ</v>
      </c>
      <c r="J254" s="21" t="str">
        <f>IFERROR(__xludf.DUMMYFUNCTION("""COMPUTED_VALUE"""),"#Essencial #Saude #Convenio #Familia #Fixo ")</f>
        <v>#Essencial #Saude #Convenio #Familia #Fixo </v>
      </c>
      <c r="K254" s="216"/>
      <c r="L254" s="216"/>
      <c r="M254" s="216"/>
      <c r="N254" s="216"/>
      <c r="O254" s="216"/>
      <c r="P254" s="216"/>
      <c r="Q254" s="216"/>
    </row>
    <row r="255">
      <c r="A255" s="11" t="str">
        <f>IFERROR(__xludf.DUMMYFUNCTION("""COMPUTED_VALUE"""),"PAGO")</f>
        <v>PAGO</v>
      </c>
      <c r="B255" s="98" t="str">
        <f>IFERROR(__xludf.DUMMYFUNCTION("""COMPUTED_VALUE"""),"Convenio Roberta")</f>
        <v>Convenio Roberta</v>
      </c>
      <c r="C255" s="13">
        <f>IFERROR(__xludf.DUMMYFUNCTION("""COMPUTED_VALUE"""),15.0)</f>
        <v>15</v>
      </c>
      <c r="D255" s="13" t="str">
        <f>IFERROR(__xludf.DUMMYFUNCTION("""COMPUTED_VALUE"""),"SEG.")</f>
        <v>SEG.</v>
      </c>
      <c r="E255" s="13">
        <f>IFERROR(__xludf.DUMMYFUNCTION("""COMPUTED_VALUE"""),3.0)</f>
        <v>3</v>
      </c>
      <c r="F255" s="15">
        <f>IFERROR(__xludf.DUMMYFUNCTION("""COMPUTED_VALUE"""),44263.0)</f>
        <v>44263</v>
      </c>
      <c r="G255" s="16"/>
      <c r="H255" s="227">
        <f>IFERROR(__xludf.DUMMYFUNCTION("""COMPUTED_VALUE"""),293.88)</f>
        <v>293.88</v>
      </c>
      <c r="I255" s="21" t="str">
        <f>IFERROR(__xludf.DUMMYFUNCTION("""COMPUTED_VALUE"""),"INTER-PJ")</f>
        <v>INTER-PJ</v>
      </c>
      <c r="J255" s="21" t="str">
        <f>IFERROR(__xludf.DUMMYFUNCTION("""COMPUTED_VALUE"""),"#Essencial #Saude #Convenio #Familia #Fixo ")</f>
        <v>#Essencial #Saude #Convenio #Familia #Fixo </v>
      </c>
      <c r="K255" s="216"/>
      <c r="L255" s="216"/>
      <c r="M255" s="216"/>
      <c r="N255" s="216"/>
      <c r="O255" s="216"/>
      <c r="P255" s="216"/>
      <c r="Q255" s="216"/>
    </row>
    <row r="256">
      <c r="A256" s="11" t="str">
        <f>IFERROR(__xludf.DUMMYFUNCTION("""COMPUTED_VALUE"""),"PAGO")</f>
        <v>PAGO</v>
      </c>
      <c r="B256" s="98" t="str">
        <f>IFERROR(__xludf.DUMMYFUNCTION("""COMPUTED_VALUE"""),"Recarga Sodexo Alimentação IBM")</f>
        <v>Recarga Sodexo Alimentação IBM</v>
      </c>
      <c r="C256" s="13">
        <f>IFERROR(__xludf.DUMMYFUNCTION("""COMPUTED_VALUE"""),15.0)</f>
        <v>15</v>
      </c>
      <c r="D256" s="13" t="str">
        <f>IFERROR(__xludf.DUMMYFUNCTION("""COMPUTED_VALUE"""),"SEG.")</f>
        <v>SEG.</v>
      </c>
      <c r="E256" s="13">
        <f>IFERROR(__xludf.DUMMYFUNCTION("""COMPUTED_VALUE"""),3.0)</f>
        <v>3</v>
      </c>
      <c r="F256" s="15"/>
      <c r="G256" s="16">
        <f>IFERROR(__xludf.DUMMYFUNCTION("""COMPUTED_VALUE"""),531.0)</f>
        <v>531</v>
      </c>
      <c r="H256" s="227"/>
      <c r="I256" s="21" t="str">
        <f>IFERROR(__xludf.DUMMYFUNCTION("""COMPUTED_VALUE"""),"SODEXO-ALI-IBM")</f>
        <v>SODEXO-ALI-IBM</v>
      </c>
      <c r="J256" s="21" t="str">
        <f>IFERROR(__xludf.DUMMYFUNCTION("""COMPUTED_VALUE""")," #Recebimentos #Alimentação #Fixo")</f>
        <v> #Recebimentos #Alimentação #Fixo</v>
      </c>
      <c r="K256" s="216"/>
      <c r="L256" s="216"/>
      <c r="M256" s="216"/>
      <c r="N256" s="216"/>
      <c r="O256" s="216"/>
      <c r="P256" s="216"/>
      <c r="Q256" s="216"/>
    </row>
    <row r="257">
      <c r="A257" s="11" t="str">
        <f>IFERROR(__xludf.DUMMYFUNCTION("""COMPUTED_VALUE"""),"PAGO")</f>
        <v>PAGO</v>
      </c>
      <c r="B257" s="98" t="str">
        <f>IFERROR(__xludf.DUMMYFUNCTION("""COMPUTED_VALUE"""),"Recarga Sodexo Refeição IBM")</f>
        <v>Recarga Sodexo Refeição IBM</v>
      </c>
      <c r="C257" s="13">
        <f>IFERROR(__xludf.DUMMYFUNCTION("""COMPUTED_VALUE"""),15.0)</f>
        <v>15</v>
      </c>
      <c r="D257" s="13" t="str">
        <f>IFERROR(__xludf.DUMMYFUNCTION("""COMPUTED_VALUE"""),"SEG.")</f>
        <v>SEG.</v>
      </c>
      <c r="E257" s="13">
        <f>IFERROR(__xludf.DUMMYFUNCTION("""COMPUTED_VALUE"""),3.0)</f>
        <v>3</v>
      </c>
      <c r="F257" s="15"/>
      <c r="G257" s="16">
        <f>IFERROR(__xludf.DUMMYFUNCTION("""COMPUTED_VALUE"""),1154.55)</f>
        <v>1154.55</v>
      </c>
      <c r="H257" s="227"/>
      <c r="I257" s="21" t="str">
        <f>IFERROR(__xludf.DUMMYFUNCTION("""COMPUTED_VALUE"""),"SODEXO-REF-IBM")</f>
        <v>SODEXO-REF-IBM</v>
      </c>
      <c r="J257" s="21" t="str">
        <f>IFERROR(__xludf.DUMMYFUNCTION("""COMPUTED_VALUE"""),"#Recebimentos #Alimentação #Fixo")</f>
        <v>#Recebimentos #Alimentação #Fixo</v>
      </c>
      <c r="K257" s="216"/>
      <c r="L257" s="216"/>
      <c r="M257" s="216"/>
      <c r="N257" s="216"/>
      <c r="O257" s="216"/>
      <c r="P257" s="216"/>
      <c r="Q257" s="216"/>
    </row>
    <row r="258">
      <c r="A258" s="11" t="str">
        <f>IFERROR(__xludf.DUMMYFUNCTION("""COMPUTED_VALUE"""),"PAGO")</f>
        <v>PAGO</v>
      </c>
      <c r="B258" s="98" t="str">
        <f>IFERROR(__xludf.DUMMYFUNCTION("""COMPUTED_VALUE"""),"Assaí Atacadista")</f>
        <v>Assaí Atacadista</v>
      </c>
      <c r="C258" s="13">
        <f>IFERROR(__xludf.DUMMYFUNCTION("""COMPUTED_VALUE"""),15.0)</f>
        <v>15</v>
      </c>
      <c r="D258" s="13" t="str">
        <f>IFERROR(__xludf.DUMMYFUNCTION("""COMPUTED_VALUE"""),"SEG.")</f>
        <v>SEG.</v>
      </c>
      <c r="E258" s="13">
        <f>IFERROR(__xludf.DUMMYFUNCTION("""COMPUTED_VALUE"""),3.0)</f>
        <v>3</v>
      </c>
      <c r="F258" s="15"/>
      <c r="G258" s="16"/>
      <c r="H258" s="227">
        <f>IFERROR(__xludf.DUMMYFUNCTION("""COMPUTED_VALUE"""),531.0)</f>
        <v>531</v>
      </c>
      <c r="I258" s="21" t="str">
        <f>IFERROR(__xludf.DUMMYFUNCTION("""COMPUTED_VALUE"""),"SODEXO-ALI-IBM")</f>
        <v>SODEXO-ALI-IBM</v>
      </c>
      <c r="J258" s="21" t="str">
        <f>IFERROR(__xludf.DUMMYFUNCTION("""COMPUTED_VALUE"""),"#Moradia #Essencial #Mercado #Fixo #Alimentação ")</f>
        <v>#Moradia #Essencial #Mercado #Fixo #Alimentação </v>
      </c>
      <c r="K258" s="216"/>
      <c r="L258" s="216"/>
      <c r="M258" s="216"/>
      <c r="N258" s="216"/>
      <c r="O258" s="216"/>
      <c r="P258" s="216"/>
      <c r="Q258" s="216"/>
    </row>
    <row r="259">
      <c r="A259" s="11" t="str">
        <f>IFERROR(__xludf.DUMMYFUNCTION("""COMPUTED_VALUE"""),"PAGO")</f>
        <v>PAGO</v>
      </c>
      <c r="B259" s="98" t="str">
        <f>IFERROR(__xludf.DUMMYFUNCTION("""COMPUTED_VALUE"""),"Assaí Atacadista")</f>
        <v>Assaí Atacadista</v>
      </c>
      <c r="C259" s="13">
        <f>IFERROR(__xludf.DUMMYFUNCTION("""COMPUTED_VALUE"""),15.0)</f>
        <v>15</v>
      </c>
      <c r="D259" s="13" t="str">
        <f>IFERROR(__xludf.DUMMYFUNCTION("""COMPUTED_VALUE"""),"SEG.")</f>
        <v>SEG.</v>
      </c>
      <c r="E259" s="13">
        <f>IFERROR(__xludf.DUMMYFUNCTION("""COMPUTED_VALUE"""),3.0)</f>
        <v>3</v>
      </c>
      <c r="F259" s="15"/>
      <c r="G259" s="16"/>
      <c r="H259" s="227">
        <f>IFERROR(__xludf.DUMMYFUNCTION("""COMPUTED_VALUE"""),138.8)</f>
        <v>138.8</v>
      </c>
      <c r="I259" s="21" t="str">
        <f>IFERROR(__xludf.DUMMYFUNCTION("""COMPUTED_VALUE"""),"NUBANK")</f>
        <v>NUBANK</v>
      </c>
      <c r="J259" s="21" t="str">
        <f>IFERROR(__xludf.DUMMYFUNCTION("""COMPUTED_VALUE"""),"#Moradia #Essencial #Mercado #Fixo #Alimentação ")</f>
        <v>#Moradia #Essencial #Mercado #Fixo #Alimentação </v>
      </c>
      <c r="K259" s="216"/>
      <c r="L259" s="216"/>
      <c r="M259" s="216"/>
      <c r="N259" s="216"/>
      <c r="O259" s="216"/>
      <c r="P259" s="216"/>
      <c r="Q259" s="216"/>
    </row>
    <row r="260">
      <c r="A260" s="11" t="str">
        <f>IFERROR(__xludf.DUMMYFUNCTION("""COMPUTED_VALUE"""),"PAGO")</f>
        <v>PAGO</v>
      </c>
      <c r="B260" s="98" t="str">
        <f>IFERROR(__xludf.DUMMYFUNCTION("""COMPUTED_VALUE"""),"Entrada prestação casa de Itaquera")</f>
        <v>Entrada prestação casa de Itaquera</v>
      </c>
      <c r="C260" s="13">
        <f>IFERROR(__xludf.DUMMYFUNCTION("""COMPUTED_VALUE"""),16.0)</f>
        <v>16</v>
      </c>
      <c r="D260" s="13" t="str">
        <f>IFERROR(__xludf.DUMMYFUNCTION("""COMPUTED_VALUE"""),"TER.")</f>
        <v>TER.</v>
      </c>
      <c r="E260" s="13">
        <f>IFERROR(__xludf.DUMMYFUNCTION("""COMPUTED_VALUE"""),3.0)</f>
        <v>3</v>
      </c>
      <c r="F260" s="15"/>
      <c r="G260" s="16">
        <f>IFERROR(__xludf.DUMMYFUNCTION("""COMPUTED_VALUE"""),2500.0)</f>
        <v>2500</v>
      </c>
      <c r="H260" s="227"/>
      <c r="I260" s="21" t="str">
        <f>IFERROR(__xludf.DUMMYFUNCTION("""COMPUTED_VALUE"""),"INTER")</f>
        <v>INTER</v>
      </c>
      <c r="J260" s="21" t="str">
        <f>IFERROR(__xludf.DUMMYFUNCTION("""COMPUTED_VALUE"""),"#Recebimentos #Prestação #Itaquera #Inter #Extra")</f>
        <v>#Recebimentos #Prestação #Itaquera #Inter #Extra</v>
      </c>
      <c r="K260" s="216"/>
      <c r="L260" s="216"/>
      <c r="M260" s="216"/>
      <c r="N260" s="216"/>
      <c r="O260" s="216"/>
      <c r="P260" s="216"/>
      <c r="Q260" s="216"/>
    </row>
    <row r="261">
      <c r="A261" s="11" t="str">
        <f>IFERROR(__xludf.DUMMYFUNCTION("""COMPUTED_VALUE"""),"PAGO")</f>
        <v>PAGO</v>
      </c>
      <c r="B261" s="98" t="str">
        <f>IFERROR(__xludf.DUMMYFUNCTION("""COMPUTED_VALUE"""),"Levitar SJC - sorvetes")</f>
        <v>Levitar SJC - sorvetes</v>
      </c>
      <c r="C261" s="13">
        <f>IFERROR(__xludf.DUMMYFUNCTION("""COMPUTED_VALUE"""),17.0)</f>
        <v>17</v>
      </c>
      <c r="D261" s="13" t="str">
        <f>IFERROR(__xludf.DUMMYFUNCTION("""COMPUTED_VALUE"""),"QUA.")</f>
        <v>QUA.</v>
      </c>
      <c r="E261" s="13">
        <f>IFERROR(__xludf.DUMMYFUNCTION("""COMPUTED_VALUE"""),3.0)</f>
        <v>3</v>
      </c>
      <c r="F261" s="15"/>
      <c r="G261" s="16"/>
      <c r="H261" s="227">
        <f>IFERROR(__xludf.DUMMYFUNCTION("""COMPUTED_VALUE"""),20.0)</f>
        <v>20</v>
      </c>
      <c r="I261" s="21" t="str">
        <f>IFERROR(__xludf.DUMMYFUNCTION("""COMPUTED_VALUE"""),"NUBANK")</f>
        <v>NUBANK</v>
      </c>
      <c r="J261" s="21" t="str">
        <f>IFERROR(__xludf.DUMMYFUNCTION("""COMPUTED_VALUE"""),"#Lazer #Comida #Variavel")</f>
        <v>#Lazer #Comida #Variavel</v>
      </c>
      <c r="K261" s="216"/>
      <c r="L261" s="216"/>
      <c r="M261" s="216"/>
      <c r="N261" s="216"/>
      <c r="O261" s="216"/>
      <c r="P261" s="216"/>
      <c r="Q261" s="216"/>
    </row>
    <row r="262">
      <c r="A262" s="11" t="str">
        <f>IFERROR(__xludf.DUMMYFUNCTION("""COMPUTED_VALUE"""),"PAGO")</f>
        <v>PAGO</v>
      </c>
      <c r="B262" s="98" t="str">
        <f>IFERROR(__xludf.DUMMYFUNCTION("""COMPUTED_VALUE"""),"Rendimento")</f>
        <v>Rendimento</v>
      </c>
      <c r="C262" s="13">
        <f>IFERROR(__xludf.DUMMYFUNCTION("""COMPUTED_VALUE"""),18.0)</f>
        <v>18</v>
      </c>
      <c r="D262" s="13" t="str">
        <f>IFERROR(__xludf.DUMMYFUNCTION("""COMPUTED_VALUE"""),"QUI.")</f>
        <v>QUI.</v>
      </c>
      <c r="E262" s="13">
        <f>IFERROR(__xludf.DUMMYFUNCTION("""COMPUTED_VALUE"""),3.0)</f>
        <v>3</v>
      </c>
      <c r="F262" s="15"/>
      <c r="G262" s="16">
        <f>IFERROR(__xludf.DUMMYFUNCTION("""COMPUTED_VALUE"""),0.94)</f>
        <v>0.94</v>
      </c>
      <c r="H262" s="227"/>
      <c r="I262" s="21" t="str">
        <f>IFERROR(__xludf.DUMMYFUNCTION("""COMPUTED_VALUE"""),"NUBANK")</f>
        <v>NUBANK</v>
      </c>
      <c r="J262" s="21" t="str">
        <f>IFERROR(__xludf.DUMMYFUNCTION("""COMPUTED_VALUE"""),"#Recebimentos #Rendimentos #Variavel")</f>
        <v>#Recebimentos #Rendimentos #Variavel</v>
      </c>
      <c r="K262" s="216"/>
      <c r="L262" s="216"/>
      <c r="M262" s="216"/>
      <c r="N262" s="216"/>
      <c r="O262" s="216"/>
      <c r="P262" s="216"/>
      <c r="Q262" s="216"/>
    </row>
    <row r="263">
      <c r="A263" s="11" t="str">
        <f>IFERROR(__xludf.DUMMYFUNCTION("""COMPUTED_VALUE"""),"PAGO")</f>
        <v>PAGO</v>
      </c>
      <c r="B263" s="98" t="str">
        <f>IFERROR(__xludf.DUMMYFUNCTION("""COMPUTED_VALUE"""),"NOBILIS CONTABILIDADE")</f>
        <v>NOBILIS CONTABILIDADE</v>
      </c>
      <c r="C263" s="13">
        <f>IFERROR(__xludf.DUMMYFUNCTION("""COMPUTED_VALUE"""),20.0)</f>
        <v>20</v>
      </c>
      <c r="D263" s="13" t="str">
        <f>IFERROR(__xludf.DUMMYFUNCTION("""COMPUTED_VALUE"""),"SÁB.")</f>
        <v>SÁB.</v>
      </c>
      <c r="E263" s="13">
        <f>IFERROR(__xludf.DUMMYFUNCTION("""COMPUTED_VALUE"""),3.0)</f>
        <v>3</v>
      </c>
      <c r="F263" s="15"/>
      <c r="G263" s="16"/>
      <c r="H263" s="227">
        <f>IFERROR(__xludf.DUMMYFUNCTION("""COMPUTED_VALUE"""),140.0)</f>
        <v>140</v>
      </c>
      <c r="I263" s="21" t="str">
        <f>IFERROR(__xludf.DUMMYFUNCTION("""COMPUTED_VALUE"""),"NUBANK")</f>
        <v>NUBANK</v>
      </c>
      <c r="J263" s="21" t="str">
        <f>IFERROR(__xludf.DUMMYFUNCTION("""COMPUTED_VALUE"""),"#Fixo #Contador ")</f>
        <v>#Fixo #Contador </v>
      </c>
      <c r="K263" s="216"/>
      <c r="L263" s="216"/>
      <c r="M263" s="216"/>
      <c r="N263" s="216"/>
      <c r="O263" s="216"/>
      <c r="P263" s="216"/>
      <c r="Q263" s="216"/>
    </row>
    <row r="264">
      <c r="A264" s="11" t="str">
        <f>IFERROR(__xludf.DUMMYFUNCTION("""COMPUTED_VALUE"""),"PAGO")</f>
        <v>PAGO</v>
      </c>
      <c r="B264" s="98" t="str">
        <f>IFERROR(__xludf.DUMMYFUNCTION("""COMPUTED_VALUE"""),"DAS - Simples Nacional")</f>
        <v>DAS - Simples Nacional</v>
      </c>
      <c r="C264" s="13">
        <f>IFERROR(__xludf.DUMMYFUNCTION("""COMPUTED_VALUE"""),20.0)</f>
        <v>20</v>
      </c>
      <c r="D264" s="13" t="str">
        <f>IFERROR(__xludf.DUMMYFUNCTION("""COMPUTED_VALUE"""),"SÁB.")</f>
        <v>SÁB.</v>
      </c>
      <c r="E264" s="13">
        <f>IFERROR(__xludf.DUMMYFUNCTION("""COMPUTED_VALUE"""),3.0)</f>
        <v>3</v>
      </c>
      <c r="F264" s="15"/>
      <c r="G264" s="16"/>
      <c r="H264" s="227">
        <f>IFERROR(__xludf.DUMMYFUNCTION("""COMPUTED_VALUE"""),218.0)</f>
        <v>218</v>
      </c>
      <c r="I264" s="21" t="str">
        <f>IFERROR(__xludf.DUMMYFUNCTION("""COMPUTED_VALUE"""),"NUBANK")</f>
        <v>NUBANK</v>
      </c>
      <c r="J264" s="21" t="str">
        <f>IFERROR(__xludf.DUMMYFUNCTION("""COMPUTED_VALUE"""),"#Impostos #Fixo ")</f>
        <v>#Impostos #Fixo </v>
      </c>
      <c r="K264" s="216"/>
      <c r="L264" s="216"/>
      <c r="M264" s="216"/>
      <c r="N264" s="216"/>
      <c r="O264" s="216"/>
      <c r="P264" s="216"/>
      <c r="Q264" s="216"/>
    </row>
    <row r="265">
      <c r="A265" s="11" t="str">
        <f>IFERROR(__xludf.DUMMYFUNCTION("""COMPUTED_VALUE"""),"PAGO")</f>
        <v>PAGO</v>
      </c>
      <c r="B265" s="98" t="str">
        <f>IFERROR(__xludf.DUMMYFUNCTION("""COMPUTED_VALUE"""),"Convenio Cicero")</f>
        <v>Convenio Cicero</v>
      </c>
      <c r="C265" s="13">
        <f>IFERROR(__xludf.DUMMYFUNCTION("""COMPUTED_VALUE"""),20.0)</f>
        <v>20</v>
      </c>
      <c r="D265" s="13" t="str">
        <f>IFERROR(__xludf.DUMMYFUNCTION("""COMPUTED_VALUE"""),"SÁB.")</f>
        <v>SÁB.</v>
      </c>
      <c r="E265" s="13">
        <f>IFERROR(__xludf.DUMMYFUNCTION("""COMPUTED_VALUE"""),3.0)</f>
        <v>3</v>
      </c>
      <c r="F265" s="15">
        <f>IFERROR(__xludf.DUMMYFUNCTION("""COMPUTED_VALUE"""),44263.0)</f>
        <v>44263</v>
      </c>
      <c r="G265" s="16"/>
      <c r="H265" s="227">
        <f>IFERROR(__xludf.DUMMYFUNCTION("""COMPUTED_VALUE"""),413.41)</f>
        <v>413.41</v>
      </c>
      <c r="I265" s="21" t="str">
        <f>IFERROR(__xludf.DUMMYFUNCTION("""COMPUTED_VALUE"""),"NUBANK")</f>
        <v>NUBANK</v>
      </c>
      <c r="J265" s="21" t="str">
        <f>IFERROR(__xludf.DUMMYFUNCTION("""COMPUTED_VALUE"""),"#Essencial #Saude #Convenio #Familia #Cicero #Fixo ")</f>
        <v>#Essencial #Saude #Convenio #Familia #Cicero #Fixo </v>
      </c>
      <c r="K265" s="216"/>
      <c r="L265" s="216"/>
      <c r="M265" s="216"/>
      <c r="N265" s="216"/>
      <c r="O265" s="216"/>
      <c r="P265" s="216"/>
      <c r="Q265" s="216"/>
    </row>
    <row r="266">
      <c r="A266" s="11" t="str">
        <f>IFERROR(__xludf.DUMMYFUNCTION("""COMPUTED_VALUE"""),"PAGO")</f>
        <v>PAGO</v>
      </c>
      <c r="B266" s="98" t="str">
        <f>IFERROR(__xludf.DUMMYFUNCTION("""COMPUTED_VALUE"""),"Drop Burger")</f>
        <v>Drop Burger</v>
      </c>
      <c r="C266" s="13">
        <f>IFERROR(__xludf.DUMMYFUNCTION("""COMPUTED_VALUE"""),21.0)</f>
        <v>21</v>
      </c>
      <c r="D266" s="13" t="str">
        <f>IFERROR(__xludf.DUMMYFUNCTION("""COMPUTED_VALUE"""),"DOM.")</f>
        <v>DOM.</v>
      </c>
      <c r="E266" s="13">
        <f>IFERROR(__xludf.DUMMYFUNCTION("""COMPUTED_VALUE"""),3.0)</f>
        <v>3</v>
      </c>
      <c r="F266" s="15"/>
      <c r="G266" s="16"/>
      <c r="H266" s="227">
        <f>IFERROR(__xludf.DUMMYFUNCTION("""COMPUTED_VALUE"""),95.7)</f>
        <v>95.7</v>
      </c>
      <c r="I266" s="21" t="str">
        <f>IFERROR(__xludf.DUMMYFUNCTION("""COMPUTED_VALUE"""),"SODEXO-REF-IBM")</f>
        <v>SODEXO-REF-IBM</v>
      </c>
      <c r="J266" s="21" t="str">
        <f>IFERROR(__xludf.DUMMYFUNCTION("""COMPUTED_VALUE"""),"#Lazer #Comida #Variavel")</f>
        <v>#Lazer #Comida #Variavel</v>
      </c>
      <c r="K266" s="216"/>
      <c r="L266" s="216"/>
      <c r="M266" s="216"/>
      <c r="N266" s="216"/>
      <c r="O266" s="216"/>
      <c r="P266" s="216"/>
      <c r="Q266" s="216"/>
    </row>
    <row r="267">
      <c r="A267" s="11" t="str">
        <f>IFERROR(__xludf.DUMMYFUNCTION("""COMPUTED_VALUE"""),"PAGO")</f>
        <v>PAGO</v>
      </c>
      <c r="B267" s="98" t="str">
        <f>IFERROR(__xludf.DUMMYFUNCTION("""COMPUTED_VALUE"""),"Transferi para investimento - Clear")</f>
        <v>Transferi para investimento - Clear</v>
      </c>
      <c r="C267" s="13">
        <f>IFERROR(__xludf.DUMMYFUNCTION("""COMPUTED_VALUE"""),22.0)</f>
        <v>22</v>
      </c>
      <c r="D267" s="13" t="str">
        <f>IFERROR(__xludf.DUMMYFUNCTION("""COMPUTED_VALUE"""),"SEG.")</f>
        <v>SEG.</v>
      </c>
      <c r="E267" s="13">
        <f>IFERROR(__xludf.DUMMYFUNCTION("""COMPUTED_VALUE"""),3.0)</f>
        <v>3</v>
      </c>
      <c r="F267" s="15"/>
      <c r="G267" s="16"/>
      <c r="H267" s="227">
        <f>IFERROR(__xludf.DUMMYFUNCTION("""COMPUTED_VALUE"""),2500.0)</f>
        <v>2500</v>
      </c>
      <c r="I267" s="21" t="str">
        <f>IFERROR(__xludf.DUMMYFUNCTION("""COMPUTED_VALUE"""),"INTER")</f>
        <v>INTER</v>
      </c>
      <c r="J267" s="21" t="str">
        <f>IFERROR(__xludf.DUMMYFUNCTION("""COMPUTED_VALUE"""),"#Transferencia #Investimento #Extra #Clear")</f>
        <v>#Transferencia #Investimento #Extra #Clear</v>
      </c>
      <c r="K267" s="216"/>
      <c r="L267" s="216"/>
      <c r="M267" s="216"/>
      <c r="N267" s="216"/>
      <c r="O267" s="216"/>
      <c r="P267" s="216"/>
      <c r="Q267" s="216"/>
    </row>
    <row r="268">
      <c r="A268" s="11" t="str">
        <f>IFERROR(__xludf.DUMMYFUNCTION("""COMPUTED_VALUE"""),"PAGO")</f>
        <v>PAGO</v>
      </c>
      <c r="B268" s="98" t="str">
        <f>IFERROR(__xludf.DUMMYFUNCTION("""COMPUTED_VALUE"""),"Luz - DEBITO AUTO")</f>
        <v>Luz - DEBITO AUTO</v>
      </c>
      <c r="C268" s="13">
        <f>IFERROR(__xludf.DUMMYFUNCTION("""COMPUTED_VALUE"""),22.0)</f>
        <v>22</v>
      </c>
      <c r="D268" s="13" t="str">
        <f>IFERROR(__xludf.DUMMYFUNCTION("""COMPUTED_VALUE"""),"SEG.")</f>
        <v>SEG.</v>
      </c>
      <c r="E268" s="13">
        <f>IFERROR(__xludf.DUMMYFUNCTION("""COMPUTED_VALUE"""),3.0)</f>
        <v>3</v>
      </c>
      <c r="F268" s="15"/>
      <c r="G268" s="16"/>
      <c r="H268" s="227">
        <f>IFERROR(__xludf.DUMMYFUNCTION("""COMPUTED_VALUE"""),244.85)</f>
        <v>244.85</v>
      </c>
      <c r="I268" s="21" t="str">
        <f>IFERROR(__xludf.DUMMYFUNCTION("""COMPUTED_VALUE"""),"ITAU")</f>
        <v>ITAU</v>
      </c>
      <c r="J268" s="21" t="str">
        <f>IFERROR(__xludf.DUMMYFUNCTION("""COMPUTED_VALUE"""),"#Moradia #Essencial #Luz #Fixo")</f>
        <v>#Moradia #Essencial #Luz #Fixo</v>
      </c>
      <c r="K268" s="216"/>
      <c r="L268" s="216"/>
      <c r="M268" s="216"/>
      <c r="N268" s="216"/>
      <c r="O268" s="216"/>
      <c r="P268" s="216"/>
      <c r="Q268" s="216"/>
    </row>
    <row r="269">
      <c r="A269" s="11" t="str">
        <f>IFERROR(__xludf.DUMMYFUNCTION("""COMPUTED_VALUE"""),"PAGO")</f>
        <v>PAGO</v>
      </c>
      <c r="B269" s="98" t="str">
        <f>IFERROR(__xludf.DUMMYFUNCTION("""COMPUTED_VALUE"""),"Vinny bebê com leucemia - Transferi por PIX")</f>
        <v>Vinny bebê com leucemia - Transferi por PIX</v>
      </c>
      <c r="C269" s="13">
        <f>IFERROR(__xludf.DUMMYFUNCTION("""COMPUTED_VALUE"""),23.0)</f>
        <v>23</v>
      </c>
      <c r="D269" s="13" t="str">
        <f>IFERROR(__xludf.DUMMYFUNCTION("""COMPUTED_VALUE"""),"TER.")</f>
        <v>TER.</v>
      </c>
      <c r="E269" s="13">
        <f>IFERROR(__xludf.DUMMYFUNCTION("""COMPUTED_VALUE"""),3.0)</f>
        <v>3</v>
      </c>
      <c r="F269" s="15"/>
      <c r="G269" s="16"/>
      <c r="H269" s="227">
        <f>IFERROR(__xludf.DUMMYFUNCTION("""COMPUTED_VALUE"""),400.0)</f>
        <v>400</v>
      </c>
      <c r="I269" s="21" t="str">
        <f>IFERROR(__xludf.DUMMYFUNCTION("""COMPUTED_VALUE"""),"NUBANK")</f>
        <v>NUBANK</v>
      </c>
      <c r="J269" s="21" t="str">
        <f>IFERROR(__xludf.DUMMYFUNCTION("""COMPUTED_VALUE"""),"#Doação #Extra #Variavel")</f>
        <v>#Doação #Extra #Variavel</v>
      </c>
      <c r="K269" s="216"/>
      <c r="L269" s="216"/>
      <c r="M269" s="216"/>
      <c r="N269" s="216"/>
      <c r="O269" s="216"/>
      <c r="P269" s="216"/>
      <c r="Q269" s="216"/>
    </row>
    <row r="270">
      <c r="A270" s="11" t="str">
        <f>IFERROR(__xludf.DUMMYFUNCTION("""COMPUTED_VALUE"""),"PAGO")</f>
        <v>PAGO</v>
      </c>
      <c r="B270" s="98" t="str">
        <f>IFERROR(__xludf.DUMMYFUNCTION("""COMPUTED_VALUE"""),"Kalunga - Suporte p/notebook plástico regulável preto")</f>
        <v>Kalunga - Suporte p/notebook plástico regulável preto</v>
      </c>
      <c r="C270" s="13">
        <f>IFERROR(__xludf.DUMMYFUNCTION("""COMPUTED_VALUE"""),24.0)</f>
        <v>24</v>
      </c>
      <c r="D270" s="13" t="str">
        <f>IFERROR(__xludf.DUMMYFUNCTION("""COMPUTED_VALUE"""),"QUA.")</f>
        <v>QUA.</v>
      </c>
      <c r="E270" s="13">
        <f>IFERROR(__xludf.DUMMYFUNCTION("""COMPUTED_VALUE"""),3.0)</f>
        <v>3</v>
      </c>
      <c r="F270" s="15"/>
      <c r="G270" s="16"/>
      <c r="H270" s="227">
        <f>IFERROR(__xludf.DUMMYFUNCTION("""COMPUTED_VALUE"""),98.2)</f>
        <v>98.2</v>
      </c>
      <c r="I270" s="21" t="str">
        <f>IFERROR(__xludf.DUMMYFUNCTION("""COMPUTED_VALUE"""),"INTER-PJ")</f>
        <v>INTER-PJ</v>
      </c>
      <c r="J270" s="21" t="str">
        <f>IFERROR(__xludf.DUMMYFUNCTION("""COMPUTED_VALUE"""),"#Presentes #Cicero #Lazer #Variavel")</f>
        <v>#Presentes #Cicero #Lazer #Variavel</v>
      </c>
      <c r="K270" s="216"/>
      <c r="L270" s="216"/>
      <c r="M270" s="216"/>
      <c r="N270" s="216"/>
      <c r="O270" s="216"/>
      <c r="P270" s="216"/>
      <c r="Q270" s="216"/>
    </row>
    <row r="271">
      <c r="A271" s="11" t="str">
        <f>IFERROR(__xludf.DUMMYFUNCTION("""COMPUTED_VALUE"""),"PAGO")</f>
        <v>PAGO</v>
      </c>
      <c r="B271" s="98" t="str">
        <f>IFERROR(__xludf.DUMMYFUNCTION("""COMPUTED_VALUE"""),"Farmácia Farma Leste - Shibata")</f>
        <v>Farmácia Farma Leste - Shibata</v>
      </c>
      <c r="C271" s="13">
        <f>IFERROR(__xludf.DUMMYFUNCTION("""COMPUTED_VALUE"""),24.0)</f>
        <v>24</v>
      </c>
      <c r="D271" s="13" t="str">
        <f>IFERROR(__xludf.DUMMYFUNCTION("""COMPUTED_VALUE"""),"QUA.")</f>
        <v>QUA.</v>
      </c>
      <c r="E271" s="13">
        <f>IFERROR(__xludf.DUMMYFUNCTION("""COMPUTED_VALUE"""),3.0)</f>
        <v>3</v>
      </c>
      <c r="F271" s="15"/>
      <c r="G271" s="16"/>
      <c r="H271" s="227">
        <f>IFERROR(__xludf.DUMMYFUNCTION("""COMPUTED_VALUE"""),61.98)</f>
        <v>61.98</v>
      </c>
      <c r="I271" s="21" t="str">
        <f>IFERROR(__xludf.DUMMYFUNCTION("""COMPUTED_VALUE"""),"NUBANK")</f>
        <v>NUBANK</v>
      </c>
      <c r="J271" s="21" t="str">
        <f>IFERROR(__xludf.DUMMYFUNCTION("""COMPUTED_VALUE"""),"#Remedios #Carlos #Roberta #Variavel")</f>
        <v>#Remedios #Carlos #Roberta #Variavel</v>
      </c>
      <c r="K271" s="216"/>
      <c r="L271" s="216"/>
      <c r="M271" s="216"/>
      <c r="N271" s="216"/>
      <c r="O271" s="216"/>
      <c r="P271" s="216"/>
      <c r="Q271" s="216"/>
    </row>
    <row r="272">
      <c r="A272" s="11" t="str">
        <f>IFERROR(__xludf.DUMMYFUNCTION("""COMPUTED_VALUE"""),"PAGO")</f>
        <v>PAGO</v>
      </c>
      <c r="B272" s="98" t="str">
        <f>IFERROR(__xludf.DUMMYFUNCTION("""COMPUTED_VALUE"""),"Shibata")</f>
        <v>Shibata</v>
      </c>
      <c r="C272" s="13">
        <f>IFERROR(__xludf.DUMMYFUNCTION("""COMPUTED_VALUE"""),24.0)</f>
        <v>24</v>
      </c>
      <c r="D272" s="13" t="str">
        <f>IFERROR(__xludf.DUMMYFUNCTION("""COMPUTED_VALUE"""),"QUA.")</f>
        <v>QUA.</v>
      </c>
      <c r="E272" s="13">
        <f>IFERROR(__xludf.DUMMYFUNCTION("""COMPUTED_VALUE"""),3.0)</f>
        <v>3</v>
      </c>
      <c r="F272" s="15"/>
      <c r="G272" s="16"/>
      <c r="H272" s="227">
        <f>IFERROR(__xludf.DUMMYFUNCTION("""COMPUTED_VALUE"""),236.87)</f>
        <v>236.87</v>
      </c>
      <c r="I272" s="21" t="str">
        <f>IFERROR(__xludf.DUMMYFUNCTION("""COMPUTED_VALUE"""),"SODEXO-REF-IBM")</f>
        <v>SODEXO-REF-IBM</v>
      </c>
      <c r="J272" s="21" t="str">
        <f>IFERROR(__xludf.DUMMYFUNCTION("""COMPUTED_VALUE"""),"#Moradia #Essencial #Mercado #Variavel #Alimentação ")</f>
        <v>#Moradia #Essencial #Mercado #Variavel #Alimentação </v>
      </c>
      <c r="K272" s="216"/>
      <c r="L272" s="216"/>
      <c r="M272" s="216"/>
      <c r="N272" s="216"/>
      <c r="O272" s="216"/>
      <c r="P272" s="216"/>
      <c r="Q272" s="216"/>
    </row>
    <row r="273">
      <c r="A273" s="11" t="str">
        <f>IFERROR(__xludf.DUMMYFUNCTION("""COMPUTED_VALUE"""),"PAGO")</f>
        <v>PAGO</v>
      </c>
      <c r="B273" s="98" t="str">
        <f>IFERROR(__xludf.DUMMYFUNCTION("""COMPUTED_VALUE"""),"Agua - ITAQUERA")</f>
        <v>Agua - ITAQUERA</v>
      </c>
      <c r="C273" s="13">
        <f>IFERROR(__xludf.DUMMYFUNCTION("""COMPUTED_VALUE"""),24.0)</f>
        <v>24</v>
      </c>
      <c r="D273" s="13" t="str">
        <f>IFERROR(__xludf.DUMMYFUNCTION("""COMPUTED_VALUE"""),"QUA.")</f>
        <v>QUA.</v>
      </c>
      <c r="E273" s="13">
        <f>IFERROR(__xludf.DUMMYFUNCTION("""COMPUTED_VALUE"""),3.0)</f>
        <v>3</v>
      </c>
      <c r="F273" s="15">
        <f>IFERROR(__xludf.DUMMYFUNCTION("""COMPUTED_VALUE"""),44277.0)</f>
        <v>44277</v>
      </c>
      <c r="G273" s="16"/>
      <c r="H273" s="227">
        <f>IFERROR(__xludf.DUMMYFUNCTION("""COMPUTED_VALUE"""),54.41)</f>
        <v>54.41</v>
      </c>
      <c r="I273" s="21" t="str">
        <f>IFERROR(__xludf.DUMMYFUNCTION("""COMPUTED_VALUE"""),"NUBANK")</f>
        <v>NUBANK</v>
      </c>
      <c r="J273" s="21" t="str">
        <f>IFERROR(__xludf.DUMMYFUNCTION("""COMPUTED_VALUE"""),"#Itaquera #Essencial #AjudaAlmir #Fixo")</f>
        <v>#Itaquera #Essencial #AjudaAlmir #Fixo</v>
      </c>
      <c r="K273" s="216"/>
      <c r="L273" s="216"/>
      <c r="M273" s="216"/>
      <c r="N273" s="216"/>
      <c r="O273" s="216"/>
      <c r="P273" s="216"/>
      <c r="Q273" s="216"/>
    </row>
    <row r="274">
      <c r="A274" s="11" t="str">
        <f>IFERROR(__xludf.DUMMYFUNCTION("""COMPUTED_VALUE"""),"PAGO")</f>
        <v>PAGO</v>
      </c>
      <c r="B274" s="98" t="str">
        <f>IFERROR(__xludf.DUMMYFUNCTION("""COMPUTED_VALUE"""),"iFood - Burguer King - 4 Hamb. 1 Balde de fritas 2 refri lata")</f>
        <v>iFood - Burguer King - 4 Hamb. 1 Balde de fritas 2 refri lata</v>
      </c>
      <c r="C274" s="13">
        <f>IFERROR(__xludf.DUMMYFUNCTION("""COMPUTED_VALUE"""),26.0)</f>
        <v>26</v>
      </c>
      <c r="D274" s="13" t="str">
        <f>IFERROR(__xludf.DUMMYFUNCTION("""COMPUTED_VALUE"""),"SEX.")</f>
        <v>SEX.</v>
      </c>
      <c r="E274" s="13">
        <f>IFERROR(__xludf.DUMMYFUNCTION("""COMPUTED_VALUE"""),3.0)</f>
        <v>3</v>
      </c>
      <c r="F274" s="15"/>
      <c r="G274" s="16"/>
      <c r="H274" s="227">
        <f>IFERROR(__xludf.DUMMYFUNCTION("""COMPUTED_VALUE"""),64.89)</f>
        <v>64.89</v>
      </c>
      <c r="I274" s="21" t="str">
        <f>IFERROR(__xludf.DUMMYFUNCTION("""COMPUTED_VALUE"""),"NUBANK")</f>
        <v>NUBANK</v>
      </c>
      <c r="J274" s="21" t="str">
        <f>IFERROR(__xludf.DUMMYFUNCTION("""COMPUTED_VALUE"""),"#Lazer #Comida #Variavel")</f>
        <v>#Lazer #Comida #Variavel</v>
      </c>
      <c r="K274" s="216"/>
      <c r="L274" s="216"/>
      <c r="M274" s="216"/>
      <c r="N274" s="216"/>
      <c r="O274" s="216"/>
      <c r="P274" s="216"/>
      <c r="Q274" s="216"/>
    </row>
    <row r="275">
      <c r="A275" s="11" t="str">
        <f>IFERROR(__xludf.DUMMYFUNCTION("""COMPUTED_VALUE"""),"PAGO")</f>
        <v>PAGO</v>
      </c>
      <c r="B275" s="98" t="str">
        <f>IFERROR(__xludf.DUMMYFUNCTION("""COMPUTED_VALUE"""),"Dom Vegano SJC Vale Sul Shopping - Ovos de Páscoa Vegano 1/2")</f>
        <v>Dom Vegano SJC Vale Sul Shopping - Ovos de Páscoa Vegano 1/2</v>
      </c>
      <c r="C275" s="13">
        <f>IFERROR(__xludf.DUMMYFUNCTION("""COMPUTED_VALUE"""),27.0)</f>
        <v>27</v>
      </c>
      <c r="D275" s="13" t="str">
        <f>IFERROR(__xludf.DUMMYFUNCTION("""COMPUTED_VALUE"""),"SÁB.")</f>
        <v>SÁB.</v>
      </c>
      <c r="E275" s="13">
        <f>IFERROR(__xludf.DUMMYFUNCTION("""COMPUTED_VALUE"""),3.0)</f>
        <v>3</v>
      </c>
      <c r="F275" s="15"/>
      <c r="G275" s="16"/>
      <c r="H275" s="227">
        <f>IFERROR(__xludf.DUMMYFUNCTION("""COMPUTED_VALUE"""),74.7)</f>
        <v>74.7</v>
      </c>
      <c r="I275" s="21" t="str">
        <f>IFERROR(__xludf.DUMMYFUNCTION("""COMPUTED_VALUE"""),"NUBANK")</f>
        <v>NUBANK</v>
      </c>
      <c r="J275" s="21" t="str">
        <f>IFERROR(__xludf.DUMMYFUNCTION("""COMPUTED_VALUE"""),"#Lazer #Comida #Variavel")</f>
        <v>#Lazer #Comida #Variavel</v>
      </c>
      <c r="K275" s="216"/>
      <c r="L275" s="216"/>
      <c r="M275" s="216"/>
      <c r="N275" s="216"/>
      <c r="O275" s="216"/>
      <c r="P275" s="216"/>
      <c r="Q275" s="216"/>
    </row>
    <row r="276">
      <c r="A276" s="11" t="str">
        <f>IFERROR(__xludf.DUMMYFUNCTION("""COMPUTED_VALUE"""),"PAGO")</f>
        <v>PAGO</v>
      </c>
      <c r="B276" s="98" t="str">
        <f>IFERROR(__xludf.DUMMYFUNCTION("""COMPUTED_VALUE"""),"iFood - Pizzaria Tropikal")</f>
        <v>iFood - Pizzaria Tropikal</v>
      </c>
      <c r="C276" s="13">
        <f>IFERROR(__xludf.DUMMYFUNCTION("""COMPUTED_VALUE"""),28.0)</f>
        <v>28</v>
      </c>
      <c r="D276" s="13" t="str">
        <f>IFERROR(__xludf.DUMMYFUNCTION("""COMPUTED_VALUE"""),"DOM.")</f>
        <v>DOM.</v>
      </c>
      <c r="E276" s="13">
        <f>IFERROR(__xludf.DUMMYFUNCTION("""COMPUTED_VALUE"""),3.0)</f>
        <v>3</v>
      </c>
      <c r="F276" s="15"/>
      <c r="G276" s="16"/>
      <c r="H276" s="227">
        <f>IFERROR(__xludf.DUMMYFUNCTION("""COMPUTED_VALUE"""),32.0)</f>
        <v>32</v>
      </c>
      <c r="I276" s="21" t="str">
        <f>IFERROR(__xludf.DUMMYFUNCTION("""COMPUTED_VALUE"""),"SODEXO-REF-IBM")</f>
        <v>SODEXO-REF-IBM</v>
      </c>
      <c r="J276" s="21" t="str">
        <f>IFERROR(__xludf.DUMMYFUNCTION("""COMPUTED_VALUE"""),"#Lazer #Comida #Variavel")</f>
        <v>#Lazer #Comida #Variavel</v>
      </c>
      <c r="K276" s="216"/>
      <c r="L276" s="216"/>
      <c r="M276" s="216"/>
      <c r="N276" s="216"/>
      <c r="O276" s="216"/>
      <c r="P276" s="216"/>
      <c r="Q276" s="216"/>
    </row>
    <row r="277">
      <c r="A277" s="11" t="str">
        <f>IFERROR(__xludf.DUMMYFUNCTION("""COMPUTED_VALUE"""),"PAGO")</f>
        <v>PAGO</v>
      </c>
      <c r="B277" s="98" t="str">
        <f>IFERROR(__xludf.DUMMYFUNCTION("""COMPUTED_VALUE"""),"Salario - IBM")</f>
        <v>Salario - IBM</v>
      </c>
      <c r="C277" s="13">
        <f>IFERROR(__xludf.DUMMYFUNCTION("""COMPUTED_VALUE"""),31.0)</f>
        <v>31</v>
      </c>
      <c r="D277" s="13" t="str">
        <f>IFERROR(__xludf.DUMMYFUNCTION("""COMPUTED_VALUE"""),"QUA.")</f>
        <v>QUA.</v>
      </c>
      <c r="E277" s="13">
        <f>IFERROR(__xludf.DUMMYFUNCTION("""COMPUTED_VALUE"""),3.0)</f>
        <v>3</v>
      </c>
      <c r="F277" s="15"/>
      <c r="G277" s="16">
        <f>IFERROR(__xludf.DUMMYFUNCTION("""COMPUTED_VALUE"""),5848.28)</f>
        <v>5848.28</v>
      </c>
      <c r="H277" s="227"/>
      <c r="I277" s="21" t="str">
        <f>IFERROR(__xludf.DUMMYFUNCTION("""COMPUTED_VALUE"""),"SANTANDER")</f>
        <v>SANTANDER</v>
      </c>
      <c r="J277" s="21" t="str">
        <f>IFERROR(__xludf.DUMMYFUNCTION("""COMPUTED_VALUE"""),"#Recebimentos #Salario #Fixo")</f>
        <v>#Recebimentos #Salario #Fixo</v>
      </c>
      <c r="K277" s="216"/>
      <c r="L277" s="216"/>
      <c r="M277" s="216"/>
      <c r="N277" s="216"/>
      <c r="O277" s="216"/>
      <c r="P277" s="216"/>
      <c r="Q277" s="216"/>
    </row>
    <row r="278">
      <c r="A278" s="11" t="str">
        <f>IFERROR(__xludf.DUMMYFUNCTION("""COMPUTED_VALUE"""),"CONTAS")</f>
        <v>CONTAS</v>
      </c>
      <c r="B278" s="98" t="str">
        <f>IFERROR(__xludf.DUMMYFUNCTION("""COMPUTED_VALUE"""),"Transferencia via PIX")</f>
        <v>Transferencia via PIX</v>
      </c>
      <c r="C278" s="13">
        <f>IFERROR(__xludf.DUMMYFUNCTION("""COMPUTED_VALUE"""),31.0)</f>
        <v>31</v>
      </c>
      <c r="D278" s="13" t="str">
        <f>IFERROR(__xludf.DUMMYFUNCTION("""COMPUTED_VALUE"""),"QUA.")</f>
        <v>QUA.</v>
      </c>
      <c r="E278" s="13">
        <f>IFERROR(__xludf.DUMMYFUNCTION("""COMPUTED_VALUE"""),3.0)</f>
        <v>3</v>
      </c>
      <c r="F278" s="15"/>
      <c r="G278" s="16"/>
      <c r="H278" s="227">
        <f>IFERROR(__xludf.DUMMYFUNCTION("""COMPUTED_VALUE"""),5848.28)</f>
        <v>5848.28</v>
      </c>
      <c r="I278" s="21" t="str">
        <f>IFERROR(__xludf.DUMMYFUNCTION("""COMPUTED_VALUE"""),"SANTANDER")</f>
        <v>SANTANDER</v>
      </c>
      <c r="J278" s="21"/>
      <c r="K278" s="216"/>
      <c r="L278" s="216"/>
      <c r="M278" s="216"/>
      <c r="N278" s="216"/>
      <c r="O278" s="216"/>
      <c r="P278" s="216"/>
      <c r="Q278" s="216"/>
    </row>
    <row r="279">
      <c r="A279" s="11" t="str">
        <f>IFERROR(__xludf.DUMMYFUNCTION("""COMPUTED_VALUE"""),"CONTAS")</f>
        <v>CONTAS</v>
      </c>
      <c r="B279" s="98" t="str">
        <f>IFERROR(__xludf.DUMMYFUNCTION("""COMPUTED_VALUE"""),"Recebimento via PIX")</f>
        <v>Recebimento via PIX</v>
      </c>
      <c r="C279" s="13">
        <f>IFERROR(__xludf.DUMMYFUNCTION("""COMPUTED_VALUE"""),31.0)</f>
        <v>31</v>
      </c>
      <c r="D279" s="13" t="str">
        <f>IFERROR(__xludf.DUMMYFUNCTION("""COMPUTED_VALUE"""),"QUA.")</f>
        <v>QUA.</v>
      </c>
      <c r="E279" s="13">
        <f>IFERROR(__xludf.DUMMYFUNCTION("""COMPUTED_VALUE"""),3.0)</f>
        <v>3</v>
      </c>
      <c r="F279" s="15"/>
      <c r="G279" s="16">
        <f>IFERROR(__xludf.DUMMYFUNCTION("""COMPUTED_VALUE"""),5848.28)</f>
        <v>5848.28</v>
      </c>
      <c r="H279" s="227"/>
      <c r="I279" s="21" t="str">
        <f>IFERROR(__xludf.DUMMYFUNCTION("""COMPUTED_VALUE"""),"NUBANK")</f>
        <v>NUBANK</v>
      </c>
      <c r="J279" s="21"/>
      <c r="K279" s="216"/>
      <c r="L279" s="216"/>
      <c r="M279" s="216"/>
      <c r="N279" s="216"/>
      <c r="O279" s="216"/>
      <c r="P279" s="216"/>
      <c r="Q279" s="216"/>
    </row>
    <row r="280">
      <c r="A280" s="11" t="str">
        <f>IFERROR(__xludf.DUMMYFUNCTION("""COMPUTED_VALUE"""),"PAGO")</f>
        <v>PAGO</v>
      </c>
      <c r="B280" s="98" t="str">
        <f>IFERROR(__xludf.DUMMYFUNCTION("""COMPUTED_VALUE"""),"Rendimento")</f>
        <v>Rendimento</v>
      </c>
      <c r="C280" s="13">
        <f>IFERROR(__xludf.DUMMYFUNCTION("""COMPUTED_VALUE"""),18.0)</f>
        <v>18</v>
      </c>
      <c r="D280" s="13" t="str">
        <f>IFERROR(__xludf.DUMMYFUNCTION("""COMPUTED_VALUE"""),"QUI.")</f>
        <v>QUI.</v>
      </c>
      <c r="E280" s="13">
        <f>IFERROR(__xludf.DUMMYFUNCTION("""COMPUTED_VALUE"""),3.0)</f>
        <v>3</v>
      </c>
      <c r="F280" s="15"/>
      <c r="G280" s="16">
        <f>IFERROR(__xludf.DUMMYFUNCTION("""COMPUTED_VALUE"""),0.63)</f>
        <v>0.63</v>
      </c>
      <c r="H280" s="227"/>
      <c r="I280" s="21" t="str">
        <f>IFERROR(__xludf.DUMMYFUNCTION("""COMPUTED_VALUE"""),"NUBANK")</f>
        <v>NUBANK</v>
      </c>
      <c r="J280" s="21" t="str">
        <f>IFERROR(__xludf.DUMMYFUNCTION("""COMPUTED_VALUE"""),"#Recebimentos #Rendimentos #Variavel")</f>
        <v>#Recebimentos #Rendimentos #Variavel</v>
      </c>
      <c r="K280" s="216"/>
      <c r="L280" s="216"/>
      <c r="M280" s="216"/>
      <c r="N280" s="216"/>
      <c r="O280" s="216"/>
      <c r="P280" s="216"/>
      <c r="Q280" s="216"/>
    </row>
    <row r="281">
      <c r="A281" s="11" t="str">
        <f>IFERROR(__xludf.DUMMYFUNCTION("""COMPUTED_VALUE"""),"PAGO")</f>
        <v>PAGO</v>
      </c>
      <c r="B281" s="98" t="str">
        <f>IFERROR(__xludf.DUMMYFUNCTION("""COMPUTED_VALUE"""),"Transferi para investimento - Nubank")</f>
        <v>Transferi para investimento - Nubank</v>
      </c>
      <c r="C281" s="13">
        <f>IFERROR(__xludf.DUMMYFUNCTION("""COMPUTED_VALUE"""),21.0)</f>
        <v>21</v>
      </c>
      <c r="D281" s="13" t="str">
        <f>IFERROR(__xludf.DUMMYFUNCTION("""COMPUTED_VALUE"""),"DOM.")</f>
        <v>DOM.</v>
      </c>
      <c r="E281" s="13">
        <f>IFERROR(__xludf.DUMMYFUNCTION("""COMPUTED_VALUE"""),3.0)</f>
        <v>3</v>
      </c>
      <c r="F281" s="15"/>
      <c r="G281" s="16"/>
      <c r="H281" s="227">
        <f>IFERROR(__xludf.DUMMYFUNCTION("""COMPUTED_VALUE"""),6000.0)</f>
        <v>6000</v>
      </c>
      <c r="I281" s="21" t="str">
        <f>IFERROR(__xludf.DUMMYFUNCTION("""COMPUTED_VALUE"""),"NUBANK")</f>
        <v>NUBANK</v>
      </c>
      <c r="J281" s="21" t="str">
        <f>IFERROR(__xludf.DUMMYFUNCTION("""COMPUTED_VALUE"""),"#Transferencia #Investimento #Variavel #Nubank")</f>
        <v>#Transferencia #Investimento #Variavel #Nubank</v>
      </c>
      <c r="K281" s="216"/>
      <c r="L281" s="216"/>
      <c r="M281" s="216"/>
      <c r="N281" s="216"/>
      <c r="O281" s="216"/>
      <c r="P281" s="216"/>
      <c r="Q281" s="216"/>
    </row>
    <row r="282">
      <c r="A282" s="11" t="str">
        <f>IFERROR(__xludf.DUMMYFUNCTION("""COMPUTED_VALUE"""),"PAGO")</f>
        <v>PAGO</v>
      </c>
      <c r="B282" s="98" t="str">
        <f>IFERROR(__xludf.DUMMYFUNCTION("""COMPUTED_VALUE"""),"Shibata - Brinquedos Aniversário do Carlos")</f>
        <v>Shibata - Brinquedos Aniversário do Carlos</v>
      </c>
      <c r="C282" s="13">
        <f>IFERROR(__xludf.DUMMYFUNCTION("""COMPUTED_VALUE"""),31.0)</f>
        <v>31</v>
      </c>
      <c r="D282" s="13" t="str">
        <f>IFERROR(__xludf.DUMMYFUNCTION("""COMPUTED_VALUE"""),"QUA.")</f>
        <v>QUA.</v>
      </c>
      <c r="E282" s="13">
        <f>IFERROR(__xludf.DUMMYFUNCTION("""COMPUTED_VALUE"""),3.0)</f>
        <v>3</v>
      </c>
      <c r="F282" s="15"/>
      <c r="G282" s="16"/>
      <c r="H282" s="227">
        <f>IFERROR(__xludf.DUMMYFUNCTION("""COMPUTED_VALUE"""),109.89)</f>
        <v>109.89</v>
      </c>
      <c r="I282" s="21" t="str">
        <f>IFERROR(__xludf.DUMMYFUNCTION("""COMPUTED_VALUE"""),"NUBANK")</f>
        <v>NUBANK</v>
      </c>
      <c r="J282" s="21" t="str">
        <f>IFERROR(__xludf.DUMMYFUNCTION("""COMPUTED_VALUE"""),"#Lazer #Carlos #Variavel #Presentes")</f>
        <v>#Lazer #Carlos #Variavel #Presentes</v>
      </c>
      <c r="K282" s="216"/>
      <c r="L282" s="216"/>
      <c r="M282" s="216"/>
      <c r="N282" s="216"/>
      <c r="O282" s="216"/>
      <c r="P282" s="216"/>
      <c r="Q282" s="216"/>
    </row>
    <row r="283">
      <c r="A283" s="11" t="str">
        <f>IFERROR(__xludf.DUMMYFUNCTION("""COMPUTED_VALUE"""),"PAGO")</f>
        <v>PAGO</v>
      </c>
      <c r="B283" s="98" t="str">
        <f>IFERROR(__xludf.DUMMYFUNCTION("""COMPUTED_VALUE"""),"Shibata")</f>
        <v>Shibata</v>
      </c>
      <c r="C283" s="13">
        <f>IFERROR(__xludf.DUMMYFUNCTION("""COMPUTED_VALUE"""),31.0)</f>
        <v>31</v>
      </c>
      <c r="D283" s="13" t="str">
        <f>IFERROR(__xludf.DUMMYFUNCTION("""COMPUTED_VALUE"""),"QUA.")</f>
        <v>QUA.</v>
      </c>
      <c r="E283" s="13">
        <f>IFERROR(__xludf.DUMMYFUNCTION("""COMPUTED_VALUE"""),3.0)</f>
        <v>3</v>
      </c>
      <c r="F283" s="15"/>
      <c r="G283" s="16"/>
      <c r="H283" s="227">
        <f>IFERROR(__xludf.DUMMYFUNCTION("""COMPUTED_VALUE"""),252.82)</f>
        <v>252.82</v>
      </c>
      <c r="I283" s="21" t="str">
        <f>IFERROR(__xludf.DUMMYFUNCTION("""COMPUTED_VALUE"""),"SODEXO-REF-IBM")</f>
        <v>SODEXO-REF-IBM</v>
      </c>
      <c r="J283" s="21" t="str">
        <f>IFERROR(__xludf.DUMMYFUNCTION("""COMPUTED_VALUE"""),"#Moradia #Essencial #Mercado #Variavel #Alimentação ")</f>
        <v>#Moradia #Essencial #Mercado #Variavel #Alimentação </v>
      </c>
      <c r="K283" s="216"/>
      <c r="L283" s="216"/>
      <c r="M283" s="216"/>
      <c r="N283" s="216"/>
      <c r="O283" s="216"/>
      <c r="P283" s="216"/>
      <c r="Q283" s="216"/>
    </row>
    <row r="284">
      <c r="A284" s="11"/>
      <c r="B284" s="98"/>
      <c r="C284" s="13"/>
      <c r="D284" s="13"/>
      <c r="E284" s="13"/>
      <c r="F284" s="15"/>
      <c r="G284" s="16"/>
      <c r="H284" s="227"/>
      <c r="I284" s="21"/>
      <c r="J284" s="21"/>
      <c r="K284" s="216"/>
      <c r="L284" s="216"/>
      <c r="M284" s="216"/>
      <c r="N284" s="216"/>
      <c r="O284" s="216"/>
      <c r="P284" s="216"/>
      <c r="Q284" s="216"/>
    </row>
    <row r="285">
      <c r="A285" s="11"/>
      <c r="B285" s="98"/>
      <c r="C285" s="13"/>
      <c r="D285" s="13"/>
      <c r="E285" s="13"/>
      <c r="F285" s="15"/>
      <c r="G285" s="16"/>
      <c r="H285" s="227"/>
      <c r="I285" s="21"/>
      <c r="J285" s="21"/>
      <c r="K285" s="216"/>
      <c r="L285" s="216"/>
      <c r="M285" s="216"/>
      <c r="N285" s="216"/>
      <c r="O285" s="216"/>
      <c r="P285" s="216"/>
      <c r="Q285" s="216"/>
    </row>
    <row r="286">
      <c r="A286" s="11"/>
      <c r="B286" s="98"/>
      <c r="C286" s="13"/>
      <c r="D286" s="13"/>
      <c r="E286" s="13"/>
      <c r="F286" s="15"/>
      <c r="G286" s="16"/>
      <c r="H286" s="227"/>
      <c r="I286" s="21"/>
      <c r="J286" s="21"/>
      <c r="K286" s="216"/>
      <c r="L286" s="216"/>
      <c r="M286" s="216"/>
      <c r="N286" s="216"/>
      <c r="O286" s="216"/>
      <c r="P286" s="216"/>
      <c r="Q286" s="216"/>
    </row>
    <row r="287">
      <c r="A287" s="11" t="str">
        <f>IFERROR(__xludf.DUMMYFUNCTION("""COMPUTED_VALUE"""),"PAGO")</f>
        <v>PAGO</v>
      </c>
      <c r="B287" s="98" t="str">
        <f>IFERROR(__xludf.DUMMYFUNCTION("""COMPUTED_VALUE"""),"Entrada mes anterior")</f>
        <v>Entrada mes anterior</v>
      </c>
      <c r="C287" s="13">
        <f>IFERROR(__xludf.DUMMYFUNCTION("""COMPUTED_VALUE"""),1.0)</f>
        <v>1</v>
      </c>
      <c r="D287" s="13" t="str">
        <f>IFERROR(__xludf.DUMMYFUNCTION("""COMPUTED_VALUE"""),"QUI.")</f>
        <v>QUI.</v>
      </c>
      <c r="E287" s="13">
        <f>IFERROR(__xludf.DUMMYFUNCTION("""COMPUTED_VALUE"""),4.0)</f>
        <v>4</v>
      </c>
      <c r="F287" s="15"/>
      <c r="G287" s="16">
        <f>IFERROR(__xludf.DUMMYFUNCTION("""COMPUTED_VALUE"""),247.75000000000114)</f>
        <v>247.75</v>
      </c>
      <c r="H287" s="227"/>
      <c r="I287" s="21" t="str">
        <f>IFERROR(__xludf.DUMMYFUNCTION("""COMPUTED_VALUE"""),"ITAU")</f>
        <v>ITAU</v>
      </c>
      <c r="J287" s="21" t="str">
        <f>IFERROR(__xludf.DUMMYFUNCTION("""COMPUTED_VALUE"""),"#Recebimentos #Ajuste #Variavel")</f>
        <v>#Recebimentos #Ajuste #Variavel</v>
      </c>
      <c r="K287" s="216"/>
      <c r="L287" s="216"/>
      <c r="M287" s="216"/>
      <c r="N287" s="216"/>
      <c r="O287" s="216"/>
      <c r="P287" s="216"/>
      <c r="Q287" s="216"/>
    </row>
    <row r="288">
      <c r="A288" s="11" t="str">
        <f>IFERROR(__xludf.DUMMYFUNCTION("""COMPUTED_VALUE"""),"PAGO")</f>
        <v>PAGO</v>
      </c>
      <c r="B288" s="98" t="str">
        <f>IFERROR(__xludf.DUMMYFUNCTION("""COMPUTED_VALUE"""),"Entrada mes anterior")</f>
        <v>Entrada mes anterior</v>
      </c>
      <c r="C288" s="13">
        <f>IFERROR(__xludf.DUMMYFUNCTION("""COMPUTED_VALUE"""),1.0)</f>
        <v>1</v>
      </c>
      <c r="D288" s="13" t="str">
        <f>IFERROR(__xludf.DUMMYFUNCTION("""COMPUTED_VALUE"""),"QUI.")</f>
        <v>QUI.</v>
      </c>
      <c r="E288" s="13">
        <f>IFERROR(__xludf.DUMMYFUNCTION("""COMPUTED_VALUE"""),4.0)</f>
        <v>4</v>
      </c>
      <c r="F288" s="15"/>
      <c r="G288" s="16">
        <f>IFERROR(__xludf.DUMMYFUNCTION("""COMPUTED_VALUE"""),2.849999999999909)</f>
        <v>2.85</v>
      </c>
      <c r="H288" s="227"/>
      <c r="I288" s="21" t="str">
        <f>IFERROR(__xludf.DUMMYFUNCTION("""COMPUTED_VALUE"""),"INTER")</f>
        <v>INTER</v>
      </c>
      <c r="J288" s="21" t="str">
        <f>IFERROR(__xludf.DUMMYFUNCTION("""COMPUTED_VALUE"""),"#Recebimentos #Ajuste #Variavel")</f>
        <v>#Recebimentos #Ajuste #Variavel</v>
      </c>
      <c r="K288" s="216"/>
      <c r="L288" s="216"/>
      <c r="M288" s="216"/>
      <c r="N288" s="216"/>
      <c r="O288" s="216"/>
      <c r="P288" s="216"/>
      <c r="Q288" s="216"/>
    </row>
    <row r="289">
      <c r="A289" s="11" t="str">
        <f>IFERROR(__xludf.DUMMYFUNCTION("""COMPUTED_VALUE"""),"PAGO")</f>
        <v>PAGO</v>
      </c>
      <c r="B289" s="98" t="str">
        <f>IFERROR(__xludf.DUMMYFUNCTION("""COMPUTED_VALUE"""),"Entrada mes anterior")</f>
        <v>Entrada mes anterior</v>
      </c>
      <c r="C289" s="13">
        <f>IFERROR(__xludf.DUMMYFUNCTION("""COMPUTED_VALUE"""),1.0)</f>
        <v>1</v>
      </c>
      <c r="D289" s="13" t="str">
        <f>IFERROR(__xludf.DUMMYFUNCTION("""COMPUTED_VALUE"""),"QUI.")</f>
        <v>QUI.</v>
      </c>
      <c r="E289" s="13">
        <f>IFERROR(__xludf.DUMMYFUNCTION("""COMPUTED_VALUE"""),4.0)</f>
        <v>4</v>
      </c>
      <c r="F289" s="15"/>
      <c r="G289" s="16">
        <f>IFERROR(__xludf.DUMMYFUNCTION("""COMPUTED_VALUE"""),52.729999999999336)</f>
        <v>52.73</v>
      </c>
      <c r="H289" s="227"/>
      <c r="I289" s="21" t="str">
        <f>IFERROR(__xludf.DUMMYFUNCTION("""COMPUTED_VALUE"""),"INTER-PJ")</f>
        <v>INTER-PJ</v>
      </c>
      <c r="J289" s="21" t="str">
        <f>IFERROR(__xludf.DUMMYFUNCTION("""COMPUTED_VALUE"""),"#Recebimentos #Ajuste #Variavel")</f>
        <v>#Recebimentos #Ajuste #Variavel</v>
      </c>
      <c r="K289" s="216"/>
      <c r="L289" s="216"/>
      <c r="M289" s="216"/>
      <c r="N289" s="216"/>
      <c r="O289" s="216"/>
      <c r="P289" s="216"/>
      <c r="Q289" s="216"/>
    </row>
    <row r="290">
      <c r="A290" s="11" t="str">
        <f>IFERROR(__xludf.DUMMYFUNCTION("""COMPUTED_VALUE"""),"PAGO")</f>
        <v>PAGO</v>
      </c>
      <c r="B290" s="98" t="str">
        <f>IFERROR(__xludf.DUMMYFUNCTION("""COMPUTED_VALUE"""),"Entrada mes anterior")</f>
        <v>Entrada mes anterior</v>
      </c>
      <c r="C290" s="13">
        <f>IFERROR(__xludf.DUMMYFUNCTION("""COMPUTED_VALUE"""),1.0)</f>
        <v>1</v>
      </c>
      <c r="D290" s="13" t="str">
        <f>IFERROR(__xludf.DUMMYFUNCTION("""COMPUTED_VALUE"""),"QUI.")</f>
        <v>QUI.</v>
      </c>
      <c r="E290" s="13">
        <f>IFERROR(__xludf.DUMMYFUNCTION("""COMPUTED_VALUE"""),4.0)</f>
        <v>4</v>
      </c>
      <c r="F290" s="15"/>
      <c r="G290" s="16">
        <f>IFERROR(__xludf.DUMMYFUNCTION("""COMPUTED_VALUE"""),1061.9900000000016)</f>
        <v>1061.99</v>
      </c>
      <c r="H290" s="227"/>
      <c r="I290" s="21" t="str">
        <f>IFERROR(__xludf.DUMMYFUNCTION("""COMPUTED_VALUE"""),"NUBANK")</f>
        <v>NUBANK</v>
      </c>
      <c r="J290" s="21" t="str">
        <f>IFERROR(__xludf.DUMMYFUNCTION("""COMPUTED_VALUE"""),"#Recebimentos #Ajuste #Variavel")</f>
        <v>#Recebimentos #Ajuste #Variavel</v>
      </c>
      <c r="K290" s="216"/>
      <c r="L290" s="216"/>
      <c r="M290" s="216"/>
      <c r="N290" s="216"/>
      <c r="O290" s="216"/>
      <c r="P290" s="216"/>
      <c r="Q290" s="216"/>
    </row>
    <row r="291">
      <c r="A291" s="11" t="str">
        <f>IFERROR(__xludf.DUMMYFUNCTION("""COMPUTED_VALUE"""),"PAGO")</f>
        <v>PAGO</v>
      </c>
      <c r="B291" s="98" t="str">
        <f>IFERROR(__xludf.DUMMYFUNCTION("""COMPUTED_VALUE"""),"Entrada mes anterior")</f>
        <v>Entrada mes anterior</v>
      </c>
      <c r="C291" s="13">
        <f>IFERROR(__xludf.DUMMYFUNCTION("""COMPUTED_VALUE"""),1.0)</f>
        <v>1</v>
      </c>
      <c r="D291" s="13" t="str">
        <f>IFERROR(__xludf.DUMMYFUNCTION("""COMPUTED_VALUE"""),"QUI.")</f>
        <v>QUI.</v>
      </c>
      <c r="E291" s="13">
        <f>IFERROR(__xludf.DUMMYFUNCTION("""COMPUTED_VALUE"""),4.0)</f>
        <v>4</v>
      </c>
      <c r="F291" s="15"/>
      <c r="G291" s="16">
        <f>IFERROR(__xludf.DUMMYFUNCTION("""COMPUTED_VALUE"""),9.52)</f>
        <v>9.52</v>
      </c>
      <c r="H291" s="227"/>
      <c r="I291" s="21" t="str">
        <f>IFERROR(__xludf.DUMMYFUNCTION("""COMPUTED_VALUE"""),"C6BANK")</f>
        <v>C6BANK</v>
      </c>
      <c r="J291" s="21" t="str">
        <f>IFERROR(__xludf.DUMMYFUNCTION("""COMPUTED_VALUE"""),"#Recebimentos #Ajuste #Variavel")</f>
        <v>#Recebimentos #Ajuste #Variavel</v>
      </c>
      <c r="K291" s="216"/>
      <c r="L291" s="216"/>
      <c r="M291" s="216"/>
      <c r="N291" s="216"/>
      <c r="O291" s="216"/>
      <c r="P291" s="216"/>
      <c r="Q291" s="216"/>
    </row>
    <row r="292">
      <c r="A292" s="11" t="str">
        <f>IFERROR(__xludf.DUMMYFUNCTION("""COMPUTED_VALUE"""),"PAGO")</f>
        <v>PAGO</v>
      </c>
      <c r="B292" s="98" t="str">
        <f>IFERROR(__xludf.DUMMYFUNCTION("""COMPUTED_VALUE"""),"Entrada mes anterior")</f>
        <v>Entrada mes anterior</v>
      </c>
      <c r="C292" s="13">
        <f>IFERROR(__xludf.DUMMYFUNCTION("""COMPUTED_VALUE"""),1.0)</f>
        <v>1</v>
      </c>
      <c r="D292" s="13" t="str">
        <f>IFERROR(__xludf.DUMMYFUNCTION("""COMPUTED_VALUE"""),"QUI.")</f>
        <v>QUI.</v>
      </c>
      <c r="E292" s="13">
        <f>IFERROR(__xludf.DUMMYFUNCTION("""COMPUTED_VALUE"""),4.0)</f>
        <v>4</v>
      </c>
      <c r="F292" s="15"/>
      <c r="G292" s="16">
        <f>IFERROR(__xludf.DUMMYFUNCTION("""COMPUTED_VALUE"""),0.0)</f>
        <v>0</v>
      </c>
      <c r="H292" s="227"/>
      <c r="I292" s="21" t="str">
        <f>IFERROR(__xludf.DUMMYFUNCTION("""COMPUTED_VALUE"""),"SANTANDER")</f>
        <v>SANTANDER</v>
      </c>
      <c r="J292" s="21" t="str">
        <f>IFERROR(__xludf.DUMMYFUNCTION("""COMPUTED_VALUE"""),"#Recebimentos #Ajuste #Variavel")</f>
        <v>#Recebimentos #Ajuste #Variavel</v>
      </c>
      <c r="K292" s="216"/>
      <c r="L292" s="216"/>
      <c r="M292" s="216"/>
      <c r="N292" s="216"/>
      <c r="O292" s="216"/>
      <c r="P292" s="216"/>
      <c r="Q292" s="216"/>
    </row>
    <row r="293">
      <c r="A293" s="11" t="str">
        <f>IFERROR(__xludf.DUMMYFUNCTION("""COMPUTED_VALUE"""),"PAGO")</f>
        <v>PAGO</v>
      </c>
      <c r="B293" s="98" t="str">
        <f>IFERROR(__xludf.DUMMYFUNCTION("""COMPUTED_VALUE"""),"Entrada mes anterior")</f>
        <v>Entrada mes anterior</v>
      </c>
      <c r="C293" s="13">
        <f>IFERROR(__xludf.DUMMYFUNCTION("""COMPUTED_VALUE"""),1.0)</f>
        <v>1</v>
      </c>
      <c r="D293" s="13" t="str">
        <f>IFERROR(__xludf.DUMMYFUNCTION("""COMPUTED_VALUE"""),"QUI.")</f>
        <v>QUI.</v>
      </c>
      <c r="E293" s="13">
        <f>IFERROR(__xludf.DUMMYFUNCTION("""COMPUTED_VALUE"""),4.0)</f>
        <v>4</v>
      </c>
      <c r="F293" s="15"/>
      <c r="G293" s="16">
        <f>IFERROR(__xludf.DUMMYFUNCTION("""COMPUTED_VALUE"""),537.16)</f>
        <v>537.16</v>
      </c>
      <c r="H293" s="227"/>
      <c r="I293" s="21" t="str">
        <f>IFERROR(__xludf.DUMMYFUNCTION("""COMPUTED_VALUE"""),"SODEXO-REF-IBM")</f>
        <v>SODEXO-REF-IBM</v>
      </c>
      <c r="J293" s="21" t="str">
        <f>IFERROR(__xludf.DUMMYFUNCTION("""COMPUTED_VALUE"""),"#Recebimentos #Ajuste #Variavel")</f>
        <v>#Recebimentos #Ajuste #Variavel</v>
      </c>
      <c r="K293" s="216"/>
      <c r="L293" s="216"/>
      <c r="M293" s="216"/>
      <c r="N293" s="216"/>
      <c r="O293" s="216"/>
      <c r="P293" s="216"/>
      <c r="Q293" s="216"/>
    </row>
    <row r="294">
      <c r="A294" s="11" t="str">
        <f>IFERROR(__xludf.DUMMYFUNCTION("""COMPUTED_VALUE"""),"PAGO")</f>
        <v>PAGO</v>
      </c>
      <c r="B294" s="98" t="str">
        <f>IFERROR(__xludf.DUMMYFUNCTION("""COMPUTED_VALUE"""),"Entrada mes anterior")</f>
        <v>Entrada mes anterior</v>
      </c>
      <c r="C294" s="13">
        <f>IFERROR(__xludf.DUMMYFUNCTION("""COMPUTED_VALUE"""),1.0)</f>
        <v>1</v>
      </c>
      <c r="D294" s="13" t="str">
        <f>IFERROR(__xludf.DUMMYFUNCTION("""COMPUTED_VALUE"""),"QUI.")</f>
        <v>QUI.</v>
      </c>
      <c r="E294" s="13">
        <f>IFERROR(__xludf.DUMMYFUNCTION("""COMPUTED_VALUE"""),4.0)</f>
        <v>4</v>
      </c>
      <c r="F294" s="15"/>
      <c r="G294" s="16">
        <f>IFERROR(__xludf.DUMMYFUNCTION("""COMPUTED_VALUE"""),0.0)</f>
        <v>0</v>
      </c>
      <c r="H294" s="227"/>
      <c r="I294" s="21" t="str">
        <f>IFERROR(__xludf.DUMMYFUNCTION("""COMPUTED_VALUE"""),"SODEXO-ALI-IBM")</f>
        <v>SODEXO-ALI-IBM</v>
      </c>
      <c r="J294" s="21" t="str">
        <f>IFERROR(__xludf.DUMMYFUNCTION("""COMPUTED_VALUE"""),"#Recebimentos #Ajuste #Variavel")</f>
        <v>#Recebimentos #Ajuste #Variavel</v>
      </c>
      <c r="K294" s="216"/>
      <c r="L294" s="216"/>
      <c r="M294" s="216"/>
      <c r="N294" s="216"/>
      <c r="O294" s="216"/>
      <c r="P294" s="216"/>
      <c r="Q294" s="216"/>
    </row>
    <row r="295">
      <c r="A295" s="11" t="str">
        <f>IFERROR(__xludf.DUMMYFUNCTION("""COMPUTED_VALUE"""),"PAGO")</f>
        <v>PAGO</v>
      </c>
      <c r="B295" s="98" t="str">
        <f>IFERROR(__xludf.DUMMYFUNCTION("""COMPUTED_VALUE"""),"Agua - DEBITO AUTO")</f>
        <v>Agua - DEBITO AUTO</v>
      </c>
      <c r="C295" s="13">
        <f>IFERROR(__xludf.DUMMYFUNCTION("""COMPUTED_VALUE"""),1.0)</f>
        <v>1</v>
      </c>
      <c r="D295" s="13" t="str">
        <f>IFERROR(__xludf.DUMMYFUNCTION("""COMPUTED_VALUE"""),"QUI.")</f>
        <v>QUI.</v>
      </c>
      <c r="E295" s="13">
        <f>IFERROR(__xludf.DUMMYFUNCTION("""COMPUTED_VALUE"""),4.0)</f>
        <v>4</v>
      </c>
      <c r="F295" s="15"/>
      <c r="G295" s="16"/>
      <c r="H295" s="227">
        <f>IFERROR(__xludf.DUMMYFUNCTION("""COMPUTED_VALUE"""),49.03)</f>
        <v>49.03</v>
      </c>
      <c r="I295" s="21" t="str">
        <f>IFERROR(__xludf.DUMMYFUNCTION("""COMPUTED_VALUE"""),"ITAU")</f>
        <v>ITAU</v>
      </c>
      <c r="J295" s="21" t="str">
        <f>IFERROR(__xludf.DUMMYFUNCTION("""COMPUTED_VALUE"""),"#Moradia #Essencial #Agua #Fixo")</f>
        <v>#Moradia #Essencial #Agua #Fixo</v>
      </c>
      <c r="K295" s="216"/>
      <c r="L295" s="216"/>
      <c r="M295" s="216"/>
      <c r="N295" s="216"/>
      <c r="O295" s="216"/>
      <c r="P295" s="216"/>
      <c r="Q295" s="216"/>
    </row>
    <row r="296">
      <c r="A296" s="11" t="str">
        <f>IFERROR(__xludf.DUMMYFUNCTION("""COMPUTED_VALUE"""),"PAGO")</f>
        <v>PAGO</v>
      </c>
      <c r="B296" s="98" t="str">
        <f>IFERROR(__xludf.DUMMYFUNCTION("""COMPUTED_VALUE"""),"Agua - DEBITO AUTO - COBRANÇA DE JANEIRO")</f>
        <v>Agua - DEBITO AUTO - COBRANÇA DE JANEIRO</v>
      </c>
      <c r="C296" s="13">
        <f>IFERROR(__xludf.DUMMYFUNCTION("""COMPUTED_VALUE"""),1.0)</f>
        <v>1</v>
      </c>
      <c r="D296" s="13" t="str">
        <f>IFERROR(__xludf.DUMMYFUNCTION("""COMPUTED_VALUE"""),"QUI.")</f>
        <v>QUI.</v>
      </c>
      <c r="E296" s="13">
        <f>IFERROR(__xludf.DUMMYFUNCTION("""COMPUTED_VALUE"""),4.0)</f>
        <v>4</v>
      </c>
      <c r="F296" s="15"/>
      <c r="G296" s="16"/>
      <c r="H296" s="227">
        <f>IFERROR(__xludf.DUMMYFUNCTION("""COMPUTED_VALUE"""),49.03)</f>
        <v>49.03</v>
      </c>
      <c r="I296" s="21" t="str">
        <f>IFERROR(__xludf.DUMMYFUNCTION("""COMPUTED_VALUE"""),"ITAU")</f>
        <v>ITAU</v>
      </c>
      <c r="J296" s="21" t="str">
        <f>IFERROR(__xludf.DUMMYFUNCTION("""COMPUTED_VALUE"""),"#Moradia #Essencial #Agua #Fixo")</f>
        <v>#Moradia #Essencial #Agua #Fixo</v>
      </c>
      <c r="K296" s="216"/>
      <c r="L296" s="216"/>
      <c r="M296" s="216"/>
      <c r="N296" s="216"/>
      <c r="O296" s="216"/>
      <c r="P296" s="216"/>
      <c r="Q296" s="216"/>
    </row>
    <row r="297">
      <c r="A297" s="11" t="str">
        <f>IFERROR(__xludf.DUMMYFUNCTION("""COMPUTED_VALUE"""),"PAGO")</f>
        <v>PAGO</v>
      </c>
      <c r="B297" s="98" t="str">
        <f>IFERROR(__xludf.DUMMYFUNCTION("""COMPUTED_VALUE"""),"Dom Vegano SJC Vale Sul Shopping - Ovos de Páscoa Vegano 2/2")</f>
        <v>Dom Vegano SJC Vale Sul Shopping - Ovos de Páscoa Vegano 2/2</v>
      </c>
      <c r="C297" s="13">
        <f>IFERROR(__xludf.DUMMYFUNCTION("""COMPUTED_VALUE"""),2.0)</f>
        <v>2</v>
      </c>
      <c r="D297" s="13" t="str">
        <f>IFERROR(__xludf.DUMMYFUNCTION("""COMPUTED_VALUE"""),"SEX.")</f>
        <v>SEX.</v>
      </c>
      <c r="E297" s="13">
        <f>IFERROR(__xludf.DUMMYFUNCTION("""COMPUTED_VALUE"""),4.0)</f>
        <v>4</v>
      </c>
      <c r="F297" s="15"/>
      <c r="G297" s="16"/>
      <c r="H297" s="227">
        <f>IFERROR(__xludf.DUMMYFUNCTION("""COMPUTED_VALUE"""),74.7)</f>
        <v>74.7</v>
      </c>
      <c r="I297" s="21" t="str">
        <f>IFERROR(__xludf.DUMMYFUNCTION("""COMPUTED_VALUE"""),"NUBANK")</f>
        <v>NUBANK</v>
      </c>
      <c r="J297" s="21" t="str">
        <f>IFERROR(__xludf.DUMMYFUNCTION("""COMPUTED_VALUE"""),"#Lazer #Comida #Variavel")</f>
        <v>#Lazer #Comida #Variavel</v>
      </c>
      <c r="K297" s="216"/>
      <c r="L297" s="216"/>
      <c r="M297" s="216"/>
      <c r="N297" s="216"/>
      <c r="O297" s="216"/>
      <c r="P297" s="216"/>
      <c r="Q297" s="216"/>
    </row>
    <row r="298">
      <c r="A298" s="11" t="str">
        <f>IFERROR(__xludf.DUMMYFUNCTION("""COMPUTED_VALUE"""),"PAGO")</f>
        <v>PAGO</v>
      </c>
      <c r="B298" s="98" t="str">
        <f>IFERROR(__xludf.DUMMYFUNCTION("""COMPUTED_VALUE"""),"Recarga TIM Cicero 11 948825242")</f>
        <v>Recarga TIM Cicero 11 948825242</v>
      </c>
      <c r="C298" s="13">
        <f>IFERROR(__xludf.DUMMYFUNCTION("""COMPUTED_VALUE"""),2.0)</f>
        <v>2</v>
      </c>
      <c r="D298" s="13" t="str">
        <f>IFERROR(__xludf.DUMMYFUNCTION("""COMPUTED_VALUE"""),"SEX.")</f>
        <v>SEX.</v>
      </c>
      <c r="E298" s="13">
        <f>IFERROR(__xludf.DUMMYFUNCTION("""COMPUTED_VALUE"""),4.0)</f>
        <v>4</v>
      </c>
      <c r="F298" s="15"/>
      <c r="G298" s="16"/>
      <c r="H298" s="227">
        <f>IFERROR(__xludf.DUMMYFUNCTION("""COMPUTED_VALUE"""),20.0)</f>
        <v>20</v>
      </c>
      <c r="I298" s="21" t="str">
        <f>IFERROR(__xludf.DUMMYFUNCTION("""COMPUTED_VALUE"""),"NUBANK")</f>
        <v>NUBANK</v>
      </c>
      <c r="J298" s="21" t="str">
        <f>IFERROR(__xludf.DUMMYFUNCTION("""COMPUTED_VALUE"""),"#Variavel #Recarga #TIM ")</f>
        <v>#Variavel #Recarga #TIM </v>
      </c>
      <c r="K298" s="216"/>
      <c r="L298" s="216"/>
      <c r="M298" s="216"/>
      <c r="N298" s="216"/>
      <c r="O298" s="216"/>
      <c r="P298" s="216"/>
      <c r="Q298" s="216"/>
    </row>
    <row r="299">
      <c r="A299" s="11" t="str">
        <f>IFERROR(__xludf.DUMMYFUNCTION("""COMPUTED_VALUE"""),"PAGO")</f>
        <v>PAGO</v>
      </c>
      <c r="B299" s="98" t="str">
        <f>IFERROR(__xludf.DUMMYFUNCTION("""COMPUTED_VALUE"""),"Rendimento")</f>
        <v>Rendimento</v>
      </c>
      <c r="C299" s="13">
        <f>IFERROR(__xludf.DUMMYFUNCTION("""COMPUTED_VALUE"""),2.0)</f>
        <v>2</v>
      </c>
      <c r="D299" s="13" t="str">
        <f>IFERROR(__xludf.DUMMYFUNCTION("""COMPUTED_VALUE"""),"SEX.")</f>
        <v>SEX.</v>
      </c>
      <c r="E299" s="13">
        <f>IFERROR(__xludf.DUMMYFUNCTION("""COMPUTED_VALUE"""),4.0)</f>
        <v>4</v>
      </c>
      <c r="F299" s="15"/>
      <c r="G299" s="16">
        <f>IFERROR(__xludf.DUMMYFUNCTION("""COMPUTED_VALUE"""),0.85)</f>
        <v>0.85</v>
      </c>
      <c r="H299" s="227"/>
      <c r="I299" s="21" t="str">
        <f>IFERROR(__xludf.DUMMYFUNCTION("""COMPUTED_VALUE"""),"NUBANK")</f>
        <v>NUBANK</v>
      </c>
      <c r="J299" s="21" t="str">
        <f>IFERROR(__xludf.DUMMYFUNCTION("""COMPUTED_VALUE"""),"#Recebimentos #Rendimentos #Variavel")</f>
        <v>#Recebimentos #Rendimentos #Variavel</v>
      </c>
      <c r="K299" s="216"/>
      <c r="L299" s="216"/>
      <c r="M299" s="216"/>
      <c r="N299" s="216"/>
      <c r="O299" s="216"/>
      <c r="P299" s="216"/>
      <c r="Q299" s="216"/>
    </row>
    <row r="300">
      <c r="A300" s="11" t="str">
        <f>IFERROR(__xludf.DUMMYFUNCTION("""COMPUTED_VALUE"""),"PAGO")</f>
        <v>PAGO</v>
      </c>
      <c r="B300" s="98" t="str">
        <f>IFERROR(__xludf.DUMMYFUNCTION("""COMPUTED_VALUE"""),"Shibata - Pizza")</f>
        <v>Shibata - Pizza</v>
      </c>
      <c r="C300" s="13">
        <f>IFERROR(__xludf.DUMMYFUNCTION("""COMPUTED_VALUE"""),4.0)</f>
        <v>4</v>
      </c>
      <c r="D300" s="13" t="str">
        <f>IFERROR(__xludf.DUMMYFUNCTION("""COMPUTED_VALUE"""),"DOM.")</f>
        <v>DOM.</v>
      </c>
      <c r="E300" s="13">
        <f>IFERROR(__xludf.DUMMYFUNCTION("""COMPUTED_VALUE"""),4.0)</f>
        <v>4</v>
      </c>
      <c r="F300" s="15"/>
      <c r="G300" s="16"/>
      <c r="H300" s="227">
        <f>IFERROR(__xludf.DUMMYFUNCTION("""COMPUTED_VALUE"""),63.8)</f>
        <v>63.8</v>
      </c>
      <c r="I300" s="21" t="str">
        <f>IFERROR(__xludf.DUMMYFUNCTION("""COMPUTED_VALUE"""),"SODEXO-REF-IBM")</f>
        <v>SODEXO-REF-IBM</v>
      </c>
      <c r="J300" s="21" t="str">
        <f>IFERROR(__xludf.DUMMYFUNCTION("""COMPUTED_VALUE"""),"#Lazer #Comida #Variavel")</f>
        <v>#Lazer #Comida #Variavel</v>
      </c>
      <c r="K300" s="216"/>
      <c r="L300" s="216"/>
      <c r="M300" s="216"/>
      <c r="N300" s="216"/>
      <c r="O300" s="216"/>
      <c r="P300" s="216"/>
      <c r="Q300" s="216"/>
    </row>
    <row r="301">
      <c r="A301" s="11" t="str">
        <f>IFERROR(__xludf.DUMMYFUNCTION("""COMPUTED_VALUE"""),"PAGO")</f>
        <v>PAGO</v>
      </c>
      <c r="B301" s="98" t="str">
        <f>IFERROR(__xludf.DUMMYFUNCTION("""COMPUTED_VALUE"""),"Shibata - Aniversário do Carlos - 3 ANOS")</f>
        <v>Shibata - Aniversário do Carlos - 3 ANOS</v>
      </c>
      <c r="C301" s="13">
        <f>IFERROR(__xludf.DUMMYFUNCTION("""COMPUTED_VALUE"""),4.0)</f>
        <v>4</v>
      </c>
      <c r="D301" s="13" t="str">
        <f>IFERROR(__xludf.DUMMYFUNCTION("""COMPUTED_VALUE"""),"DOM.")</f>
        <v>DOM.</v>
      </c>
      <c r="E301" s="13">
        <f>IFERROR(__xludf.DUMMYFUNCTION("""COMPUTED_VALUE"""),4.0)</f>
        <v>4</v>
      </c>
      <c r="F301" s="15"/>
      <c r="G301" s="16"/>
      <c r="H301" s="227">
        <f>IFERROR(__xludf.DUMMYFUNCTION("""COMPUTED_VALUE"""),166.52)</f>
        <v>166.52</v>
      </c>
      <c r="I301" s="21" t="str">
        <f>IFERROR(__xludf.DUMMYFUNCTION("""COMPUTED_VALUE"""),"SODEXO-REF-IBM")</f>
        <v>SODEXO-REF-IBM</v>
      </c>
      <c r="J301" s="21" t="str">
        <f>IFERROR(__xludf.DUMMYFUNCTION("""COMPUTED_VALUE"""),"#Lazer #Mercado #Variavel #Alimentação #Carlos")</f>
        <v>#Lazer #Mercado #Variavel #Alimentação #Carlos</v>
      </c>
      <c r="K301" s="216"/>
      <c r="L301" s="216"/>
      <c r="M301" s="216"/>
      <c r="N301" s="216"/>
      <c r="O301" s="216"/>
      <c r="P301" s="216"/>
      <c r="Q301" s="216"/>
    </row>
    <row r="302">
      <c r="A302" s="11" t="str">
        <f>IFERROR(__xludf.DUMMYFUNCTION("""COMPUTED_VALUE"""),"PAGO")</f>
        <v>PAGO</v>
      </c>
      <c r="B302" s="98" t="str">
        <f>IFERROR(__xludf.DUMMYFUNCTION("""COMPUTED_VALUE"""),"Levitar SJC - sorvetes")</f>
        <v>Levitar SJC - sorvetes</v>
      </c>
      <c r="C302" s="13">
        <f>IFERROR(__xludf.DUMMYFUNCTION("""COMPUTED_VALUE"""),5.0)</f>
        <v>5</v>
      </c>
      <c r="D302" s="13" t="str">
        <f>IFERROR(__xludf.DUMMYFUNCTION("""COMPUTED_VALUE"""),"SEG.")</f>
        <v>SEG.</v>
      </c>
      <c r="E302" s="13">
        <f>IFERROR(__xludf.DUMMYFUNCTION("""COMPUTED_VALUE"""),4.0)</f>
        <v>4</v>
      </c>
      <c r="F302" s="15"/>
      <c r="G302" s="16"/>
      <c r="H302" s="227">
        <f>IFERROR(__xludf.DUMMYFUNCTION("""COMPUTED_VALUE"""),12.0)</f>
        <v>12</v>
      </c>
      <c r="I302" s="21" t="str">
        <f>IFERROR(__xludf.DUMMYFUNCTION("""COMPUTED_VALUE"""),"NUBANK")</f>
        <v>NUBANK</v>
      </c>
      <c r="J302" s="21" t="str">
        <f>IFERROR(__xludf.DUMMYFUNCTION("""COMPUTED_VALUE"""),"#Lazer #Comida #Variavel")</f>
        <v>#Lazer #Comida #Variavel</v>
      </c>
      <c r="K302" s="216"/>
      <c r="L302" s="216"/>
      <c r="M302" s="216"/>
      <c r="N302" s="216"/>
      <c r="O302" s="216"/>
      <c r="P302" s="216"/>
      <c r="Q302" s="216"/>
    </row>
    <row r="303">
      <c r="A303" s="11" t="str">
        <f>IFERROR(__xludf.DUMMYFUNCTION("""COMPUTED_VALUE"""),"PAGO")</f>
        <v>PAGO</v>
      </c>
      <c r="B303" s="98" t="str">
        <f>IFERROR(__xludf.DUMMYFUNCTION("""COMPUTED_VALUE"""),"Multi Sabor SJC - Cidade Jardim - Aniversário do Carlos - 3 ANOS")</f>
        <v>Multi Sabor SJC - Cidade Jardim - Aniversário do Carlos - 3 ANOS</v>
      </c>
      <c r="C303" s="13">
        <f>IFERROR(__xludf.DUMMYFUNCTION("""COMPUTED_VALUE"""),5.0)</f>
        <v>5</v>
      </c>
      <c r="D303" s="13" t="str">
        <f>IFERROR(__xludf.DUMMYFUNCTION("""COMPUTED_VALUE"""),"SEG.")</f>
        <v>SEG.</v>
      </c>
      <c r="E303" s="13">
        <f>IFERROR(__xludf.DUMMYFUNCTION("""COMPUTED_VALUE"""),4.0)</f>
        <v>4</v>
      </c>
      <c r="F303" s="15"/>
      <c r="G303" s="16"/>
      <c r="H303" s="227">
        <f>IFERROR(__xludf.DUMMYFUNCTION("""COMPUTED_VALUE"""),33.0)</f>
        <v>33</v>
      </c>
      <c r="I303" s="21" t="str">
        <f>IFERROR(__xludf.DUMMYFUNCTION("""COMPUTED_VALUE"""),"NUBANK")</f>
        <v>NUBANK</v>
      </c>
      <c r="J303" s="21" t="str">
        <f>IFERROR(__xludf.DUMMYFUNCTION("""COMPUTED_VALUE"""),"#Lazer #Comida #Variavel #Carlos")</f>
        <v>#Lazer #Comida #Variavel #Carlos</v>
      </c>
      <c r="K303" s="216"/>
      <c r="L303" s="216"/>
      <c r="M303" s="216"/>
      <c r="N303" s="216"/>
      <c r="O303" s="216"/>
      <c r="P303" s="216"/>
      <c r="Q303" s="216"/>
    </row>
    <row r="304">
      <c r="A304" s="11" t="str">
        <f>IFERROR(__xludf.DUMMYFUNCTION("""COMPUTED_VALUE"""),"PAGO")</f>
        <v>PAGO</v>
      </c>
      <c r="B304" s="98" t="str">
        <f>IFERROR(__xludf.DUMMYFUNCTION("""COMPUTED_VALUE"""),"Resgate Foxbit ")</f>
        <v>Resgate Foxbit </v>
      </c>
      <c r="C304" s="13">
        <f>IFERROR(__xludf.DUMMYFUNCTION("""COMPUTED_VALUE"""),8.0)</f>
        <v>8</v>
      </c>
      <c r="D304" s="13" t="str">
        <f>IFERROR(__xludf.DUMMYFUNCTION("""COMPUTED_VALUE"""),"QUI.")</f>
        <v>QUI.</v>
      </c>
      <c r="E304" s="13">
        <f>IFERROR(__xludf.DUMMYFUNCTION("""COMPUTED_VALUE"""),4.0)</f>
        <v>4</v>
      </c>
      <c r="F304" s="15"/>
      <c r="G304" s="16">
        <f>IFERROR(__xludf.DUMMYFUNCTION("""COMPUTED_VALUE"""),2070.3)</f>
        <v>2070.3</v>
      </c>
      <c r="H304" s="227"/>
      <c r="I304" s="21" t="str">
        <f>IFERROR(__xludf.DUMMYFUNCTION("""COMPUTED_VALUE"""),"NUBANK")</f>
        <v>NUBANK</v>
      </c>
      <c r="J304" s="21" t="str">
        <f>IFERROR(__xludf.DUMMYFUNCTION("""COMPUTED_VALUE"""),"#Recebimentos #Foxbit #Variavel")</f>
        <v>#Recebimentos #Foxbit #Variavel</v>
      </c>
      <c r="K304" s="216"/>
      <c r="L304" s="216"/>
      <c r="M304" s="216"/>
      <c r="N304" s="216"/>
      <c r="O304" s="216"/>
      <c r="P304" s="216"/>
      <c r="Q304" s="216"/>
    </row>
    <row r="305">
      <c r="A305" s="11" t="str">
        <f>IFERROR(__xludf.DUMMYFUNCTION("""COMPUTED_VALUE"""),"PAGO")</f>
        <v>PAGO</v>
      </c>
      <c r="B305" s="98" t="str">
        <f>IFERROR(__xludf.DUMMYFUNCTION("""COMPUTED_VALUE"""),"Deposito Binance para investimentos em criptomoedas")</f>
        <v>Deposito Binance para investimentos em criptomoedas</v>
      </c>
      <c r="C305" s="13">
        <f>IFERROR(__xludf.DUMMYFUNCTION("""COMPUTED_VALUE"""),8.0)</f>
        <v>8</v>
      </c>
      <c r="D305" s="13" t="str">
        <f>IFERROR(__xludf.DUMMYFUNCTION("""COMPUTED_VALUE"""),"QUI.")</f>
        <v>QUI.</v>
      </c>
      <c r="E305" s="13">
        <f>IFERROR(__xludf.DUMMYFUNCTION("""COMPUTED_VALUE"""),4.0)</f>
        <v>4</v>
      </c>
      <c r="F305" s="15"/>
      <c r="G305" s="16"/>
      <c r="H305" s="227">
        <f>IFERROR(__xludf.DUMMYFUNCTION("""COMPUTED_VALUE"""),2070.0)</f>
        <v>2070</v>
      </c>
      <c r="I305" s="21" t="str">
        <f>IFERROR(__xludf.DUMMYFUNCTION("""COMPUTED_VALUE"""),"NUBANK")</f>
        <v>NUBANK</v>
      </c>
      <c r="J305" s="21" t="str">
        <f>IFERROR(__xludf.DUMMYFUNCTION("""COMPUTED_VALUE"""),"#Investimento #Binance #Variavel")</f>
        <v>#Investimento #Binance #Variavel</v>
      </c>
      <c r="K305" s="216"/>
      <c r="L305" s="216"/>
      <c r="M305" s="216"/>
      <c r="N305" s="216"/>
      <c r="O305" s="216"/>
      <c r="P305" s="216"/>
      <c r="Q305" s="216"/>
    </row>
    <row r="306">
      <c r="A306" s="11" t="str">
        <f>IFERROR(__xludf.DUMMYFUNCTION("""COMPUTED_VALUE"""),"PAGO")</f>
        <v>PAGO</v>
      </c>
      <c r="B306" s="98" t="str">
        <f>IFERROR(__xludf.DUMMYFUNCTION("""COMPUTED_VALUE"""),"Cartao Roberta")</f>
        <v>Cartao Roberta</v>
      </c>
      <c r="C306" s="13">
        <f>IFERROR(__xludf.DUMMYFUNCTION("""COMPUTED_VALUE"""),8.0)</f>
        <v>8</v>
      </c>
      <c r="D306" s="13" t="str">
        <f>IFERROR(__xludf.DUMMYFUNCTION("""COMPUTED_VALUE"""),"QUI.")</f>
        <v>QUI.</v>
      </c>
      <c r="E306" s="13">
        <f>IFERROR(__xludf.DUMMYFUNCTION("""COMPUTED_VALUE"""),4.0)</f>
        <v>4</v>
      </c>
      <c r="F306" s="15">
        <f>IFERROR(__xludf.DUMMYFUNCTION("""COMPUTED_VALUE"""),44295.0)</f>
        <v>44295</v>
      </c>
      <c r="G306" s="16"/>
      <c r="H306" s="227">
        <f>IFERROR(__xludf.DUMMYFUNCTION("""COMPUTED_VALUE"""),482.57)</f>
        <v>482.57</v>
      </c>
      <c r="I306" s="21" t="str">
        <f>IFERROR(__xludf.DUMMYFUNCTION("""COMPUTED_VALUE"""),"NUBANK")</f>
        <v>NUBANK</v>
      </c>
      <c r="J306" s="21"/>
      <c r="K306" s="216"/>
      <c r="L306" s="216"/>
      <c r="M306" s="216"/>
      <c r="N306" s="216"/>
      <c r="O306" s="216"/>
      <c r="P306" s="216"/>
      <c r="Q306" s="216"/>
    </row>
    <row r="307">
      <c r="A307" s="11" t="str">
        <f>IFERROR(__xludf.DUMMYFUNCTION("""COMPUTED_VALUE"""),"CREDITO")</f>
        <v>CREDITO</v>
      </c>
      <c r="B307" s="98" t="str">
        <f>IFERROR(__xludf.DUMMYFUNCTION("""COMPUTED_VALUE"""),"SPITI DIVERSOS .SAO PAULO")</f>
        <v>SPITI DIVERSOS .SAO PAULO</v>
      </c>
      <c r="C307" s="13"/>
      <c r="D307" s="13"/>
      <c r="E307" s="13">
        <f>IFERROR(__xludf.DUMMYFUNCTION("""COMPUTED_VALUE"""),4.0)</f>
        <v>4</v>
      </c>
      <c r="F307" s="15">
        <f>IFERROR(__xludf.DUMMYFUNCTION("""COMPUTED_VALUE"""),44256.0)</f>
        <v>44256</v>
      </c>
      <c r="G307" s="16"/>
      <c r="H307" s="227">
        <f>IFERROR(__xludf.DUMMYFUNCTION("""COMPUTED_VALUE"""),1.0)</f>
        <v>1</v>
      </c>
      <c r="I307" s="21"/>
      <c r="J307" s="21" t="str">
        <f>IFERROR(__xludf.DUMMYFUNCTION("""COMPUTED_VALUE"""),"#CartaoDeCredito #Roberta #Lazer #Variavel")</f>
        <v>#CartaoDeCredito #Roberta #Lazer #Variavel</v>
      </c>
      <c r="K307" s="216"/>
      <c r="L307" s="216"/>
      <c r="M307" s="216"/>
      <c r="N307" s="216"/>
      <c r="O307" s="216"/>
      <c r="P307" s="216"/>
      <c r="Q307" s="216"/>
    </row>
    <row r="308">
      <c r="A308" s="11" t="str">
        <f>IFERROR(__xludf.DUMMYFUNCTION("""COMPUTED_VALUE"""),"CREDITO")</f>
        <v>CREDITO</v>
      </c>
      <c r="B308" s="98" t="str">
        <f>IFERROR(__xludf.DUMMYFUNCTION("""COMPUTED_VALUE"""),"99InAppPayment VEÍCULOS SAO PAULO Carlos deslocou o braço")</f>
        <v>99InAppPayment VEÍCULOS SAO PAULO Carlos deslocou o braço</v>
      </c>
      <c r="C308" s="13"/>
      <c r="D308" s="13"/>
      <c r="E308" s="13">
        <f>IFERROR(__xludf.DUMMYFUNCTION("""COMPUTED_VALUE"""),4.0)</f>
        <v>4</v>
      </c>
      <c r="F308" s="15">
        <f>IFERROR(__xludf.DUMMYFUNCTION("""COMPUTED_VALUE"""),44265.0)</f>
        <v>44265</v>
      </c>
      <c r="G308" s="16"/>
      <c r="H308" s="227">
        <f>IFERROR(__xludf.DUMMYFUNCTION("""COMPUTED_VALUE"""),10.61)</f>
        <v>10.61</v>
      </c>
      <c r="I308" s="21"/>
      <c r="J308" s="21" t="str">
        <f>IFERROR(__xludf.DUMMYFUNCTION("""COMPUTED_VALUE"""),"#CartaoDeCredito #Roberta #Saude #Carlos #Variavel #Ortopedia")</f>
        <v>#CartaoDeCredito #Roberta #Saude #Carlos #Variavel #Ortopedia</v>
      </c>
      <c r="K308" s="216"/>
      <c r="L308" s="216"/>
      <c r="M308" s="216"/>
      <c r="N308" s="216"/>
      <c r="O308" s="216"/>
      <c r="P308" s="216"/>
      <c r="Q308" s="216"/>
    </row>
    <row r="309">
      <c r="A309" s="11" t="str">
        <f>IFERROR(__xludf.DUMMYFUNCTION("""COMPUTED_VALUE"""),"CREDITO")</f>
        <v>CREDITO</v>
      </c>
      <c r="B309" s="98" t="str">
        <f>IFERROR(__xludf.DUMMYFUNCTION("""COMPUTED_VALUE"""),"99InAppPayment VEÍCULOS SAO PAULO Carlos deslocou o braço")</f>
        <v>99InAppPayment VEÍCULOS SAO PAULO Carlos deslocou o braço</v>
      </c>
      <c r="C309" s="13"/>
      <c r="D309" s="13"/>
      <c r="E309" s="13">
        <f>IFERROR(__xludf.DUMMYFUNCTION("""COMPUTED_VALUE"""),4.0)</f>
        <v>4</v>
      </c>
      <c r="F309" s="15">
        <f>IFERROR(__xludf.DUMMYFUNCTION("""COMPUTED_VALUE"""),44265.0)</f>
        <v>44265</v>
      </c>
      <c r="G309" s="16"/>
      <c r="H309" s="227">
        <f>IFERROR(__xludf.DUMMYFUNCTION("""COMPUTED_VALUE"""),9.8)</f>
        <v>9.8</v>
      </c>
      <c r="I309" s="21"/>
      <c r="J309" s="21" t="str">
        <f>IFERROR(__xludf.DUMMYFUNCTION("""COMPUTED_VALUE"""),"#CartaoDeCredito #Roberta #Saude #Carlos #Variavel #Ortopedia")</f>
        <v>#CartaoDeCredito #Roberta #Saude #Carlos #Variavel #Ortopedia</v>
      </c>
      <c r="K309" s="216"/>
      <c r="L309" s="216"/>
      <c r="M309" s="216"/>
      <c r="N309" s="216"/>
      <c r="O309" s="216"/>
      <c r="P309" s="216"/>
      <c r="Q309" s="216"/>
    </row>
    <row r="310">
      <c r="A310" s="11" t="str">
        <f>IFERROR(__xludf.DUMMYFUNCTION("""COMPUTED_VALUE"""),"CREDITO")</f>
        <v>CREDITO</v>
      </c>
      <c r="B310" s="98" t="str">
        <f>IFERROR(__xludf.DUMMYFUNCTION("""COMPUTED_VALUE"""),"SEGURO RESIDENCIAL ITAU")</f>
        <v>SEGURO RESIDENCIAL ITAU</v>
      </c>
      <c r="C310" s="13"/>
      <c r="D310" s="13"/>
      <c r="E310" s="13">
        <f>IFERROR(__xludf.DUMMYFUNCTION("""COMPUTED_VALUE"""),4.0)</f>
        <v>4</v>
      </c>
      <c r="F310" s="15">
        <f>IFERROR(__xludf.DUMMYFUNCTION("""COMPUTED_VALUE"""),44273.0)</f>
        <v>44273</v>
      </c>
      <c r="G310" s="16"/>
      <c r="H310" s="227">
        <f>IFERROR(__xludf.DUMMYFUNCTION("""COMPUTED_VALUE"""),13.7)</f>
        <v>13.7</v>
      </c>
      <c r="I310" s="21"/>
      <c r="J310" s="21" t="str">
        <f>IFERROR(__xludf.DUMMYFUNCTION("""COMPUTED_VALUE"""),"#CartaoDeCredito #Roberta #Essencial #Fixo #Moradia")</f>
        <v>#CartaoDeCredito #Roberta #Essencial #Fixo #Moradia</v>
      </c>
      <c r="K310" s="216"/>
      <c r="L310" s="216"/>
      <c r="M310" s="216"/>
      <c r="N310" s="216"/>
      <c r="O310" s="216"/>
      <c r="P310" s="216"/>
      <c r="Q310" s="216"/>
    </row>
    <row r="311">
      <c r="A311" s="11" t="str">
        <f>IFERROR(__xludf.DUMMYFUNCTION("""COMPUTED_VALUE"""),"CREDITO")</f>
        <v>CREDITO</v>
      </c>
      <c r="B311" s="98" t="str">
        <f>IFERROR(__xludf.DUMMYFUNCTION("""COMPUTED_VALUE"""),"POSTO REDE NOVA - VEÍCULOS .SAO JOSE DOS")</f>
        <v>POSTO REDE NOVA - VEÍCULOS .SAO JOSE DOS</v>
      </c>
      <c r="C311" s="13"/>
      <c r="D311" s="13"/>
      <c r="E311" s="13">
        <f>IFERROR(__xludf.DUMMYFUNCTION("""COMPUTED_VALUE"""),4.0)</f>
        <v>4</v>
      </c>
      <c r="F311" s="15">
        <f>IFERROR(__xludf.DUMMYFUNCTION("""COMPUTED_VALUE"""),44275.0)</f>
        <v>44275</v>
      </c>
      <c r="G311" s="16"/>
      <c r="H311" s="227">
        <f>IFERROR(__xludf.DUMMYFUNCTION("""COMPUTED_VALUE"""),210.38)</f>
        <v>210.38</v>
      </c>
      <c r="I311" s="21"/>
      <c r="J311" s="21" t="str">
        <f>IFERROR(__xludf.DUMMYFUNCTION("""COMPUTED_VALUE"""),"#CartaoDeCredito #Roberta #Carro #Combustivel #Variavel")</f>
        <v>#CartaoDeCredito #Roberta #Carro #Combustivel #Variavel</v>
      </c>
      <c r="K311" s="216"/>
      <c r="L311" s="216"/>
      <c r="M311" s="216"/>
      <c r="N311" s="216"/>
      <c r="O311" s="216"/>
      <c r="P311" s="216"/>
      <c r="Q311" s="216"/>
    </row>
    <row r="312">
      <c r="A312" s="11" t="str">
        <f>IFERROR(__xludf.DUMMYFUNCTION("""COMPUTED_VALUE"""),"CREDITO")</f>
        <v>CREDITO</v>
      </c>
      <c r="B312" s="98" t="str">
        <f>IFERROR(__xludf.DUMMYFUNCTION("""COMPUTED_VALUE"""),"SHIBATA H INTERNET - ALIMENTAÇÃO .SAO JOSE DOS")</f>
        <v>SHIBATA H INTERNET - ALIMENTAÇÃO .SAO JOSE DOS</v>
      </c>
      <c r="C312" s="13"/>
      <c r="D312" s="13"/>
      <c r="E312" s="13">
        <f>IFERROR(__xludf.DUMMYFUNCTION("""COMPUTED_VALUE"""),4.0)</f>
        <v>4</v>
      </c>
      <c r="F312" s="15">
        <f>IFERROR(__xludf.DUMMYFUNCTION("""COMPUTED_VALUE"""),44275.0)</f>
        <v>44275</v>
      </c>
      <c r="G312" s="16"/>
      <c r="H312" s="227">
        <f>IFERROR(__xludf.DUMMYFUNCTION("""COMPUTED_VALUE"""),83.06)</f>
        <v>83.06</v>
      </c>
      <c r="I312" s="21"/>
      <c r="J312" s="21" t="str">
        <f>IFERROR(__xludf.DUMMYFUNCTION("""COMPUTED_VALUE"""),"#CartaoDeCredito #Roberta #Moradia #Essencial #Mercado #Variavel #Alimentação")</f>
        <v>#CartaoDeCredito #Roberta #Moradia #Essencial #Mercado #Variavel #Alimentação</v>
      </c>
      <c r="K312" s="216"/>
      <c r="L312" s="216"/>
      <c r="M312" s="216"/>
      <c r="N312" s="216"/>
      <c r="O312" s="216"/>
      <c r="P312" s="216"/>
      <c r="Q312" s="216"/>
    </row>
    <row r="313">
      <c r="A313" s="11" t="str">
        <f>IFERROR(__xludf.DUMMYFUNCTION("""COMPUTED_VALUE"""),"CREDITO")</f>
        <v>CREDITO</v>
      </c>
      <c r="B313" s="98" t="str">
        <f>IFERROR(__xludf.DUMMYFUNCTION("""COMPUTED_VALUE"""),"SHIBATA H - ALIMENTAÇÃO .SAO JOSE DOS")</f>
        <v>SHIBATA H - ALIMENTAÇÃO .SAO JOSE DOS</v>
      </c>
      <c r="C313" s="13"/>
      <c r="D313" s="13"/>
      <c r="E313" s="13">
        <f>IFERROR(__xludf.DUMMYFUNCTION("""COMPUTED_VALUE"""),4.0)</f>
        <v>4</v>
      </c>
      <c r="F313" s="15">
        <f>IFERROR(__xludf.DUMMYFUNCTION("""COMPUTED_VALUE"""),44275.0)</f>
        <v>44275</v>
      </c>
      <c r="G313" s="16"/>
      <c r="H313" s="227">
        <f>IFERROR(__xludf.DUMMYFUNCTION("""COMPUTED_VALUE"""),32.18)</f>
        <v>32.18</v>
      </c>
      <c r="I313" s="21"/>
      <c r="J313" s="21" t="str">
        <f>IFERROR(__xludf.DUMMYFUNCTION("""COMPUTED_VALUE"""),"#CartaoDeCredito #Roberta #Moradia #Essencial #Mercado #Variavel #Alimentação")</f>
        <v>#CartaoDeCredito #Roberta #Moradia #Essencial #Mercado #Variavel #Alimentação</v>
      </c>
      <c r="K313" s="216"/>
      <c r="L313" s="216"/>
      <c r="M313" s="216"/>
      <c r="N313" s="216"/>
      <c r="O313" s="216"/>
      <c r="P313" s="216"/>
      <c r="Q313" s="216"/>
    </row>
    <row r="314">
      <c r="A314" s="11" t="str">
        <f>IFERROR(__xludf.DUMMYFUNCTION("""COMPUTED_VALUE"""),"CREDITO")</f>
        <v>CREDITO</v>
      </c>
      <c r="B314" s="98" t="str">
        <f>IFERROR(__xludf.DUMMYFUNCTION("""COMPUTED_VALUE"""),"NETFLIX.COM DIVERSOS .SAO PAULO")</f>
        <v>NETFLIX.COM DIVERSOS .SAO PAULO</v>
      </c>
      <c r="C314" s="13"/>
      <c r="D314" s="13"/>
      <c r="E314" s="13">
        <f>IFERROR(__xludf.DUMMYFUNCTION("""COMPUTED_VALUE"""),4.0)</f>
        <v>4</v>
      </c>
      <c r="F314" s="15">
        <f>IFERROR(__xludf.DUMMYFUNCTION("""COMPUTED_VALUE"""),44276.0)</f>
        <v>44276</v>
      </c>
      <c r="G314" s="16"/>
      <c r="H314" s="227">
        <f>IFERROR(__xludf.DUMMYFUNCTION("""COMPUTED_VALUE"""),32.9)</f>
        <v>32.9</v>
      </c>
      <c r="I314" s="21"/>
      <c r="J314" s="21" t="str">
        <f>IFERROR(__xludf.DUMMYFUNCTION("""COMPUTED_VALUE"""),"#CartaoDeCredito #Roberta #Streaming #Fixo")</f>
        <v>#CartaoDeCredito #Roberta #Streaming #Fixo</v>
      </c>
      <c r="K314" s="216"/>
      <c r="L314" s="216"/>
      <c r="M314" s="216"/>
      <c r="N314" s="216"/>
      <c r="O314" s="216"/>
      <c r="P314" s="216"/>
      <c r="Q314" s="216"/>
    </row>
    <row r="315">
      <c r="A315" s="11" t="str">
        <f>IFERROR(__xludf.DUMMYFUNCTION("""COMPUTED_VALUE"""),"CREDITO")</f>
        <v>CREDITO</v>
      </c>
      <c r="B315" s="98" t="str">
        <f>IFERROR(__xludf.DUMMYFUNCTION("""COMPUTED_VALUE"""),"MARISA COM BR VESTUÁRIO .BARUERI")</f>
        <v>MARISA COM BR VESTUÁRIO .BARUERI</v>
      </c>
      <c r="C315" s="13"/>
      <c r="D315" s="13"/>
      <c r="E315" s="13">
        <f>IFERROR(__xludf.DUMMYFUNCTION("""COMPUTED_VALUE"""),4.0)</f>
        <v>4</v>
      </c>
      <c r="F315" s="15">
        <f>IFERROR(__xludf.DUMMYFUNCTION("""COMPUTED_VALUE"""),44280.0)</f>
        <v>44280</v>
      </c>
      <c r="G315" s="16"/>
      <c r="H315" s="227">
        <f>IFERROR(__xludf.DUMMYFUNCTION("""COMPUTED_VALUE"""),88.94)</f>
        <v>88.94</v>
      </c>
      <c r="I315" s="21"/>
      <c r="J315" s="21" t="str">
        <f>IFERROR(__xludf.DUMMYFUNCTION("""COMPUTED_VALUE"""),"#CartaoDeCredito #Roberta #Lazer #Variavel")</f>
        <v>#CartaoDeCredito #Roberta #Lazer #Variavel</v>
      </c>
      <c r="K315" s="216"/>
      <c r="L315" s="216"/>
      <c r="M315" s="216"/>
      <c r="N315" s="216"/>
      <c r="O315" s="216"/>
      <c r="P315" s="216"/>
      <c r="Q315" s="216"/>
    </row>
    <row r="316">
      <c r="A316" s="11"/>
      <c r="B316" s="98"/>
      <c r="C316" s="13"/>
      <c r="D316" s="13"/>
      <c r="E316" s="13">
        <f>IFERROR(__xludf.DUMMYFUNCTION("""COMPUTED_VALUE"""),4.0)</f>
        <v>4</v>
      </c>
      <c r="F316" s="15"/>
      <c r="G316" s="16"/>
      <c r="H316" s="227"/>
      <c r="I316" s="21"/>
      <c r="J316" s="21"/>
      <c r="K316" s="216"/>
      <c r="L316" s="216"/>
      <c r="M316" s="216"/>
      <c r="N316" s="216"/>
      <c r="O316" s="216"/>
      <c r="P316" s="216"/>
      <c r="Q316" s="216"/>
    </row>
    <row r="317">
      <c r="A317" s="11" t="str">
        <f>IFERROR(__xludf.DUMMYFUNCTION("""COMPUTED_VALUE"""),"PAGO")</f>
        <v>PAGO</v>
      </c>
      <c r="B317" s="98" t="str">
        <f>IFERROR(__xludf.DUMMYFUNCTION("""COMPUTED_VALUE"""),"Convenio Sr. Antonio - São Cristovão - paguei com juros por atraso")</f>
        <v>Convenio Sr. Antonio - São Cristovão - paguei com juros por atraso</v>
      </c>
      <c r="C317" s="13">
        <f>IFERROR(__xludf.DUMMYFUNCTION("""COMPUTED_VALUE"""),8.0)</f>
        <v>8</v>
      </c>
      <c r="D317" s="13" t="str">
        <f>IFERROR(__xludf.DUMMYFUNCTION("""COMPUTED_VALUE"""),"QUI.")</f>
        <v>QUI.</v>
      </c>
      <c r="E317" s="13">
        <f>IFERROR(__xludf.DUMMYFUNCTION("""COMPUTED_VALUE"""),4.0)</f>
        <v>4</v>
      </c>
      <c r="F317" s="15">
        <f>IFERROR(__xludf.DUMMYFUNCTION("""COMPUTED_VALUE"""),44295.0)</f>
        <v>44295</v>
      </c>
      <c r="G317" s="16"/>
      <c r="H317" s="227">
        <f>IFERROR(__xludf.DUMMYFUNCTION("""COMPUTED_VALUE"""),550.96)</f>
        <v>550.96</v>
      </c>
      <c r="I317" s="21" t="str">
        <f>IFERROR(__xludf.DUMMYFUNCTION("""COMPUTED_VALUE"""),"NUBANK")</f>
        <v>NUBANK</v>
      </c>
      <c r="J317" s="21" t="str">
        <f>IFERROR(__xludf.DUMMYFUNCTION("""COMPUTED_VALUE"""),"#Essencial #Saude #Convenio #Papai #Fixo")</f>
        <v>#Essencial #Saude #Convenio #Papai #Fixo</v>
      </c>
      <c r="K317" s="216"/>
      <c r="L317" s="216"/>
      <c r="M317" s="216"/>
      <c r="N317" s="216"/>
      <c r="O317" s="216"/>
      <c r="P317" s="216"/>
      <c r="Q317" s="216"/>
    </row>
    <row r="318">
      <c r="A318" s="11" t="str">
        <f>IFERROR(__xludf.DUMMYFUNCTION("""COMPUTED_VALUE"""),"PAGO")</f>
        <v>PAGO</v>
      </c>
      <c r="B318" s="98" t="str">
        <f>IFERROR(__xludf.DUMMYFUNCTION("""COMPUTED_VALUE"""),"Fatura VIVOFIBRA INTERNET")</f>
        <v>Fatura VIVOFIBRA INTERNET</v>
      </c>
      <c r="C318" s="13">
        <f>IFERROR(__xludf.DUMMYFUNCTION("""COMPUTED_VALUE"""),8.0)</f>
        <v>8</v>
      </c>
      <c r="D318" s="13" t="str">
        <f>IFERROR(__xludf.DUMMYFUNCTION("""COMPUTED_VALUE"""),"QUI.")</f>
        <v>QUI.</v>
      </c>
      <c r="E318" s="13">
        <f>IFERROR(__xludf.DUMMYFUNCTION("""COMPUTED_VALUE"""),4.0)</f>
        <v>4</v>
      </c>
      <c r="F318" s="15">
        <f>IFERROR(__xludf.DUMMYFUNCTION("""COMPUTED_VALUE"""),44295.0)</f>
        <v>44295</v>
      </c>
      <c r="G318" s="16"/>
      <c r="H318" s="227">
        <f>IFERROR(__xludf.DUMMYFUNCTION("""COMPUTED_VALUE"""),149.99)</f>
        <v>149.99</v>
      </c>
      <c r="I318" s="21" t="str">
        <f>IFERROR(__xludf.DUMMYFUNCTION("""COMPUTED_VALUE"""),"NUBANK")</f>
        <v>NUBANK</v>
      </c>
      <c r="J318" s="21" t="str">
        <f>IFERROR(__xludf.DUMMYFUNCTION("""COMPUTED_VALUE"""),"#Essencial #Internet #Fixo ")</f>
        <v>#Essencial #Internet #Fixo </v>
      </c>
      <c r="K318" s="216"/>
      <c r="L318" s="216"/>
      <c r="M318" s="216"/>
      <c r="N318" s="216"/>
      <c r="O318" s="216"/>
      <c r="P318" s="216"/>
      <c r="Q318" s="216"/>
    </row>
    <row r="319">
      <c r="A319" s="11" t="str">
        <f>IFERROR(__xludf.DUMMYFUNCTION("""COMPUTED_VALUE"""),"PAGO")</f>
        <v>PAGO</v>
      </c>
      <c r="B319" s="98" t="str">
        <f>IFERROR(__xludf.DUMMYFUNCTION("""COMPUTED_VALUE"""),"Vitela de Prata SJC")</f>
        <v>Vitela de Prata SJC</v>
      </c>
      <c r="C319" s="13">
        <f>IFERROR(__xludf.DUMMYFUNCTION("""COMPUTED_VALUE"""),8.0)</f>
        <v>8</v>
      </c>
      <c r="D319" s="13" t="str">
        <f>IFERROR(__xludf.DUMMYFUNCTION("""COMPUTED_VALUE"""),"QUI.")</f>
        <v>QUI.</v>
      </c>
      <c r="E319" s="13">
        <f>IFERROR(__xludf.DUMMYFUNCTION("""COMPUTED_VALUE"""),4.0)</f>
        <v>4</v>
      </c>
      <c r="F319" s="15"/>
      <c r="G319" s="16"/>
      <c r="H319" s="227">
        <f>IFERROR(__xludf.DUMMYFUNCTION("""COMPUTED_VALUE"""),59.46)</f>
        <v>59.46</v>
      </c>
      <c r="I319" s="21" t="str">
        <f>IFERROR(__xludf.DUMMYFUNCTION("""COMPUTED_VALUE"""),"SODEXO-REF-IBM")</f>
        <v>SODEXO-REF-IBM</v>
      </c>
      <c r="J319" s="21" t="str">
        <f>IFERROR(__xludf.DUMMYFUNCTION("""COMPUTED_VALUE"""),"#Alimentação #Comida #Variavel")</f>
        <v>#Alimentação #Comida #Variavel</v>
      </c>
      <c r="K319" s="216"/>
      <c r="L319" s="216"/>
      <c r="M319" s="216"/>
      <c r="N319" s="216"/>
      <c r="O319" s="216"/>
      <c r="P319" s="216"/>
      <c r="Q319" s="216"/>
    </row>
    <row r="320">
      <c r="A320" s="11" t="str">
        <f>IFERROR(__xludf.DUMMYFUNCTION("""COMPUTED_VALUE"""),"PAGO")</f>
        <v>PAGO</v>
      </c>
      <c r="B320" s="98" t="str">
        <f>IFERROR(__xludf.DUMMYFUNCTION("""COMPUTED_VALUE"""),"Resgate reserva de emergencia")</f>
        <v>Resgate reserva de emergencia</v>
      </c>
      <c r="C320" s="13">
        <f>IFERROR(__xludf.DUMMYFUNCTION("""COMPUTED_VALUE"""),9.0)</f>
        <v>9</v>
      </c>
      <c r="D320" s="13" t="str">
        <f>IFERROR(__xludf.DUMMYFUNCTION("""COMPUTED_VALUE"""),"SEX.")</f>
        <v>SEX.</v>
      </c>
      <c r="E320" s="13">
        <f>IFERROR(__xludf.DUMMYFUNCTION("""COMPUTED_VALUE"""),4.0)</f>
        <v>4</v>
      </c>
      <c r="F320" s="15"/>
      <c r="G320" s="16">
        <f>IFERROR(__xludf.DUMMYFUNCTION("""COMPUTED_VALUE"""),1300.0)</f>
        <v>1300</v>
      </c>
      <c r="H320" s="227"/>
      <c r="I320" s="21" t="str">
        <f>IFERROR(__xludf.DUMMYFUNCTION("""COMPUTED_VALUE"""),"NUBANK")</f>
        <v>NUBANK</v>
      </c>
      <c r="J320" s="21" t="str">
        <f>IFERROR(__xludf.DUMMYFUNCTION("""COMPUTED_VALUE"""),"#Resgate #Nubank #Variavel")</f>
        <v>#Resgate #Nubank #Variavel</v>
      </c>
      <c r="K320" s="216"/>
      <c r="L320" s="216"/>
      <c r="M320" s="216"/>
      <c r="N320" s="216"/>
      <c r="O320" s="216"/>
      <c r="P320" s="216"/>
      <c r="Q320" s="216"/>
    </row>
    <row r="321">
      <c r="A321" s="11" t="str">
        <f>IFERROR(__xludf.DUMMYFUNCTION("""COMPUTED_VALUE"""),"PAGO")</f>
        <v>PAGO</v>
      </c>
      <c r="B321" s="98" t="str">
        <f>IFERROR(__xludf.DUMMYFUNCTION("""COMPUTED_VALUE"""),"Shibata")</f>
        <v>Shibata</v>
      </c>
      <c r="C321" s="13">
        <f>IFERROR(__xludf.DUMMYFUNCTION("""COMPUTED_VALUE"""),9.0)</f>
        <v>9</v>
      </c>
      <c r="D321" s="13" t="str">
        <f>IFERROR(__xludf.DUMMYFUNCTION("""COMPUTED_VALUE"""),"SEX.")</f>
        <v>SEX.</v>
      </c>
      <c r="E321" s="13">
        <f>IFERROR(__xludf.DUMMYFUNCTION("""COMPUTED_VALUE"""),4.0)</f>
        <v>4</v>
      </c>
      <c r="F321" s="15"/>
      <c r="G321" s="16"/>
      <c r="H321" s="227">
        <f>IFERROR(__xludf.DUMMYFUNCTION("""COMPUTED_VALUE"""),167.23)</f>
        <v>167.23</v>
      </c>
      <c r="I321" s="21" t="str">
        <f>IFERROR(__xludf.DUMMYFUNCTION("""COMPUTED_VALUE"""),"SODEXO-REF-IBM")</f>
        <v>SODEXO-REF-IBM</v>
      </c>
      <c r="J321" s="21" t="str">
        <f>IFERROR(__xludf.DUMMYFUNCTION("""COMPUTED_VALUE"""),"#Moradia #Essencial #Mercado #Variavel #Alimentação ")</f>
        <v>#Moradia #Essencial #Mercado #Variavel #Alimentação </v>
      </c>
      <c r="K321" s="216"/>
      <c r="L321" s="216"/>
      <c r="M321" s="216"/>
      <c r="N321" s="216"/>
      <c r="O321" s="216"/>
      <c r="P321" s="216"/>
      <c r="Q321" s="216"/>
    </row>
    <row r="322">
      <c r="A322" s="11" t="str">
        <f>IFERROR(__xludf.DUMMYFUNCTION("""COMPUTED_VALUE"""),"PAGO")</f>
        <v>PAGO</v>
      </c>
      <c r="B322" s="98" t="str">
        <f>IFERROR(__xludf.DUMMYFUNCTION("""COMPUTED_VALUE"""),"Elo Educacional: mensalidade(598,00) + material(137,00)")</f>
        <v>Elo Educacional: mensalidade(598,00) + material(137,00)</v>
      </c>
      <c r="C322" s="13">
        <f>IFERROR(__xludf.DUMMYFUNCTION("""COMPUTED_VALUE"""),9.0)</f>
        <v>9</v>
      </c>
      <c r="D322" s="13" t="str">
        <f>IFERROR(__xludf.DUMMYFUNCTION("""COMPUTED_VALUE"""),"SEX.")</f>
        <v>SEX.</v>
      </c>
      <c r="E322" s="13">
        <f>IFERROR(__xludf.DUMMYFUNCTION("""COMPUTED_VALUE"""),4.0)</f>
        <v>4</v>
      </c>
      <c r="F322" s="15"/>
      <c r="G322" s="16"/>
      <c r="H322" s="227">
        <f>IFERROR(__xludf.DUMMYFUNCTION("""COMPUTED_VALUE"""),735.0)</f>
        <v>735</v>
      </c>
      <c r="I322" s="21" t="str">
        <f>IFERROR(__xludf.DUMMYFUNCTION("""COMPUTED_VALUE"""),"NUBANK")</f>
        <v>NUBANK</v>
      </c>
      <c r="J322" s="21" t="str">
        <f>IFERROR(__xludf.DUMMYFUNCTION("""COMPUTED_VALUE"""),"#Essencial #Escola #Eduardo #Fixo")</f>
        <v>#Essencial #Escola #Eduardo #Fixo</v>
      </c>
      <c r="K322" s="216"/>
      <c r="L322" s="216"/>
      <c r="M322" s="216"/>
      <c r="N322" s="216"/>
      <c r="O322" s="216"/>
      <c r="P322" s="216"/>
      <c r="Q322" s="216"/>
    </row>
    <row r="323">
      <c r="A323" s="11" t="str">
        <f>IFERROR(__xludf.DUMMYFUNCTION("""COMPUTED_VALUE"""),"PAGO")</f>
        <v>PAGO</v>
      </c>
      <c r="B323" s="98" t="str">
        <f>IFERROR(__xludf.DUMMYFUNCTION("""COMPUTED_VALUE"""),"Convenio Uniodonto")</f>
        <v>Convenio Uniodonto</v>
      </c>
      <c r="C323" s="13">
        <f>IFERROR(__xludf.DUMMYFUNCTION("""COMPUTED_VALUE"""),9.0)</f>
        <v>9</v>
      </c>
      <c r="D323" s="13" t="str">
        <f>IFERROR(__xludf.DUMMYFUNCTION("""COMPUTED_VALUE"""),"SEX.")</f>
        <v>SEX.</v>
      </c>
      <c r="E323" s="13">
        <f>IFERROR(__xludf.DUMMYFUNCTION("""COMPUTED_VALUE"""),4.0)</f>
        <v>4</v>
      </c>
      <c r="F323" s="15"/>
      <c r="G323" s="16"/>
      <c r="H323" s="227">
        <f>IFERROR(__xludf.DUMMYFUNCTION("""COMPUTED_VALUE"""),102.0)</f>
        <v>102</v>
      </c>
      <c r="I323" s="21" t="str">
        <f>IFERROR(__xludf.DUMMYFUNCTION("""COMPUTED_VALUE"""),"NUBANK")</f>
        <v>NUBANK</v>
      </c>
      <c r="J323" s="21" t="str">
        <f>IFERROR(__xludf.DUMMYFUNCTION("""COMPUTED_VALUE"""),"#Essencial #Saude #Convenio #Familia #Fixo ")</f>
        <v>#Essencial #Saude #Convenio #Familia #Fixo </v>
      </c>
      <c r="K323" s="216"/>
      <c r="L323" s="216"/>
      <c r="M323" s="216"/>
      <c r="N323" s="216"/>
      <c r="O323" s="216"/>
      <c r="P323" s="216"/>
      <c r="Q323" s="216"/>
    </row>
    <row r="324">
      <c r="A324" s="11" t="str">
        <f>IFERROR(__xludf.DUMMYFUNCTION("""COMPUTED_VALUE"""),"PAGO")</f>
        <v>PAGO</v>
      </c>
      <c r="B324" s="98" t="str">
        <f>IFERROR(__xludf.DUMMYFUNCTION("""COMPUTED_VALUE"""),"Rendimento")</f>
        <v>Rendimento</v>
      </c>
      <c r="C324" s="13">
        <f>IFERROR(__xludf.DUMMYFUNCTION("""COMPUTED_VALUE"""),9.0)</f>
        <v>9</v>
      </c>
      <c r="D324" s="13" t="str">
        <f>IFERROR(__xludf.DUMMYFUNCTION("""COMPUTED_VALUE"""),"SEX.")</f>
        <v>SEX.</v>
      </c>
      <c r="E324" s="13">
        <f>IFERROR(__xludf.DUMMYFUNCTION("""COMPUTED_VALUE"""),4.0)</f>
        <v>4</v>
      </c>
      <c r="F324" s="15"/>
      <c r="G324" s="16">
        <f>IFERROR(__xludf.DUMMYFUNCTION("""COMPUTED_VALUE"""),0.02)</f>
        <v>0.02</v>
      </c>
      <c r="H324" s="227"/>
      <c r="I324" s="21" t="str">
        <f>IFERROR(__xludf.DUMMYFUNCTION("""COMPUTED_VALUE"""),"ITAU")</f>
        <v>ITAU</v>
      </c>
      <c r="J324" s="21" t="str">
        <f>IFERROR(__xludf.DUMMYFUNCTION("""COMPUTED_VALUE"""),"#Recebimentos #Rendimentos #Variavel")</f>
        <v>#Recebimentos #Rendimentos #Variavel</v>
      </c>
      <c r="K324" s="216"/>
      <c r="L324" s="216"/>
      <c r="M324" s="216"/>
      <c r="N324" s="216"/>
      <c r="O324" s="216"/>
      <c r="P324" s="216"/>
      <c r="Q324" s="216"/>
    </row>
    <row r="325">
      <c r="A325" s="11" t="str">
        <f>IFERROR(__xludf.DUMMYFUNCTION("""COMPUTED_VALUE"""),"PAGO")</f>
        <v>PAGO</v>
      </c>
      <c r="B325" s="98" t="str">
        <f>IFERROR(__xludf.DUMMYFUNCTION("""COMPUTED_VALUE"""),"Cartao NuBank")</f>
        <v>Cartao NuBank</v>
      </c>
      <c r="C325" s="13">
        <f>IFERROR(__xludf.DUMMYFUNCTION("""COMPUTED_VALUE"""),11.0)</f>
        <v>11</v>
      </c>
      <c r="D325" s="13" t="str">
        <f>IFERROR(__xludf.DUMMYFUNCTION("""COMPUTED_VALUE"""),"DOM.")</f>
        <v>DOM.</v>
      </c>
      <c r="E325" s="13">
        <f>IFERROR(__xludf.DUMMYFUNCTION("""COMPUTED_VALUE"""),4.0)</f>
        <v>4</v>
      </c>
      <c r="F325" s="15">
        <f>IFERROR(__xludf.DUMMYFUNCTION("""COMPUTED_VALUE"""),44295.0)</f>
        <v>44295</v>
      </c>
      <c r="G325" s="16"/>
      <c r="H325" s="227">
        <f>IFERROR(__xludf.DUMMYFUNCTION("""COMPUTED_VALUE"""),93.35)</f>
        <v>93.35</v>
      </c>
      <c r="I325" s="21" t="str">
        <f>IFERROR(__xludf.DUMMYFUNCTION("""COMPUTED_VALUE"""),"NUBANK")</f>
        <v>NUBANK</v>
      </c>
      <c r="J325" s="21"/>
      <c r="K325" s="216"/>
      <c r="L325" s="216"/>
      <c r="M325" s="216"/>
      <c r="N325" s="216"/>
      <c r="O325" s="216"/>
      <c r="P325" s="216"/>
      <c r="Q325" s="216"/>
    </row>
    <row r="326">
      <c r="A326" s="11" t="str">
        <f>IFERROR(__xludf.DUMMYFUNCTION("""COMPUTED_VALUE"""),"CREDITO")</f>
        <v>CREDITO</v>
      </c>
      <c r="B326" s="98" t="str">
        <f>IFERROR(__xludf.DUMMYFUNCTION("""COMPUTED_VALUE"""),"Amazonprimebr")</f>
        <v>Amazonprimebr</v>
      </c>
      <c r="C326" s="13"/>
      <c r="D326" s="13"/>
      <c r="E326" s="13">
        <f>IFERROR(__xludf.DUMMYFUNCTION("""COMPUTED_VALUE"""),4.0)</f>
        <v>4</v>
      </c>
      <c r="F326" s="15">
        <f>IFERROR(__xludf.DUMMYFUNCTION("""COMPUTED_VALUE"""),44268.0)</f>
        <v>44268</v>
      </c>
      <c r="G326" s="16"/>
      <c r="H326" s="227">
        <f>IFERROR(__xludf.DUMMYFUNCTION("""COMPUTED_VALUE"""),9.9)</f>
        <v>9.9</v>
      </c>
      <c r="I326" s="21"/>
      <c r="J326" s="21" t="str">
        <f>IFERROR(__xludf.DUMMYFUNCTION("""COMPUTED_VALUE"""),"#CartaoDeCredito #Cicero #Essencial #Streaming #Fixo ")</f>
        <v>#CartaoDeCredito #Cicero #Essencial #Streaming #Fixo </v>
      </c>
      <c r="K326" s="216"/>
      <c r="L326" s="216"/>
      <c r="M326" s="216"/>
      <c r="N326" s="216"/>
      <c r="O326" s="216"/>
      <c r="P326" s="216"/>
      <c r="Q326" s="216"/>
    </row>
    <row r="327">
      <c r="A327" s="11" t="str">
        <f>IFERROR(__xludf.DUMMYFUNCTION("""COMPUTED_VALUE"""),"CREDITO")</f>
        <v>CREDITO</v>
      </c>
      <c r="B327" s="98" t="str">
        <f>IFERROR(__xludf.DUMMYFUNCTION("""COMPUTED_VALUE"""),"Drogaria São Paulo - Internet")</f>
        <v>Drogaria São Paulo - Internet</v>
      </c>
      <c r="C327" s="13"/>
      <c r="D327" s="13"/>
      <c r="E327" s="13">
        <f>IFERROR(__xludf.DUMMYFUNCTION("""COMPUTED_VALUE"""),4.0)</f>
        <v>4</v>
      </c>
      <c r="F327" s="15">
        <f>IFERROR(__xludf.DUMMYFUNCTION("""COMPUTED_VALUE"""),44270.0)</f>
        <v>44270</v>
      </c>
      <c r="G327" s="16"/>
      <c r="H327" s="227">
        <f>IFERROR(__xludf.DUMMYFUNCTION("""COMPUTED_VALUE"""),49.65)</f>
        <v>49.65</v>
      </c>
      <c r="I327" s="21"/>
      <c r="J327" s="21" t="str">
        <f>IFERROR(__xludf.DUMMYFUNCTION("""COMPUTED_VALUE"""),"#CartaoDeCredito #Cicero #Remedios #Carlos #Variavel ")</f>
        <v>#CartaoDeCredito #Cicero #Remedios #Carlos #Variavel </v>
      </c>
      <c r="K327" s="216"/>
      <c r="L327" s="216"/>
      <c r="M327" s="216"/>
      <c r="N327" s="216"/>
      <c r="O327" s="216"/>
      <c r="P327" s="216"/>
      <c r="Q327" s="216"/>
    </row>
    <row r="328">
      <c r="A328" s="11" t="str">
        <f>IFERROR(__xludf.DUMMYFUNCTION("""COMPUTED_VALUE"""),"CREDITO")</f>
        <v>CREDITO</v>
      </c>
      <c r="B328" s="98" t="str">
        <f>IFERROR(__xludf.DUMMYFUNCTION("""COMPUTED_VALUE"""),"Google Play - Aluguel de Liga da Justiça - Snider cut")</f>
        <v>Google Play - Aluguel de Liga da Justiça - Snider cut</v>
      </c>
      <c r="C328" s="13"/>
      <c r="D328" s="13"/>
      <c r="E328" s="13">
        <f>IFERROR(__xludf.DUMMYFUNCTION("""COMPUTED_VALUE"""),4.0)</f>
        <v>4</v>
      </c>
      <c r="F328" s="15">
        <f>IFERROR(__xludf.DUMMYFUNCTION("""COMPUTED_VALUE"""),44273.0)</f>
        <v>44273</v>
      </c>
      <c r="G328" s="16"/>
      <c r="H328" s="227">
        <f>IFERROR(__xludf.DUMMYFUNCTION("""COMPUTED_VALUE"""),3.9)</f>
        <v>3.9</v>
      </c>
      <c r="I328" s="21"/>
      <c r="J328" s="21" t="str">
        <f>IFERROR(__xludf.DUMMYFUNCTION("""COMPUTED_VALUE"""),"#CartaoDeCredito #Cicero #Essencial #Internet #Variavel")</f>
        <v>#CartaoDeCredito #Cicero #Essencial #Internet #Variavel</v>
      </c>
      <c r="K328" s="216"/>
      <c r="L328" s="216"/>
      <c r="M328" s="216"/>
      <c r="N328" s="216"/>
      <c r="O328" s="216"/>
      <c r="P328" s="216"/>
      <c r="Q328" s="216"/>
    </row>
    <row r="329">
      <c r="A329" s="11" t="str">
        <f>IFERROR(__xludf.DUMMYFUNCTION("""COMPUTED_VALUE"""),"CREDITO")</f>
        <v>CREDITO</v>
      </c>
      <c r="B329" s="98" t="str">
        <f>IFERROR(__xludf.DUMMYFUNCTION("""COMPUTED_VALUE"""),"Leroy Merlin SJC - 10 Mascaras PFF2 - AntiCovid")</f>
        <v>Leroy Merlin SJC - 10 Mascaras PFF2 - AntiCovid</v>
      </c>
      <c r="C329" s="13"/>
      <c r="D329" s="13"/>
      <c r="E329" s="13">
        <f>IFERROR(__xludf.DUMMYFUNCTION("""COMPUTED_VALUE"""),4.0)</f>
        <v>4</v>
      </c>
      <c r="F329" s="15">
        <f>IFERROR(__xludf.DUMMYFUNCTION("""COMPUTED_VALUE"""),44278.0)</f>
        <v>44278</v>
      </c>
      <c r="G329" s="16"/>
      <c r="H329" s="227">
        <f>IFERROR(__xludf.DUMMYFUNCTION("""COMPUTED_VALUE"""),29.9)</f>
        <v>29.9</v>
      </c>
      <c r="I329" s="21"/>
      <c r="J329" s="21" t="str">
        <f>IFERROR(__xludf.DUMMYFUNCTION("""COMPUTED_VALUE"""),"#CartaoDeCredito #Cicero #Saude #Familia #Variavel")</f>
        <v>#CartaoDeCredito #Cicero #Saude #Familia #Variavel</v>
      </c>
      <c r="K329" s="216"/>
      <c r="L329" s="216"/>
      <c r="M329" s="216"/>
      <c r="N329" s="216"/>
      <c r="O329" s="216"/>
      <c r="P329" s="216"/>
      <c r="Q329" s="216"/>
    </row>
    <row r="330">
      <c r="A330" s="11" t="str">
        <f>IFERROR(__xludf.DUMMYFUNCTION("""COMPUTED_VALUE"""),"PAGO")</f>
        <v>PAGO</v>
      </c>
      <c r="B330" s="98" t="str">
        <f>IFERROR(__xludf.DUMMYFUNCTION("""COMPUTED_VALUE"""),"Levitar SJC - sorvetes")</f>
        <v>Levitar SJC - sorvetes</v>
      </c>
      <c r="C330" s="13">
        <f>IFERROR(__xludf.DUMMYFUNCTION("""COMPUTED_VALUE"""),11.0)</f>
        <v>11</v>
      </c>
      <c r="D330" s="13" t="str">
        <f>IFERROR(__xludf.DUMMYFUNCTION("""COMPUTED_VALUE"""),"DOM.")</f>
        <v>DOM.</v>
      </c>
      <c r="E330" s="13">
        <f>IFERROR(__xludf.DUMMYFUNCTION("""COMPUTED_VALUE"""),4.0)</f>
        <v>4</v>
      </c>
      <c r="F330" s="15"/>
      <c r="G330" s="16"/>
      <c r="H330" s="227">
        <f>IFERROR(__xludf.DUMMYFUNCTION("""COMPUTED_VALUE"""),53.8)</f>
        <v>53.8</v>
      </c>
      <c r="I330" s="21" t="str">
        <f>IFERROR(__xludf.DUMMYFUNCTION("""COMPUTED_VALUE"""),"NUBANK")</f>
        <v>NUBANK</v>
      </c>
      <c r="J330" s="21" t="str">
        <f>IFERROR(__xludf.DUMMYFUNCTION("""COMPUTED_VALUE"""),"#Lazer #Comida #Variavel")</f>
        <v>#Lazer #Comida #Variavel</v>
      </c>
      <c r="K330" s="216"/>
      <c r="L330" s="216"/>
      <c r="M330" s="216"/>
      <c r="N330" s="216"/>
      <c r="O330" s="216"/>
      <c r="P330" s="216"/>
      <c r="Q330" s="216"/>
    </row>
    <row r="331">
      <c r="A331" s="11" t="str">
        <f>IFERROR(__xludf.DUMMYFUNCTION("""COMPUTED_VALUE"""),"PAGO")</f>
        <v>PAGO</v>
      </c>
      <c r="B331" s="98" t="str">
        <f>IFERROR(__xludf.DUMMYFUNCTION("""COMPUTED_VALUE"""),"iFood  - AKM - comida japonesa")</f>
        <v>iFood  - AKM - comida japonesa</v>
      </c>
      <c r="C331" s="13">
        <f>IFERROR(__xludf.DUMMYFUNCTION("""COMPUTED_VALUE"""),14.0)</f>
        <v>14</v>
      </c>
      <c r="D331" s="13" t="str">
        <f>IFERROR(__xludf.DUMMYFUNCTION("""COMPUTED_VALUE"""),"QUA.")</f>
        <v>QUA.</v>
      </c>
      <c r="E331" s="13">
        <f>IFERROR(__xludf.DUMMYFUNCTION("""COMPUTED_VALUE"""),4.0)</f>
        <v>4</v>
      </c>
      <c r="F331" s="15"/>
      <c r="G331" s="16"/>
      <c r="H331" s="227">
        <f>IFERROR(__xludf.DUMMYFUNCTION("""COMPUTED_VALUE"""),60.0)</f>
        <v>60</v>
      </c>
      <c r="I331" s="21" t="str">
        <f>IFERROR(__xludf.DUMMYFUNCTION("""COMPUTED_VALUE"""),"ITAU")</f>
        <v>ITAU</v>
      </c>
      <c r="J331" s="21" t="str">
        <f>IFERROR(__xludf.DUMMYFUNCTION("""COMPUTED_VALUE"""),"#Lazer #Comida #Variavel")</f>
        <v>#Lazer #Comida #Variavel</v>
      </c>
      <c r="K331" s="216"/>
      <c r="L331" s="216"/>
      <c r="M331" s="216"/>
      <c r="N331" s="216"/>
      <c r="O331" s="216"/>
      <c r="P331" s="216"/>
      <c r="Q331" s="216"/>
    </row>
    <row r="332">
      <c r="A332" s="11" t="str">
        <f>IFERROR(__xludf.DUMMYFUNCTION("""COMPUTED_VALUE"""),"PAGO")</f>
        <v>PAGO</v>
      </c>
      <c r="B332" s="98" t="str">
        <f>IFERROR(__xludf.DUMMYFUNCTION("""COMPUTED_VALUE"""),"Salario - IBM")</f>
        <v>Salario - IBM</v>
      </c>
      <c r="C332" s="13">
        <f>IFERROR(__xludf.DUMMYFUNCTION("""COMPUTED_VALUE"""),15.0)</f>
        <v>15</v>
      </c>
      <c r="D332" s="13" t="str">
        <f>IFERROR(__xludf.DUMMYFUNCTION("""COMPUTED_VALUE"""),"QUI.")</f>
        <v>QUI.</v>
      </c>
      <c r="E332" s="13">
        <f>IFERROR(__xludf.DUMMYFUNCTION("""COMPUTED_VALUE"""),4.0)</f>
        <v>4</v>
      </c>
      <c r="F332" s="15"/>
      <c r="G332" s="16">
        <f>IFERROR(__xludf.DUMMYFUNCTION("""COMPUTED_VALUE"""),5000.0)</f>
        <v>5000</v>
      </c>
      <c r="H332" s="227"/>
      <c r="I332" s="21" t="str">
        <f>IFERROR(__xludf.DUMMYFUNCTION("""COMPUTED_VALUE"""),"SANTANDER")</f>
        <v>SANTANDER</v>
      </c>
      <c r="J332" s="21" t="str">
        <f>IFERROR(__xludf.DUMMYFUNCTION("""COMPUTED_VALUE"""),"#Recebimentos #Salario #Fixo")</f>
        <v>#Recebimentos #Salario #Fixo</v>
      </c>
      <c r="K332" s="216"/>
      <c r="L332" s="216"/>
      <c r="M332" s="216"/>
      <c r="N332" s="216"/>
      <c r="O332" s="216"/>
      <c r="P332" s="216"/>
      <c r="Q332" s="216"/>
    </row>
    <row r="333">
      <c r="A333" s="11" t="str">
        <f>IFERROR(__xludf.DUMMYFUNCTION("""COMPUTED_VALUE"""),"CONTAS")</f>
        <v>CONTAS</v>
      </c>
      <c r="B333" s="98" t="str">
        <f>IFERROR(__xludf.DUMMYFUNCTION("""COMPUTED_VALUE"""),"Transferencia via PIX")</f>
        <v>Transferencia via PIX</v>
      </c>
      <c r="C333" s="13">
        <f>IFERROR(__xludf.DUMMYFUNCTION("""COMPUTED_VALUE"""),15.0)</f>
        <v>15</v>
      </c>
      <c r="D333" s="13" t="str">
        <f>IFERROR(__xludf.DUMMYFUNCTION("""COMPUTED_VALUE"""),"QUI.")</f>
        <v>QUI.</v>
      </c>
      <c r="E333" s="13">
        <f>IFERROR(__xludf.DUMMYFUNCTION("""COMPUTED_VALUE"""),4.0)</f>
        <v>4</v>
      </c>
      <c r="F333" s="15"/>
      <c r="G333" s="16"/>
      <c r="H333" s="227">
        <f>IFERROR(__xludf.DUMMYFUNCTION("""COMPUTED_VALUE"""),5000.0)</f>
        <v>5000</v>
      </c>
      <c r="I333" s="21" t="str">
        <f>IFERROR(__xludf.DUMMYFUNCTION("""COMPUTED_VALUE"""),"SANTANDER")</f>
        <v>SANTANDER</v>
      </c>
      <c r="J333" s="21"/>
      <c r="K333" s="216"/>
      <c r="L333" s="216"/>
      <c r="M333" s="216"/>
      <c r="N333" s="216"/>
      <c r="O333" s="216"/>
      <c r="P333" s="216"/>
      <c r="Q333" s="216"/>
    </row>
    <row r="334">
      <c r="A334" s="11" t="str">
        <f>IFERROR(__xludf.DUMMYFUNCTION("""COMPUTED_VALUE"""),"CONTAS")</f>
        <v>CONTAS</v>
      </c>
      <c r="B334" s="98" t="str">
        <f>IFERROR(__xludf.DUMMYFUNCTION("""COMPUTED_VALUE"""),"Recebimento via PIX")</f>
        <v>Recebimento via PIX</v>
      </c>
      <c r="C334" s="13">
        <f>IFERROR(__xludf.DUMMYFUNCTION("""COMPUTED_VALUE"""),15.0)</f>
        <v>15</v>
      </c>
      <c r="D334" s="13" t="str">
        <f>IFERROR(__xludf.DUMMYFUNCTION("""COMPUTED_VALUE"""),"QUI.")</f>
        <v>QUI.</v>
      </c>
      <c r="E334" s="13">
        <f>IFERROR(__xludf.DUMMYFUNCTION("""COMPUTED_VALUE"""),4.0)</f>
        <v>4</v>
      </c>
      <c r="F334" s="15"/>
      <c r="G334" s="16">
        <f>IFERROR(__xludf.DUMMYFUNCTION("""COMPUTED_VALUE"""),5000.0)</f>
        <v>5000</v>
      </c>
      <c r="H334" s="227"/>
      <c r="I334" s="21" t="str">
        <f>IFERROR(__xludf.DUMMYFUNCTION("""COMPUTED_VALUE"""),"NUBANK")</f>
        <v>NUBANK</v>
      </c>
      <c r="J334" s="21"/>
      <c r="K334" s="216"/>
      <c r="L334" s="216"/>
      <c r="M334" s="216"/>
      <c r="N334" s="216"/>
      <c r="O334" s="216"/>
      <c r="P334" s="216"/>
      <c r="Q334" s="216"/>
    </row>
    <row r="335">
      <c r="A335" s="11" t="str">
        <f>IFERROR(__xludf.DUMMYFUNCTION("""COMPUTED_VALUE"""),"PAGO")</f>
        <v>PAGO</v>
      </c>
      <c r="B335" s="98" t="str">
        <f>IFERROR(__xludf.DUMMYFUNCTION("""COMPUTED_VALUE"""),"Transferi para investimento - Nubank")</f>
        <v>Transferi para investimento - Nubank</v>
      </c>
      <c r="C335" s="13">
        <f>IFERROR(__xludf.DUMMYFUNCTION("""COMPUTED_VALUE"""),15.0)</f>
        <v>15</v>
      </c>
      <c r="D335" s="13" t="str">
        <f>IFERROR(__xludf.DUMMYFUNCTION("""COMPUTED_VALUE"""),"QUI.")</f>
        <v>QUI.</v>
      </c>
      <c r="E335" s="13">
        <f>IFERROR(__xludf.DUMMYFUNCTION("""COMPUTED_VALUE"""),4.0)</f>
        <v>4</v>
      </c>
      <c r="F335" s="15"/>
      <c r="G335" s="16"/>
      <c r="H335" s="227">
        <f>IFERROR(__xludf.DUMMYFUNCTION("""COMPUTED_VALUE"""),1300.0)</f>
        <v>1300</v>
      </c>
      <c r="I335" s="21" t="str">
        <f>IFERROR(__xludf.DUMMYFUNCTION("""COMPUTED_VALUE"""),"NUBANK")</f>
        <v>NUBANK</v>
      </c>
      <c r="J335" s="21" t="str">
        <f>IFERROR(__xludf.DUMMYFUNCTION("""COMPUTED_VALUE"""),"#Transferencia #Investimento #Variavel #Nubank")</f>
        <v>#Transferencia #Investimento #Variavel #Nubank</v>
      </c>
      <c r="K335" s="216"/>
      <c r="L335" s="216"/>
      <c r="M335" s="216"/>
      <c r="N335" s="216"/>
      <c r="O335" s="216"/>
      <c r="P335" s="216"/>
      <c r="Q335" s="216"/>
    </row>
    <row r="336">
      <c r="A336" s="11" t="str">
        <f>IFERROR(__xludf.DUMMYFUNCTION("""COMPUTED_VALUE"""),"CONTAS")</f>
        <v>CONTAS</v>
      </c>
      <c r="B336" s="98" t="str">
        <f>IFERROR(__xludf.DUMMYFUNCTION("""COMPUTED_VALUE"""),"Transferencia via PIX")</f>
        <v>Transferencia via PIX</v>
      </c>
      <c r="C336" s="13">
        <f>IFERROR(__xludf.DUMMYFUNCTION("""COMPUTED_VALUE"""),15.0)</f>
        <v>15</v>
      </c>
      <c r="D336" s="13" t="str">
        <f>IFERROR(__xludf.DUMMYFUNCTION("""COMPUTED_VALUE"""),"QUI.")</f>
        <v>QUI.</v>
      </c>
      <c r="E336" s="13">
        <f>IFERROR(__xludf.DUMMYFUNCTION("""COMPUTED_VALUE"""),4.0)</f>
        <v>4</v>
      </c>
      <c r="F336" s="15"/>
      <c r="G336" s="16"/>
      <c r="H336" s="227">
        <f>IFERROR(__xludf.DUMMYFUNCTION("""COMPUTED_VALUE"""),200.0)</f>
        <v>200</v>
      </c>
      <c r="I336" s="21" t="str">
        <f>IFERROR(__xludf.DUMMYFUNCTION("""COMPUTED_VALUE"""),"NUBANK")</f>
        <v>NUBANK</v>
      </c>
      <c r="J336" s="21"/>
      <c r="K336" s="216"/>
      <c r="L336" s="216"/>
      <c r="M336" s="216"/>
      <c r="N336" s="216"/>
      <c r="O336" s="216"/>
      <c r="P336" s="216"/>
      <c r="Q336" s="216"/>
    </row>
    <row r="337">
      <c r="A337" s="11" t="str">
        <f>IFERROR(__xludf.DUMMYFUNCTION("""COMPUTED_VALUE"""),"CONTAS")</f>
        <v>CONTAS</v>
      </c>
      <c r="B337" s="98" t="str">
        <f>IFERROR(__xludf.DUMMYFUNCTION("""COMPUTED_VALUE"""),"Recebimento via PIX")</f>
        <v>Recebimento via PIX</v>
      </c>
      <c r="C337" s="13">
        <f>IFERROR(__xludf.DUMMYFUNCTION("""COMPUTED_VALUE"""),15.0)</f>
        <v>15</v>
      </c>
      <c r="D337" s="13" t="str">
        <f>IFERROR(__xludf.DUMMYFUNCTION("""COMPUTED_VALUE"""),"QUI.")</f>
        <v>QUI.</v>
      </c>
      <c r="E337" s="13">
        <f>IFERROR(__xludf.DUMMYFUNCTION("""COMPUTED_VALUE"""),4.0)</f>
        <v>4</v>
      </c>
      <c r="F337" s="15"/>
      <c r="G337" s="16">
        <f>IFERROR(__xludf.DUMMYFUNCTION("""COMPUTED_VALUE"""),200.0)</f>
        <v>200</v>
      </c>
      <c r="H337" s="227"/>
      <c r="I337" s="21" t="str">
        <f>IFERROR(__xludf.DUMMYFUNCTION("""COMPUTED_VALUE"""),"ITAU")</f>
        <v>ITAU</v>
      </c>
      <c r="J337" s="21"/>
      <c r="K337" s="216"/>
      <c r="L337" s="216"/>
      <c r="M337" s="216"/>
      <c r="N337" s="216"/>
      <c r="O337" s="216"/>
      <c r="P337" s="216"/>
      <c r="Q337" s="216"/>
    </row>
    <row r="338">
      <c r="A338" s="11" t="str">
        <f>IFERROR(__xludf.DUMMYFUNCTION("""COMPUTED_VALUE"""),"PAGO")</f>
        <v>PAGO</v>
      </c>
      <c r="B338" s="98" t="str">
        <f>IFERROR(__xludf.DUMMYFUNCTION("""COMPUTED_VALUE"""),"Convenio Carlos")</f>
        <v>Convenio Carlos</v>
      </c>
      <c r="C338" s="13">
        <f>IFERROR(__xludf.DUMMYFUNCTION("""COMPUTED_VALUE"""),15.0)</f>
        <v>15</v>
      </c>
      <c r="D338" s="13" t="str">
        <f>IFERROR(__xludf.DUMMYFUNCTION("""COMPUTED_VALUE"""),"QUI.")</f>
        <v>QUI.</v>
      </c>
      <c r="E338" s="13">
        <f>IFERROR(__xludf.DUMMYFUNCTION("""COMPUTED_VALUE"""),4.0)</f>
        <v>4</v>
      </c>
      <c r="F338" s="15"/>
      <c r="G338" s="16"/>
      <c r="H338" s="227">
        <f>IFERROR(__xludf.DUMMYFUNCTION("""COMPUTED_VALUE"""),208.7)</f>
        <v>208.7</v>
      </c>
      <c r="I338" s="21" t="str">
        <f>IFERROR(__xludf.DUMMYFUNCTION("""COMPUTED_VALUE"""),"NUBANK")</f>
        <v>NUBANK</v>
      </c>
      <c r="J338" s="21" t="str">
        <f>IFERROR(__xludf.DUMMYFUNCTION("""COMPUTED_VALUE"""),"#Essencial #Saude #Convenio #Familia #Fixo ")</f>
        <v>#Essencial #Saude #Convenio #Familia #Fixo </v>
      </c>
      <c r="K338" s="216"/>
      <c r="L338" s="216"/>
      <c r="M338" s="216"/>
      <c r="N338" s="216"/>
      <c r="O338" s="216"/>
      <c r="P338" s="216"/>
      <c r="Q338" s="216"/>
    </row>
    <row r="339">
      <c r="A339" s="11" t="str">
        <f>IFERROR(__xludf.DUMMYFUNCTION("""COMPUTED_VALUE"""),"PAGO")</f>
        <v>PAGO</v>
      </c>
      <c r="B339" s="98" t="str">
        <f>IFERROR(__xludf.DUMMYFUNCTION("""COMPUTED_VALUE"""),"Convenio Eduardo")</f>
        <v>Convenio Eduardo</v>
      </c>
      <c r="C339" s="13">
        <f>IFERROR(__xludf.DUMMYFUNCTION("""COMPUTED_VALUE"""),15.0)</f>
        <v>15</v>
      </c>
      <c r="D339" s="13" t="str">
        <f>IFERROR(__xludf.DUMMYFUNCTION("""COMPUTED_VALUE"""),"QUI.")</f>
        <v>QUI.</v>
      </c>
      <c r="E339" s="13">
        <f>IFERROR(__xludf.DUMMYFUNCTION("""COMPUTED_VALUE"""),4.0)</f>
        <v>4</v>
      </c>
      <c r="F339" s="15"/>
      <c r="G339" s="16"/>
      <c r="H339" s="227">
        <f>IFERROR(__xludf.DUMMYFUNCTION("""COMPUTED_VALUE"""),208.7)</f>
        <v>208.7</v>
      </c>
      <c r="I339" s="21" t="str">
        <f>IFERROR(__xludf.DUMMYFUNCTION("""COMPUTED_VALUE"""),"NUBANK")</f>
        <v>NUBANK</v>
      </c>
      <c r="J339" s="21" t="str">
        <f>IFERROR(__xludf.DUMMYFUNCTION("""COMPUTED_VALUE"""),"#Essencial #Saude #Convenio #Familia #Fixo ")</f>
        <v>#Essencial #Saude #Convenio #Familia #Fixo </v>
      </c>
      <c r="K339" s="216"/>
      <c r="L339" s="216"/>
      <c r="M339" s="216"/>
      <c r="N339" s="216"/>
      <c r="O339" s="216"/>
      <c r="P339" s="216"/>
      <c r="Q339" s="216"/>
    </row>
    <row r="340">
      <c r="A340" s="11" t="str">
        <f>IFERROR(__xludf.DUMMYFUNCTION("""COMPUTED_VALUE"""),"PAGO")</f>
        <v>PAGO</v>
      </c>
      <c r="B340" s="98" t="str">
        <f>IFERROR(__xludf.DUMMYFUNCTION("""COMPUTED_VALUE"""),"Convenio Roberta")</f>
        <v>Convenio Roberta</v>
      </c>
      <c r="C340" s="13">
        <f>IFERROR(__xludf.DUMMYFUNCTION("""COMPUTED_VALUE"""),15.0)</f>
        <v>15</v>
      </c>
      <c r="D340" s="13" t="str">
        <f>IFERROR(__xludf.DUMMYFUNCTION("""COMPUTED_VALUE"""),"QUI.")</f>
        <v>QUI.</v>
      </c>
      <c r="E340" s="13">
        <f>IFERROR(__xludf.DUMMYFUNCTION("""COMPUTED_VALUE"""),4.0)</f>
        <v>4</v>
      </c>
      <c r="F340" s="15"/>
      <c r="G340" s="16"/>
      <c r="H340" s="227">
        <f>IFERROR(__xludf.DUMMYFUNCTION("""COMPUTED_VALUE"""),263.88)</f>
        <v>263.88</v>
      </c>
      <c r="I340" s="21" t="str">
        <f>IFERROR(__xludf.DUMMYFUNCTION("""COMPUTED_VALUE"""),"NUBANK")</f>
        <v>NUBANK</v>
      </c>
      <c r="J340" s="21" t="str">
        <f>IFERROR(__xludf.DUMMYFUNCTION("""COMPUTED_VALUE"""),"#Essencial #Saude #Convenio #Familia #Fixo #Roberta")</f>
        <v>#Essencial #Saude #Convenio #Familia #Fixo #Roberta</v>
      </c>
      <c r="K340" s="216"/>
      <c r="L340" s="216"/>
      <c r="M340" s="216"/>
      <c r="N340" s="216"/>
      <c r="O340" s="216"/>
      <c r="P340" s="216"/>
      <c r="Q340" s="216"/>
    </row>
    <row r="341">
      <c r="A341" s="11" t="str">
        <f>IFERROR(__xludf.DUMMYFUNCTION("""COMPUTED_VALUE"""),"PAGO")</f>
        <v>PAGO</v>
      </c>
      <c r="B341" s="98" t="str">
        <f>IFERROR(__xludf.DUMMYFUNCTION("""COMPUTED_VALUE"""),"Shibata")</f>
        <v>Shibata</v>
      </c>
      <c r="C341" s="13">
        <f>IFERROR(__xludf.DUMMYFUNCTION("""COMPUTED_VALUE"""),15.0)</f>
        <v>15</v>
      </c>
      <c r="D341" s="13" t="str">
        <f>IFERROR(__xludf.DUMMYFUNCTION("""COMPUTED_VALUE"""),"QUI.")</f>
        <v>QUI.</v>
      </c>
      <c r="E341" s="13">
        <f>IFERROR(__xludf.DUMMYFUNCTION("""COMPUTED_VALUE"""),4.0)</f>
        <v>4</v>
      </c>
      <c r="F341" s="15"/>
      <c r="G341" s="16"/>
      <c r="H341" s="227">
        <f>IFERROR(__xludf.DUMMYFUNCTION("""COMPUTED_VALUE"""),218.42)</f>
        <v>218.42</v>
      </c>
      <c r="I341" s="21" t="str">
        <f>IFERROR(__xludf.DUMMYFUNCTION("""COMPUTED_VALUE"""),"NUBANK")</f>
        <v>NUBANK</v>
      </c>
      <c r="J341" s="21" t="str">
        <f>IFERROR(__xludf.DUMMYFUNCTION("""COMPUTED_VALUE"""),"#Moradia #Essencial #Mercado #Variavel #Alimentação ")</f>
        <v>#Moradia #Essencial #Mercado #Variavel #Alimentação </v>
      </c>
      <c r="K341" s="216"/>
      <c r="L341" s="216"/>
      <c r="M341" s="216"/>
      <c r="N341" s="216"/>
      <c r="O341" s="216"/>
      <c r="P341" s="216"/>
      <c r="Q341" s="216"/>
    </row>
    <row r="342">
      <c r="A342" s="11" t="str">
        <f>IFERROR(__xludf.DUMMYFUNCTION("""COMPUTED_VALUE"""),"PAGO")</f>
        <v>PAGO</v>
      </c>
      <c r="B342" s="98" t="str">
        <f>IFERROR(__xludf.DUMMYFUNCTION("""COMPUTED_VALUE"""),"Farmácia Pague Menos")</f>
        <v>Farmácia Pague Menos</v>
      </c>
      <c r="C342" s="13">
        <f>IFERROR(__xludf.DUMMYFUNCTION("""COMPUTED_VALUE"""),15.0)</f>
        <v>15</v>
      </c>
      <c r="D342" s="13" t="str">
        <f>IFERROR(__xludf.DUMMYFUNCTION("""COMPUTED_VALUE"""),"QUI.")</f>
        <v>QUI.</v>
      </c>
      <c r="E342" s="13">
        <f>IFERROR(__xludf.DUMMYFUNCTION("""COMPUTED_VALUE"""),4.0)</f>
        <v>4</v>
      </c>
      <c r="F342" s="15"/>
      <c r="G342" s="16"/>
      <c r="H342" s="227">
        <f>IFERROR(__xludf.DUMMYFUNCTION("""COMPUTED_VALUE"""),44.85)</f>
        <v>44.85</v>
      </c>
      <c r="I342" s="21" t="str">
        <f>IFERROR(__xludf.DUMMYFUNCTION("""COMPUTED_VALUE"""),"NUBANK")</f>
        <v>NUBANK</v>
      </c>
      <c r="J342" s="21" t="str">
        <f>IFERROR(__xludf.DUMMYFUNCTION("""COMPUTED_VALUE"""),"#Remedios #Carlos #Cicero #Roberta #Variavel ")</f>
        <v>#Remedios #Carlos #Cicero #Roberta #Variavel </v>
      </c>
      <c r="K342" s="216"/>
      <c r="L342" s="216"/>
      <c r="M342" s="216"/>
      <c r="N342" s="216"/>
      <c r="O342" s="216"/>
      <c r="P342" s="216"/>
      <c r="Q342" s="216"/>
    </row>
    <row r="343">
      <c r="A343" s="11" t="str">
        <f>IFERROR(__xludf.DUMMYFUNCTION("""COMPUTED_VALUE"""),"PAGO")</f>
        <v>PAGO</v>
      </c>
      <c r="B343" s="98" t="str">
        <f>IFERROR(__xludf.DUMMYFUNCTION("""COMPUTED_VALUE"""),"SERASA EXPERIAN - CERTIFICADO DIGITAL")</f>
        <v>SERASA EXPERIAN - CERTIFICADO DIGITAL</v>
      </c>
      <c r="C343" s="13">
        <f>IFERROR(__xludf.DUMMYFUNCTION("""COMPUTED_VALUE"""),16.0)</f>
        <v>16</v>
      </c>
      <c r="D343" s="13" t="str">
        <f>IFERROR(__xludf.DUMMYFUNCTION("""COMPUTED_VALUE"""),"SEX.")</f>
        <v>SEX.</v>
      </c>
      <c r="E343" s="13">
        <f>IFERROR(__xludf.DUMMYFUNCTION("""COMPUTED_VALUE"""),4.0)</f>
        <v>4</v>
      </c>
      <c r="F343" s="15"/>
      <c r="G343" s="16"/>
      <c r="H343" s="227">
        <f>IFERROR(__xludf.DUMMYFUNCTION("""COMPUTED_VALUE"""),103.0)</f>
        <v>103</v>
      </c>
      <c r="I343" s="21" t="str">
        <f>IFERROR(__xludf.DUMMYFUNCTION("""COMPUTED_VALUE"""),"NUBANK")</f>
        <v>NUBANK</v>
      </c>
      <c r="J343" s="21" t="str">
        <f>IFERROR(__xludf.DUMMYFUNCTION("""COMPUTED_VALUE"""),"#Pagamentos #Variavel #CertificadoDigital")</f>
        <v>#Pagamentos #Variavel #CertificadoDigital</v>
      </c>
      <c r="K343" s="216"/>
      <c r="L343" s="216"/>
      <c r="M343" s="216"/>
      <c r="N343" s="216"/>
      <c r="O343" s="216"/>
      <c r="P343" s="216"/>
      <c r="Q343" s="216"/>
    </row>
    <row r="344">
      <c r="A344" s="11" t="str">
        <f>IFERROR(__xludf.DUMMYFUNCTION("""COMPUTED_VALUE"""),"PAGO")</f>
        <v>PAGO</v>
      </c>
      <c r="B344" s="98" t="str">
        <f>IFERROR(__xludf.DUMMYFUNCTION("""COMPUTED_VALUE"""),"Resgate dividendos - Rico Corretora")</f>
        <v>Resgate dividendos - Rico Corretora</v>
      </c>
      <c r="C344" s="13">
        <f>IFERROR(__xludf.DUMMYFUNCTION("""COMPUTED_VALUE"""),16.0)</f>
        <v>16</v>
      </c>
      <c r="D344" s="13" t="str">
        <f>IFERROR(__xludf.DUMMYFUNCTION("""COMPUTED_VALUE"""),"SEG.")</f>
        <v>SEG.</v>
      </c>
      <c r="E344" s="13">
        <f>IFERROR(__xludf.DUMMYFUNCTION("""COMPUTED_VALUE"""),4.0)</f>
        <v>4</v>
      </c>
      <c r="F344" s="15"/>
      <c r="G344" s="16">
        <f>IFERROR(__xludf.DUMMYFUNCTION("""COMPUTED_VALUE"""),477.32)</f>
        <v>477.32</v>
      </c>
      <c r="H344" s="227"/>
      <c r="I344" s="21" t="str">
        <f>IFERROR(__xludf.DUMMYFUNCTION("""COMPUTED_VALUE"""),"ITAU")</f>
        <v>ITAU</v>
      </c>
      <c r="J344" s="21" t="str">
        <f>IFERROR(__xludf.DUMMYFUNCTION("""COMPUTED_VALUE"""),"#Recebimentos #Investimento #Rico")</f>
        <v>#Recebimentos #Investimento #Rico</v>
      </c>
      <c r="K344" s="216"/>
      <c r="L344" s="216"/>
      <c r="M344" s="216"/>
      <c r="N344" s="216"/>
      <c r="O344" s="216"/>
      <c r="P344" s="216"/>
      <c r="Q344" s="216"/>
    </row>
    <row r="345">
      <c r="A345" s="11" t="str">
        <f>IFERROR(__xludf.DUMMYFUNCTION("""COMPUTED_VALUE"""),"PAGO")</f>
        <v>PAGO</v>
      </c>
      <c r="B345" s="98" t="str">
        <f>IFERROR(__xludf.DUMMYFUNCTION("""COMPUTED_VALUE"""),"Transferi para investimento - Clear Corretora")</f>
        <v>Transferi para investimento - Clear Corretora</v>
      </c>
      <c r="C345" s="13">
        <f>IFERROR(__xludf.DUMMYFUNCTION("""COMPUTED_VALUE"""),16.0)</f>
        <v>16</v>
      </c>
      <c r="D345" s="13" t="str">
        <f>IFERROR(__xludf.DUMMYFUNCTION("""COMPUTED_VALUE"""),"SEX.")</f>
        <v>SEX.</v>
      </c>
      <c r="E345" s="13">
        <f>IFERROR(__xludf.DUMMYFUNCTION("""COMPUTED_VALUE"""),4.0)</f>
        <v>4</v>
      </c>
      <c r="F345" s="15"/>
      <c r="G345" s="16"/>
      <c r="H345" s="227">
        <f>IFERROR(__xludf.DUMMYFUNCTION("""COMPUTED_VALUE"""),477.32)</f>
        <v>477.32</v>
      </c>
      <c r="I345" s="21" t="str">
        <f>IFERROR(__xludf.DUMMYFUNCTION("""COMPUTED_VALUE"""),"NUBANK")</f>
        <v>NUBANK</v>
      </c>
      <c r="J345" s="21" t="str">
        <f>IFERROR(__xludf.DUMMYFUNCTION("""COMPUTED_VALUE"""),"#Transferencia #Investimento #Variavel #Clear")</f>
        <v>#Transferencia #Investimento #Variavel #Clear</v>
      </c>
      <c r="K345" s="216"/>
      <c r="L345" s="216"/>
      <c r="M345" s="216"/>
      <c r="N345" s="216"/>
      <c r="O345" s="216"/>
      <c r="P345" s="216"/>
      <c r="Q345" s="216"/>
    </row>
    <row r="346">
      <c r="A346" s="11" t="str">
        <f>IFERROR(__xludf.DUMMYFUNCTION("""COMPUTED_VALUE"""),"PAGO")</f>
        <v>PAGO</v>
      </c>
      <c r="B346" s="98" t="str">
        <f>IFERROR(__xludf.DUMMYFUNCTION("""COMPUTED_VALUE"""),"Assaí Atacadista")</f>
        <v>Assaí Atacadista</v>
      </c>
      <c r="C346" s="13">
        <f>IFERROR(__xludf.DUMMYFUNCTION("""COMPUTED_VALUE"""),17.0)</f>
        <v>17</v>
      </c>
      <c r="D346" s="13" t="str">
        <f>IFERROR(__xludf.DUMMYFUNCTION("""COMPUTED_VALUE"""),"SÁB.")</f>
        <v>SÁB.</v>
      </c>
      <c r="E346" s="13">
        <f>IFERROR(__xludf.DUMMYFUNCTION("""COMPUTED_VALUE"""),4.0)</f>
        <v>4</v>
      </c>
      <c r="F346" s="15"/>
      <c r="G346" s="16"/>
      <c r="H346" s="227">
        <f>IFERROR(__xludf.DUMMYFUNCTION("""COMPUTED_VALUE"""),495.44)</f>
        <v>495.44</v>
      </c>
      <c r="I346" s="21" t="str">
        <f>IFERROR(__xludf.DUMMYFUNCTION("""COMPUTED_VALUE"""),"NUBANK")</f>
        <v>NUBANK</v>
      </c>
      <c r="J346" s="21" t="str">
        <f>IFERROR(__xludf.DUMMYFUNCTION("""COMPUTED_VALUE"""),"#Moradia #Essencial #Mercado #Fixo #Alimentação ")</f>
        <v>#Moradia #Essencial #Mercado #Fixo #Alimentação </v>
      </c>
      <c r="K346" s="216"/>
      <c r="L346" s="216"/>
      <c r="M346" s="216"/>
      <c r="N346" s="216"/>
      <c r="O346" s="216"/>
      <c r="P346" s="216"/>
      <c r="Q346" s="216"/>
    </row>
    <row r="347">
      <c r="A347" s="11" t="str">
        <f>IFERROR(__xludf.DUMMYFUNCTION("""COMPUTED_VALUE"""),"PAGO")</f>
        <v>PAGO</v>
      </c>
      <c r="B347" s="98" t="str">
        <f>IFERROR(__xludf.DUMMYFUNCTION("""COMPUTED_VALUE"""),"Recarga TIM Cicero 11 948825242")</f>
        <v>Recarga TIM Cicero 11 948825242</v>
      </c>
      <c r="C347" s="13">
        <f>IFERROR(__xludf.DUMMYFUNCTION("""COMPUTED_VALUE"""),19.0)</f>
        <v>19</v>
      </c>
      <c r="D347" s="13" t="str">
        <f>IFERROR(__xludf.DUMMYFUNCTION("""COMPUTED_VALUE"""),"SEG.")</f>
        <v>SEG.</v>
      </c>
      <c r="E347" s="13">
        <f>IFERROR(__xludf.DUMMYFUNCTION("""COMPUTED_VALUE"""),4.0)</f>
        <v>4</v>
      </c>
      <c r="F347" s="15"/>
      <c r="G347" s="16"/>
      <c r="H347" s="227">
        <f>IFERROR(__xludf.DUMMYFUNCTION("""COMPUTED_VALUE"""),20.0)</f>
        <v>20</v>
      </c>
      <c r="I347" s="21" t="str">
        <f>IFERROR(__xludf.DUMMYFUNCTION("""COMPUTED_VALUE"""),"NUBANK")</f>
        <v>NUBANK</v>
      </c>
      <c r="J347" s="21" t="str">
        <f>IFERROR(__xludf.DUMMYFUNCTION("""COMPUTED_VALUE"""),"#Variavel #Recarga #TIM ")</f>
        <v>#Variavel #Recarga #TIM </v>
      </c>
      <c r="K347" s="216"/>
      <c r="L347" s="216"/>
      <c r="M347" s="216"/>
      <c r="N347" s="216"/>
      <c r="O347" s="216"/>
      <c r="P347" s="216"/>
      <c r="Q347" s="216"/>
    </row>
    <row r="348">
      <c r="A348" s="11" t="str">
        <f>IFERROR(__xludf.DUMMYFUNCTION("""COMPUTED_VALUE"""),"PAGO")</f>
        <v>PAGO</v>
      </c>
      <c r="B348" s="98" t="str">
        <f>IFERROR(__xludf.DUMMYFUNCTION("""COMPUTED_VALUE"""),"Doação para ajudar a retirar a arvore da vizinha (Prof. Ingles) SJC")</f>
        <v>Doação para ajudar a retirar a arvore da vizinha (Prof. Ingles) SJC</v>
      </c>
      <c r="C348" s="13">
        <f>IFERROR(__xludf.DUMMYFUNCTION("""COMPUTED_VALUE"""),20.0)</f>
        <v>20</v>
      </c>
      <c r="D348" s="13" t="str">
        <f>IFERROR(__xludf.DUMMYFUNCTION("""COMPUTED_VALUE"""),"TER.")</f>
        <v>TER.</v>
      </c>
      <c r="E348" s="13">
        <f>IFERROR(__xludf.DUMMYFUNCTION("""COMPUTED_VALUE"""),4.0)</f>
        <v>4</v>
      </c>
      <c r="F348" s="15"/>
      <c r="G348" s="16"/>
      <c r="H348" s="227">
        <f>IFERROR(__xludf.DUMMYFUNCTION("""COMPUTED_VALUE"""),200.0)</f>
        <v>200</v>
      </c>
      <c r="I348" s="21" t="str">
        <f>IFERROR(__xludf.DUMMYFUNCTION("""COMPUTED_VALUE"""),"NUBANK")</f>
        <v>NUBANK</v>
      </c>
      <c r="J348" s="21" t="str">
        <f>IFERROR(__xludf.DUMMYFUNCTION("""COMPUTED_VALUE"""),"#Moradia #Essencial #Variavel #Doação")</f>
        <v>#Moradia #Essencial #Variavel #Doação</v>
      </c>
      <c r="K348" s="216"/>
      <c r="L348" s="216"/>
      <c r="M348" s="216"/>
      <c r="N348" s="216"/>
      <c r="O348" s="216"/>
      <c r="P348" s="216"/>
      <c r="Q348" s="216"/>
    </row>
    <row r="349">
      <c r="A349" s="11" t="str">
        <f>IFERROR(__xludf.DUMMYFUNCTION("""COMPUTED_VALUE"""),"PAGO")</f>
        <v>PAGO</v>
      </c>
      <c r="B349" s="98" t="str">
        <f>IFERROR(__xludf.DUMMYFUNCTION("""COMPUTED_VALUE"""),"Kabum - teclado e mouse com fio Logitech MK120")</f>
        <v>Kabum - teclado e mouse com fio Logitech MK120</v>
      </c>
      <c r="C349" s="13">
        <f>IFERROR(__xludf.DUMMYFUNCTION("""COMPUTED_VALUE"""),20.0)</f>
        <v>20</v>
      </c>
      <c r="D349" s="13" t="str">
        <f>IFERROR(__xludf.DUMMYFUNCTION("""COMPUTED_VALUE"""),"TER.")</f>
        <v>TER.</v>
      </c>
      <c r="E349" s="13">
        <f>IFERROR(__xludf.DUMMYFUNCTION("""COMPUTED_VALUE"""),4.0)</f>
        <v>4</v>
      </c>
      <c r="F349" s="15"/>
      <c r="G349" s="16"/>
      <c r="H349" s="227">
        <f>IFERROR(__xludf.DUMMYFUNCTION("""COMPUTED_VALUE"""),108.83)</f>
        <v>108.83</v>
      </c>
      <c r="I349" s="21" t="str">
        <f>IFERROR(__xludf.DUMMYFUNCTION("""COMPUTED_VALUE"""),"NUBANK")</f>
        <v>NUBANK</v>
      </c>
      <c r="J349" s="21" t="str">
        <f>IFERROR(__xludf.DUMMYFUNCTION("""COMPUTED_VALUE"""),"#Presentes #Cicero #Lazer #Variavel")</f>
        <v>#Presentes #Cicero #Lazer #Variavel</v>
      </c>
      <c r="K349" s="216"/>
      <c r="L349" s="216"/>
      <c r="M349" s="216"/>
      <c r="N349" s="216"/>
      <c r="O349" s="216"/>
      <c r="P349" s="216"/>
      <c r="Q349" s="216"/>
    </row>
    <row r="350">
      <c r="A350" s="11" t="str">
        <f>IFERROR(__xludf.DUMMYFUNCTION("""COMPUTED_VALUE"""),"PAGO")</f>
        <v>PAGO</v>
      </c>
      <c r="B350" s="98" t="str">
        <f>IFERROR(__xludf.DUMMYFUNCTION("""COMPUTED_VALUE"""),"NOBILIS CONTABILIDADE")</f>
        <v>NOBILIS CONTABILIDADE</v>
      </c>
      <c r="C350" s="13">
        <f>IFERROR(__xludf.DUMMYFUNCTION("""COMPUTED_VALUE"""),20.0)</f>
        <v>20</v>
      </c>
      <c r="D350" s="13" t="str">
        <f>IFERROR(__xludf.DUMMYFUNCTION("""COMPUTED_VALUE"""),"TER.")</f>
        <v>TER.</v>
      </c>
      <c r="E350" s="13">
        <f>IFERROR(__xludf.DUMMYFUNCTION("""COMPUTED_VALUE"""),4.0)</f>
        <v>4</v>
      </c>
      <c r="F350" s="15"/>
      <c r="G350" s="16"/>
      <c r="H350" s="227">
        <f>IFERROR(__xludf.DUMMYFUNCTION("""COMPUTED_VALUE"""),140.0)</f>
        <v>140</v>
      </c>
      <c r="I350" s="21" t="str">
        <f>IFERROR(__xludf.DUMMYFUNCTION("""COMPUTED_VALUE"""),"NUBANK")</f>
        <v>NUBANK</v>
      </c>
      <c r="J350" s="21" t="str">
        <f>IFERROR(__xludf.DUMMYFUNCTION("""COMPUTED_VALUE"""),"#Fixo #Contador ")</f>
        <v>#Fixo #Contador </v>
      </c>
      <c r="K350" s="216"/>
      <c r="L350" s="216"/>
      <c r="M350" s="216"/>
      <c r="N350" s="216"/>
      <c r="O350" s="216"/>
      <c r="P350" s="216"/>
      <c r="Q350" s="216"/>
    </row>
    <row r="351">
      <c r="A351" s="11" t="str">
        <f>IFERROR(__xludf.DUMMYFUNCTION("""COMPUTED_VALUE"""),"PAGO")</f>
        <v>PAGO</v>
      </c>
      <c r="B351" s="98" t="str">
        <f>IFERROR(__xludf.DUMMYFUNCTION("""COMPUTED_VALUE"""),"DAS - Simples Nacional - nenhuma nota fiscal emitida no periodo")</f>
        <v>DAS - Simples Nacional - nenhuma nota fiscal emitida no periodo</v>
      </c>
      <c r="C351" s="13">
        <f>IFERROR(__xludf.DUMMYFUNCTION("""COMPUTED_VALUE"""),20.0)</f>
        <v>20</v>
      </c>
      <c r="D351" s="13" t="str">
        <f>IFERROR(__xludf.DUMMYFUNCTION("""COMPUTED_VALUE"""),"TER.")</f>
        <v>TER.</v>
      </c>
      <c r="E351" s="13">
        <f>IFERROR(__xludf.DUMMYFUNCTION("""COMPUTED_VALUE"""),4.0)</f>
        <v>4</v>
      </c>
      <c r="F351" s="15"/>
      <c r="G351" s="16"/>
      <c r="H351" s="227">
        <f>IFERROR(__xludf.DUMMYFUNCTION("""COMPUTED_VALUE"""),0.0)</f>
        <v>0</v>
      </c>
      <c r="I351" s="21" t="str">
        <f>IFERROR(__xludf.DUMMYFUNCTION("""COMPUTED_VALUE"""),"NUBANK")</f>
        <v>NUBANK</v>
      </c>
      <c r="J351" s="21" t="str">
        <f>IFERROR(__xludf.DUMMYFUNCTION("""COMPUTED_VALUE"""),"#Impostos #Fixo ")</f>
        <v>#Impostos #Fixo </v>
      </c>
      <c r="K351" s="216"/>
      <c r="L351" s="216"/>
      <c r="M351" s="216"/>
      <c r="N351" s="216"/>
      <c r="O351" s="216"/>
      <c r="P351" s="216"/>
      <c r="Q351" s="216"/>
    </row>
    <row r="352">
      <c r="A352" s="11" t="str">
        <f>IFERROR(__xludf.DUMMYFUNCTION("""COMPUTED_VALUE"""),"PAGO")</f>
        <v>PAGO</v>
      </c>
      <c r="B352" s="98" t="str">
        <f>IFERROR(__xludf.DUMMYFUNCTION("""COMPUTED_VALUE"""),"Convenio Cicero")</f>
        <v>Convenio Cicero</v>
      </c>
      <c r="C352" s="13">
        <f>IFERROR(__xludf.DUMMYFUNCTION("""COMPUTED_VALUE"""),20.0)</f>
        <v>20</v>
      </c>
      <c r="D352" s="13" t="str">
        <f>IFERROR(__xludf.DUMMYFUNCTION("""COMPUTED_VALUE"""),"TER.")</f>
        <v>TER.</v>
      </c>
      <c r="E352" s="13">
        <f>IFERROR(__xludf.DUMMYFUNCTION("""COMPUTED_VALUE"""),4.0)</f>
        <v>4</v>
      </c>
      <c r="F352" s="15">
        <f>IFERROR(__xludf.DUMMYFUNCTION("""COMPUTED_VALUE"""),44301.0)</f>
        <v>44301</v>
      </c>
      <c r="G352" s="16"/>
      <c r="H352" s="227">
        <f>IFERROR(__xludf.DUMMYFUNCTION("""COMPUTED_VALUE"""),413.41)</f>
        <v>413.41</v>
      </c>
      <c r="I352" s="21" t="str">
        <f>IFERROR(__xludf.DUMMYFUNCTION("""COMPUTED_VALUE"""),"NUBANK")</f>
        <v>NUBANK</v>
      </c>
      <c r="J352" s="21" t="str">
        <f>IFERROR(__xludf.DUMMYFUNCTION("""COMPUTED_VALUE"""),"#Essencial #Saude #Convenio #Familia #Cicero #Fixo ")</f>
        <v>#Essencial #Saude #Convenio #Familia #Cicero #Fixo </v>
      </c>
      <c r="K352" s="216"/>
      <c r="L352" s="216"/>
      <c r="M352" s="216"/>
      <c r="N352" s="216"/>
      <c r="O352" s="216"/>
      <c r="P352" s="216"/>
      <c r="Q352" s="216"/>
    </row>
    <row r="353">
      <c r="A353" s="11" t="str">
        <f>IFERROR(__xludf.DUMMYFUNCTION("""COMPUTED_VALUE"""),"PAGO")</f>
        <v>PAGO</v>
      </c>
      <c r="B353" s="98" t="str">
        <f>IFERROR(__xludf.DUMMYFUNCTION("""COMPUTED_VALUE"""),"Shibata - Pizza")</f>
        <v>Shibata - Pizza</v>
      </c>
      <c r="C353" s="13">
        <f>IFERROR(__xludf.DUMMYFUNCTION("""COMPUTED_VALUE"""),20.0)</f>
        <v>20</v>
      </c>
      <c r="D353" s="13" t="str">
        <f>IFERROR(__xludf.DUMMYFUNCTION("""COMPUTED_VALUE"""),"TER.")</f>
        <v>TER.</v>
      </c>
      <c r="E353" s="13">
        <f>IFERROR(__xludf.DUMMYFUNCTION("""COMPUTED_VALUE"""),4.0)</f>
        <v>4</v>
      </c>
      <c r="F353" s="15"/>
      <c r="G353" s="16"/>
      <c r="H353" s="227">
        <f>IFERROR(__xludf.DUMMYFUNCTION("""COMPUTED_VALUE"""),63.8)</f>
        <v>63.8</v>
      </c>
      <c r="I353" s="21" t="str">
        <f>IFERROR(__xludf.DUMMYFUNCTION("""COMPUTED_VALUE"""),"NUBANK")</f>
        <v>NUBANK</v>
      </c>
      <c r="J353" s="21" t="str">
        <f>IFERROR(__xludf.DUMMYFUNCTION("""COMPUTED_VALUE"""),"#Lazer #Comida #Variavel")</f>
        <v>#Lazer #Comida #Variavel</v>
      </c>
      <c r="K353" s="216"/>
      <c r="L353" s="216"/>
      <c r="M353" s="216"/>
      <c r="N353" s="216"/>
      <c r="O353" s="216"/>
      <c r="P353" s="216"/>
      <c r="Q353" s="216"/>
    </row>
    <row r="354">
      <c r="A354" s="11" t="str">
        <f>IFERROR(__xludf.DUMMYFUNCTION("""COMPUTED_VALUE"""),"PAGO")</f>
        <v>PAGO</v>
      </c>
      <c r="B354" s="98" t="str">
        <f>IFERROR(__xludf.DUMMYFUNCTION("""COMPUTED_VALUE"""),"Shibata")</f>
        <v>Shibata</v>
      </c>
      <c r="C354" s="13">
        <f>IFERROR(__xludf.DUMMYFUNCTION("""COMPUTED_VALUE"""),20.0)</f>
        <v>20</v>
      </c>
      <c r="D354" s="13" t="str">
        <f>IFERROR(__xludf.DUMMYFUNCTION("""COMPUTED_VALUE"""),"TER.")</f>
        <v>TER.</v>
      </c>
      <c r="E354" s="13">
        <f>IFERROR(__xludf.DUMMYFUNCTION("""COMPUTED_VALUE"""),4.0)</f>
        <v>4</v>
      </c>
      <c r="F354" s="15"/>
      <c r="G354" s="16"/>
      <c r="H354" s="227">
        <f>IFERROR(__xludf.DUMMYFUNCTION("""COMPUTED_VALUE"""),57.47)</f>
        <v>57.47</v>
      </c>
      <c r="I354" s="21" t="str">
        <f>IFERROR(__xludf.DUMMYFUNCTION("""COMPUTED_VALUE"""),"NUBANK")</f>
        <v>NUBANK</v>
      </c>
      <c r="J354" s="21" t="str">
        <f>IFERROR(__xludf.DUMMYFUNCTION("""COMPUTED_VALUE"""),"#Moradia #Essencial #Mercado #Variavel #Alimentação ")</f>
        <v>#Moradia #Essencial #Mercado #Variavel #Alimentação </v>
      </c>
      <c r="K354" s="216"/>
      <c r="L354" s="216"/>
      <c r="M354" s="216"/>
      <c r="N354" s="216"/>
      <c r="O354" s="216"/>
      <c r="P354" s="216"/>
      <c r="Q354" s="216"/>
    </row>
    <row r="355">
      <c r="A355" s="11" t="str">
        <f>IFERROR(__xludf.DUMMYFUNCTION("""COMPUTED_VALUE"""),"PAGO")</f>
        <v>PAGO</v>
      </c>
      <c r="B355" s="98" t="str">
        <f>IFERROR(__xludf.DUMMYFUNCTION("""COMPUTED_VALUE"""),"Luz - DEBITO AUTO")</f>
        <v>Luz - DEBITO AUTO</v>
      </c>
      <c r="C355" s="13">
        <f>IFERROR(__xludf.DUMMYFUNCTION("""COMPUTED_VALUE"""),22.0)</f>
        <v>22</v>
      </c>
      <c r="D355" s="13" t="str">
        <f>IFERROR(__xludf.DUMMYFUNCTION("""COMPUTED_VALUE"""),"QUI.")</f>
        <v>QUI.</v>
      </c>
      <c r="E355" s="13">
        <f>IFERROR(__xludf.DUMMYFUNCTION("""COMPUTED_VALUE"""),4.0)</f>
        <v>4</v>
      </c>
      <c r="F355" s="15"/>
      <c r="G355" s="16"/>
      <c r="H355" s="227">
        <f>IFERROR(__xludf.DUMMYFUNCTION("""COMPUTED_VALUE"""),243.32)</f>
        <v>243.32</v>
      </c>
      <c r="I355" s="21" t="str">
        <f>IFERROR(__xludf.DUMMYFUNCTION("""COMPUTED_VALUE"""),"ITAU")</f>
        <v>ITAU</v>
      </c>
      <c r="J355" s="21" t="str">
        <f>IFERROR(__xludf.DUMMYFUNCTION("""COMPUTED_VALUE"""),"#Moradia #Essencial #Luz #Fixo")</f>
        <v>#Moradia #Essencial #Luz #Fixo</v>
      </c>
      <c r="K355" s="216"/>
      <c r="L355" s="216"/>
      <c r="M355" s="216"/>
      <c r="N355" s="216"/>
      <c r="O355" s="216"/>
      <c r="P355" s="216"/>
      <c r="Q355" s="216"/>
    </row>
    <row r="356">
      <c r="A356" s="11" t="str">
        <f>IFERROR(__xludf.DUMMYFUNCTION("""COMPUTED_VALUE"""),"PAGO")</f>
        <v>PAGO</v>
      </c>
      <c r="B356" s="98" t="str">
        <f>IFERROR(__xludf.DUMMYFUNCTION("""COMPUTED_VALUE"""),"Agua - ITAQUERA")</f>
        <v>Agua - ITAQUERA</v>
      </c>
      <c r="C356" s="13">
        <f>IFERROR(__xludf.DUMMYFUNCTION("""COMPUTED_VALUE"""),23.0)</f>
        <v>23</v>
      </c>
      <c r="D356" s="13" t="str">
        <f>IFERROR(__xludf.DUMMYFUNCTION("""COMPUTED_VALUE"""),"SEX.")</f>
        <v>SEX.</v>
      </c>
      <c r="E356" s="13">
        <f>IFERROR(__xludf.DUMMYFUNCTION("""COMPUTED_VALUE"""),4.0)</f>
        <v>4</v>
      </c>
      <c r="F356" s="15">
        <f>IFERROR(__xludf.DUMMYFUNCTION("""COMPUTED_VALUE"""),44301.0)</f>
        <v>44301</v>
      </c>
      <c r="G356" s="16"/>
      <c r="H356" s="227">
        <f>IFERROR(__xludf.DUMMYFUNCTION("""COMPUTED_VALUE"""),54.41)</f>
        <v>54.41</v>
      </c>
      <c r="I356" s="21" t="str">
        <f>IFERROR(__xludf.DUMMYFUNCTION("""COMPUTED_VALUE"""),"NUBANK")</f>
        <v>NUBANK</v>
      </c>
      <c r="J356" s="21" t="str">
        <f>IFERROR(__xludf.DUMMYFUNCTION("""COMPUTED_VALUE"""),"#Itaquera #Essencial #AjudaAlmir #Fixo")</f>
        <v>#Itaquera #Essencial #AjudaAlmir #Fixo</v>
      </c>
      <c r="K356" s="216"/>
      <c r="L356" s="216"/>
      <c r="M356" s="216"/>
      <c r="N356" s="216"/>
      <c r="O356" s="216"/>
      <c r="P356" s="216"/>
      <c r="Q356" s="216"/>
    </row>
    <row r="357">
      <c r="A357" s="11" t="str">
        <f>IFERROR(__xludf.DUMMYFUNCTION("""COMPUTED_VALUE"""),"PAGO")</f>
        <v>PAGO</v>
      </c>
      <c r="B357" s="98" t="str">
        <f>IFERROR(__xludf.DUMMYFUNCTION("""COMPUTED_VALUE"""),"Recarga Sodexo Alimentação IBM")</f>
        <v>Recarga Sodexo Alimentação IBM</v>
      </c>
      <c r="C357" s="13">
        <f>IFERROR(__xludf.DUMMYFUNCTION("""COMPUTED_VALUE"""),23.0)</f>
        <v>23</v>
      </c>
      <c r="D357" s="13" t="str">
        <f>IFERROR(__xludf.DUMMYFUNCTION("""COMPUTED_VALUE"""),"SEX.")</f>
        <v>SEX.</v>
      </c>
      <c r="E357" s="13">
        <f>IFERROR(__xludf.DUMMYFUNCTION("""COMPUTED_VALUE"""),4.0)</f>
        <v>4</v>
      </c>
      <c r="F357" s="15"/>
      <c r="G357" s="16">
        <f>IFERROR(__xludf.DUMMYFUNCTION("""COMPUTED_VALUE"""),295.0)</f>
        <v>295</v>
      </c>
      <c r="H357" s="227"/>
      <c r="I357" s="21" t="str">
        <f>IFERROR(__xludf.DUMMYFUNCTION("""COMPUTED_VALUE"""),"SODEXO-ALI-IBM")</f>
        <v>SODEXO-ALI-IBM</v>
      </c>
      <c r="J357" s="21" t="str">
        <f>IFERROR(__xludf.DUMMYFUNCTION("""COMPUTED_VALUE""")," #Recebimentos #Alimentação #Fixo")</f>
        <v> #Recebimentos #Alimentação #Fixo</v>
      </c>
      <c r="K357" s="216"/>
      <c r="L357" s="216"/>
      <c r="M357" s="216"/>
      <c r="N357" s="216"/>
      <c r="O357" s="216"/>
      <c r="P357" s="216"/>
      <c r="Q357" s="216"/>
    </row>
    <row r="358">
      <c r="A358" s="11" t="str">
        <f>IFERROR(__xludf.DUMMYFUNCTION("""COMPUTED_VALUE"""),"PAGO")</f>
        <v>PAGO</v>
      </c>
      <c r="B358" s="98" t="str">
        <f>IFERROR(__xludf.DUMMYFUNCTION("""COMPUTED_VALUE"""),"Recarga Sodexo Refeição IBM")</f>
        <v>Recarga Sodexo Refeição IBM</v>
      </c>
      <c r="C358" s="13">
        <f>IFERROR(__xludf.DUMMYFUNCTION("""COMPUTED_VALUE"""),23.0)</f>
        <v>23</v>
      </c>
      <c r="D358" s="13" t="str">
        <f>IFERROR(__xludf.DUMMYFUNCTION("""COMPUTED_VALUE"""),"SEX.")</f>
        <v>SEX.</v>
      </c>
      <c r="E358" s="13">
        <f>IFERROR(__xludf.DUMMYFUNCTION("""COMPUTED_VALUE"""),4.0)</f>
        <v>4</v>
      </c>
      <c r="F358" s="15"/>
      <c r="G358" s="16">
        <f>IFERROR(__xludf.DUMMYFUNCTION("""COMPUTED_VALUE"""),635.0)</f>
        <v>635</v>
      </c>
      <c r="H358" s="227"/>
      <c r="I358" s="21" t="str">
        <f>IFERROR(__xludf.DUMMYFUNCTION("""COMPUTED_VALUE"""),"SODEXO-REF-IBM")</f>
        <v>SODEXO-REF-IBM</v>
      </c>
      <c r="J358" s="21" t="str">
        <f>IFERROR(__xludf.DUMMYFUNCTION("""COMPUTED_VALUE"""),"#Recebimentos #Alimentação #Fixo")</f>
        <v>#Recebimentos #Alimentação #Fixo</v>
      </c>
      <c r="K358" s="216"/>
      <c r="L358" s="216"/>
      <c r="M358" s="216"/>
      <c r="N358" s="216"/>
      <c r="O358" s="216"/>
      <c r="P358" s="216"/>
      <c r="Q358" s="216"/>
    </row>
    <row r="359">
      <c r="A359" s="11" t="str">
        <f>IFERROR(__xludf.DUMMYFUNCTION("""COMPUTED_VALUE"""),"PAGO")</f>
        <v>PAGO</v>
      </c>
      <c r="B359" s="98" t="str">
        <f>IFERROR(__xludf.DUMMYFUNCTION("""COMPUTED_VALUE"""),"Shibata - Pão por metro feito em casa com pão francês")</f>
        <v>Shibata - Pão por metro feito em casa com pão francês</v>
      </c>
      <c r="C359" s="13">
        <f>IFERROR(__xludf.DUMMYFUNCTION("""COMPUTED_VALUE"""),23.0)</f>
        <v>23</v>
      </c>
      <c r="D359" s="13" t="str">
        <f>IFERROR(__xludf.DUMMYFUNCTION("""COMPUTED_VALUE"""),"SEX.")</f>
        <v>SEX.</v>
      </c>
      <c r="E359" s="13">
        <f>IFERROR(__xludf.DUMMYFUNCTION("""COMPUTED_VALUE"""),4.0)</f>
        <v>4</v>
      </c>
      <c r="F359" s="15"/>
      <c r="G359" s="16"/>
      <c r="H359" s="227">
        <f>IFERROR(__xludf.DUMMYFUNCTION("""COMPUTED_VALUE"""),72.2)</f>
        <v>72.2</v>
      </c>
      <c r="I359" s="21" t="str">
        <f>IFERROR(__xludf.DUMMYFUNCTION("""COMPUTED_VALUE"""),"SODEXO-REF-IBM")</f>
        <v>SODEXO-REF-IBM</v>
      </c>
      <c r="J359" s="21" t="str">
        <f>IFERROR(__xludf.DUMMYFUNCTION("""COMPUTED_VALUE"""),"#Lazer #Comida #Variavel")</f>
        <v>#Lazer #Comida #Variavel</v>
      </c>
      <c r="K359" s="216"/>
      <c r="L359" s="216"/>
      <c r="M359" s="216"/>
      <c r="N359" s="216"/>
      <c r="O359" s="216"/>
      <c r="P359" s="216"/>
      <c r="Q359" s="216"/>
    </row>
    <row r="360">
      <c r="A360" s="11" t="str">
        <f>IFERROR(__xludf.DUMMYFUNCTION("""COMPUTED_VALUE"""),"PAGO")</f>
        <v>PAGO</v>
      </c>
      <c r="B360" s="98" t="str">
        <f>IFERROR(__xludf.DUMMYFUNCTION("""COMPUTED_VALUE"""),"iFood  - KFC - super balde de frango assado")</f>
        <v>iFood  - KFC - super balde de frango assado</v>
      </c>
      <c r="C360" s="13">
        <f>IFERROR(__xludf.DUMMYFUNCTION("""COMPUTED_VALUE"""),24.0)</f>
        <v>24</v>
      </c>
      <c r="D360" s="13" t="str">
        <f>IFERROR(__xludf.DUMMYFUNCTION("""COMPUTED_VALUE"""),"SÁB.")</f>
        <v>SÁB.</v>
      </c>
      <c r="E360" s="13">
        <f>IFERROR(__xludf.DUMMYFUNCTION("""COMPUTED_VALUE"""),4.0)</f>
        <v>4</v>
      </c>
      <c r="F360" s="15"/>
      <c r="G360" s="16"/>
      <c r="H360" s="227">
        <f>IFERROR(__xludf.DUMMYFUNCTION("""COMPUTED_VALUE"""),79.39)</f>
        <v>79.39</v>
      </c>
      <c r="I360" s="21" t="str">
        <f>IFERROR(__xludf.DUMMYFUNCTION("""COMPUTED_VALUE"""),"NUBANK")</f>
        <v>NUBANK</v>
      </c>
      <c r="J360" s="21" t="str">
        <f>IFERROR(__xludf.DUMMYFUNCTION("""COMPUTED_VALUE"""),"#Lazer #Comida #Variavel")</f>
        <v>#Lazer #Comida #Variavel</v>
      </c>
      <c r="K360" s="216"/>
      <c r="L360" s="216"/>
      <c r="M360" s="216"/>
      <c r="N360" s="216"/>
      <c r="O360" s="216"/>
      <c r="P360" s="216"/>
      <c r="Q360" s="216"/>
    </row>
    <row r="361">
      <c r="A361" s="11" t="str">
        <f>IFERROR(__xludf.DUMMYFUNCTION("""COMPUTED_VALUE"""),"PAGO")</f>
        <v>PAGO</v>
      </c>
      <c r="B361" s="98" t="str">
        <f>IFERROR(__xludf.DUMMYFUNCTION("""COMPUTED_VALUE"""),"Levitar SJC - sorvetes")</f>
        <v>Levitar SJC - sorvetes</v>
      </c>
      <c r="C361" s="13">
        <f>IFERROR(__xludf.DUMMYFUNCTION("""COMPUTED_VALUE"""),25.0)</f>
        <v>25</v>
      </c>
      <c r="D361" s="13" t="str">
        <f>IFERROR(__xludf.DUMMYFUNCTION("""COMPUTED_VALUE"""),"DOM.")</f>
        <v>DOM.</v>
      </c>
      <c r="E361" s="13">
        <f>IFERROR(__xludf.DUMMYFUNCTION("""COMPUTED_VALUE"""),4.0)</f>
        <v>4</v>
      </c>
      <c r="F361" s="15"/>
      <c r="G361" s="16"/>
      <c r="H361" s="227">
        <f>IFERROR(__xludf.DUMMYFUNCTION("""COMPUTED_VALUE"""),20.0)</f>
        <v>20</v>
      </c>
      <c r="I361" s="21" t="str">
        <f>IFERROR(__xludf.DUMMYFUNCTION("""COMPUTED_VALUE"""),"NUBANK")</f>
        <v>NUBANK</v>
      </c>
      <c r="J361" s="21" t="str">
        <f>IFERROR(__xludf.DUMMYFUNCTION("""COMPUTED_VALUE"""),"#Lazer #Comida #Variavel")</f>
        <v>#Lazer #Comida #Variavel</v>
      </c>
      <c r="K361" s="216"/>
      <c r="L361" s="216"/>
      <c r="M361" s="216"/>
      <c r="N361" s="216"/>
      <c r="O361" s="216"/>
      <c r="P361" s="216"/>
      <c r="Q361" s="216"/>
    </row>
    <row r="362">
      <c r="A362" s="11" t="str">
        <f>IFERROR(__xludf.DUMMYFUNCTION("""COMPUTED_VALUE"""),"PAGO")</f>
        <v>PAGO</v>
      </c>
      <c r="B362" s="98" t="str">
        <f>IFERROR(__xludf.DUMMYFUNCTION("""COMPUTED_VALUE"""),"Galinha pintadinha")</f>
        <v>Galinha pintadinha</v>
      </c>
      <c r="C362" s="13">
        <f>IFERROR(__xludf.DUMMYFUNCTION("""COMPUTED_VALUE"""),26.0)</f>
        <v>26</v>
      </c>
      <c r="D362" s="13" t="str">
        <f>IFERROR(__xludf.DUMMYFUNCTION("""COMPUTED_VALUE"""),"SEG.")</f>
        <v>SEG.</v>
      </c>
      <c r="E362" s="13">
        <f>IFERROR(__xludf.DUMMYFUNCTION("""COMPUTED_VALUE"""),4.0)</f>
        <v>4</v>
      </c>
      <c r="F362" s="15"/>
      <c r="G362" s="16"/>
      <c r="H362" s="227">
        <f>IFERROR(__xludf.DUMMYFUNCTION("""COMPUTED_VALUE"""),17.0)</f>
        <v>17</v>
      </c>
      <c r="I362" s="21" t="str">
        <f>IFERROR(__xludf.DUMMYFUNCTION("""COMPUTED_VALUE"""),"SODEXO-ALI-IBM")</f>
        <v>SODEXO-ALI-IBM</v>
      </c>
      <c r="J362" s="21" t="str">
        <f>IFERROR(__xludf.DUMMYFUNCTION("""COMPUTED_VALUE"""),"#Lazer #Comida #Variavel")</f>
        <v>#Lazer #Comida #Variavel</v>
      </c>
      <c r="K362" s="216"/>
      <c r="L362" s="216"/>
      <c r="M362" s="216"/>
      <c r="N362" s="216"/>
      <c r="O362" s="216"/>
      <c r="P362" s="216"/>
      <c r="Q362" s="216"/>
    </row>
    <row r="363">
      <c r="A363" s="11" t="str">
        <f>IFERROR(__xludf.DUMMYFUNCTION("""COMPUTED_VALUE"""),"PAGO")</f>
        <v>PAGO</v>
      </c>
      <c r="B363" s="98" t="str">
        <f>IFERROR(__xludf.DUMMYFUNCTION("""COMPUTED_VALUE"""),"Shibata")</f>
        <v>Shibata</v>
      </c>
      <c r="C363" s="13">
        <f>IFERROR(__xludf.DUMMYFUNCTION("""COMPUTED_VALUE"""),27.0)</f>
        <v>27</v>
      </c>
      <c r="D363" s="13" t="str">
        <f>IFERROR(__xludf.DUMMYFUNCTION("""COMPUTED_VALUE"""),"TER.")</f>
        <v>TER.</v>
      </c>
      <c r="E363" s="13">
        <f>IFERROR(__xludf.DUMMYFUNCTION("""COMPUTED_VALUE"""),4.0)</f>
        <v>4</v>
      </c>
      <c r="F363" s="15"/>
      <c r="G363" s="16"/>
      <c r="H363" s="227">
        <f>IFERROR(__xludf.DUMMYFUNCTION("""COMPUTED_VALUE"""),240.14)</f>
        <v>240.14</v>
      </c>
      <c r="I363" s="21" t="str">
        <f>IFERROR(__xludf.DUMMYFUNCTION("""COMPUTED_VALUE"""),"SODEXO-ALI-IBM")</f>
        <v>SODEXO-ALI-IBM</v>
      </c>
      <c r="J363" s="21" t="str">
        <f>IFERROR(__xludf.DUMMYFUNCTION("""COMPUTED_VALUE"""),"#Moradia #Essencial #Mercado #Variavel #Alimentação ")</f>
        <v>#Moradia #Essencial #Mercado #Variavel #Alimentação </v>
      </c>
      <c r="K363" s="216"/>
      <c r="L363" s="216"/>
      <c r="M363" s="216"/>
      <c r="N363" s="216"/>
      <c r="O363" s="216"/>
      <c r="P363" s="216"/>
      <c r="Q363" s="216"/>
    </row>
    <row r="364">
      <c r="A364" s="11" t="str">
        <f>IFERROR(__xludf.DUMMYFUNCTION("""COMPUTED_VALUE"""),"PAGO")</f>
        <v>PAGO</v>
      </c>
      <c r="B364" s="98" t="str">
        <f>IFERROR(__xludf.DUMMYFUNCTION("""COMPUTED_VALUE"""),"Salario - IBM")</f>
        <v>Salario - IBM</v>
      </c>
      <c r="C364" s="13">
        <f>IFERROR(__xludf.DUMMYFUNCTION("""COMPUTED_VALUE"""),30.0)</f>
        <v>30</v>
      </c>
      <c r="D364" s="13" t="str">
        <f>IFERROR(__xludf.DUMMYFUNCTION("""COMPUTED_VALUE"""),"SEX.")</f>
        <v>SEX.</v>
      </c>
      <c r="E364" s="13">
        <f>IFERROR(__xludf.DUMMYFUNCTION("""COMPUTED_VALUE"""),4.0)</f>
        <v>4</v>
      </c>
      <c r="F364" s="15"/>
      <c r="G364" s="16">
        <f>IFERROR(__xludf.DUMMYFUNCTION("""COMPUTED_VALUE"""),2574.18)</f>
        <v>2574.18</v>
      </c>
      <c r="H364" s="227"/>
      <c r="I364" s="21" t="str">
        <f>IFERROR(__xludf.DUMMYFUNCTION("""COMPUTED_VALUE"""),"SANTANDER")</f>
        <v>SANTANDER</v>
      </c>
      <c r="J364" s="21" t="str">
        <f>IFERROR(__xludf.DUMMYFUNCTION("""COMPUTED_VALUE"""),"#Recebimentos #Salario #Fixo")</f>
        <v>#Recebimentos #Salario #Fixo</v>
      </c>
      <c r="K364" s="216"/>
      <c r="L364" s="216"/>
      <c r="M364" s="216"/>
      <c r="N364" s="216"/>
      <c r="O364" s="216"/>
      <c r="P364" s="216"/>
      <c r="Q364" s="216"/>
    </row>
    <row r="365">
      <c r="A365" s="11" t="str">
        <f>IFERROR(__xludf.DUMMYFUNCTION("""COMPUTED_VALUE"""),"CONTAS")</f>
        <v>CONTAS</v>
      </c>
      <c r="B365" s="98" t="str">
        <f>IFERROR(__xludf.DUMMYFUNCTION("""COMPUTED_VALUE"""),"Transferencia via PIX")</f>
        <v>Transferencia via PIX</v>
      </c>
      <c r="C365" s="13">
        <f>IFERROR(__xludf.DUMMYFUNCTION("""COMPUTED_VALUE"""),15.0)</f>
        <v>15</v>
      </c>
      <c r="D365" s="13" t="str">
        <f>IFERROR(__xludf.DUMMYFUNCTION("""COMPUTED_VALUE"""),"QUI.")</f>
        <v>QUI.</v>
      </c>
      <c r="E365" s="13">
        <f>IFERROR(__xludf.DUMMYFUNCTION("""COMPUTED_VALUE"""),4.0)</f>
        <v>4</v>
      </c>
      <c r="F365" s="15"/>
      <c r="G365" s="16"/>
      <c r="H365" s="227">
        <f>IFERROR(__xludf.DUMMYFUNCTION("""COMPUTED_VALUE"""),2574.18)</f>
        <v>2574.18</v>
      </c>
      <c r="I365" s="21" t="str">
        <f>IFERROR(__xludf.DUMMYFUNCTION("""COMPUTED_VALUE"""),"SANTANDER")</f>
        <v>SANTANDER</v>
      </c>
      <c r="J365" s="21"/>
      <c r="K365" s="216"/>
      <c r="L365" s="216"/>
      <c r="M365" s="216"/>
      <c r="N365" s="216"/>
      <c r="O365" s="216"/>
      <c r="P365" s="216"/>
      <c r="Q365" s="216"/>
    </row>
    <row r="366">
      <c r="A366" s="11" t="str">
        <f>IFERROR(__xludf.DUMMYFUNCTION("""COMPUTED_VALUE"""),"CONTAS")</f>
        <v>CONTAS</v>
      </c>
      <c r="B366" s="98" t="str">
        <f>IFERROR(__xludf.DUMMYFUNCTION("""COMPUTED_VALUE"""),"Recebimento via PIX")</f>
        <v>Recebimento via PIX</v>
      </c>
      <c r="C366" s="13">
        <f>IFERROR(__xludf.DUMMYFUNCTION("""COMPUTED_VALUE"""),15.0)</f>
        <v>15</v>
      </c>
      <c r="D366" s="13" t="str">
        <f>IFERROR(__xludf.DUMMYFUNCTION("""COMPUTED_VALUE"""),"QUI.")</f>
        <v>QUI.</v>
      </c>
      <c r="E366" s="13">
        <f>IFERROR(__xludf.DUMMYFUNCTION("""COMPUTED_VALUE"""),4.0)</f>
        <v>4</v>
      </c>
      <c r="F366" s="15"/>
      <c r="G366" s="16">
        <f>IFERROR(__xludf.DUMMYFUNCTION("""COMPUTED_VALUE"""),2574.18)</f>
        <v>2574.18</v>
      </c>
      <c r="H366" s="227"/>
      <c r="I366" s="21" t="str">
        <f>IFERROR(__xludf.DUMMYFUNCTION("""COMPUTED_VALUE"""),"NUBANK")</f>
        <v>NUBANK</v>
      </c>
      <c r="J366" s="21"/>
      <c r="K366" s="216"/>
      <c r="L366" s="216"/>
      <c r="M366" s="216"/>
      <c r="N366" s="216"/>
      <c r="O366" s="216"/>
      <c r="P366" s="216"/>
      <c r="Q366" s="216"/>
    </row>
    <row r="367">
      <c r="A367" s="11" t="str">
        <f>IFERROR(__xludf.DUMMYFUNCTION("""COMPUTED_VALUE"""),"PAGO")</f>
        <v>PAGO</v>
      </c>
      <c r="B367" s="98" t="str">
        <f>IFERROR(__xludf.DUMMYFUNCTION("""COMPUTED_VALUE"""),"Coaching / Psicologa - Candice Oliveira")</f>
        <v>Coaching / Psicologa - Candice Oliveira</v>
      </c>
      <c r="C367" s="13">
        <f>IFERROR(__xludf.DUMMYFUNCTION("""COMPUTED_VALUE"""),30.0)</f>
        <v>30</v>
      </c>
      <c r="D367" s="13" t="str">
        <f>IFERROR(__xludf.DUMMYFUNCTION("""COMPUTED_VALUE"""),"SEX.")</f>
        <v>SEX.</v>
      </c>
      <c r="E367" s="13">
        <f>IFERROR(__xludf.DUMMYFUNCTION("""COMPUTED_VALUE"""),4.0)</f>
        <v>4</v>
      </c>
      <c r="F367" s="15"/>
      <c r="G367" s="16"/>
      <c r="H367" s="227">
        <f>IFERROR(__xludf.DUMMYFUNCTION("""COMPUTED_VALUE"""),100.0)</f>
        <v>100</v>
      </c>
      <c r="I367" s="21" t="str">
        <f>IFERROR(__xludf.DUMMYFUNCTION("""COMPUTED_VALUE"""),"NUBANK")</f>
        <v>NUBANK</v>
      </c>
      <c r="J367" s="21" t="str">
        <f>IFERROR(__xludf.DUMMYFUNCTION("""COMPUTED_VALUE"""),"#Coaching #Fixo")</f>
        <v>#Coaching #Fixo</v>
      </c>
      <c r="K367" s="216"/>
      <c r="L367" s="216"/>
      <c r="M367" s="216"/>
      <c r="N367" s="216"/>
      <c r="O367" s="216"/>
      <c r="P367" s="216"/>
      <c r="Q367" s="216"/>
    </row>
    <row r="368">
      <c r="A368" s="11" t="str">
        <f>IFERROR(__xludf.DUMMYFUNCTION("""COMPUTED_VALUE"""),"PAGO")</f>
        <v>PAGO</v>
      </c>
      <c r="B368" s="98" t="str">
        <f>IFERROR(__xludf.DUMMYFUNCTION("""COMPUTED_VALUE"""),"Multi Sabor SJC - Cidade Jardim")</f>
        <v>Multi Sabor SJC - Cidade Jardim</v>
      </c>
      <c r="C368" s="13">
        <f>IFERROR(__xludf.DUMMYFUNCTION("""COMPUTED_VALUE"""),30.0)</f>
        <v>30</v>
      </c>
      <c r="D368" s="13" t="str">
        <f>IFERROR(__xludf.DUMMYFUNCTION("""COMPUTED_VALUE"""),"SEX.")</f>
        <v>SEX.</v>
      </c>
      <c r="E368" s="13">
        <f>IFERROR(__xludf.DUMMYFUNCTION("""COMPUTED_VALUE"""),4.0)</f>
        <v>4</v>
      </c>
      <c r="F368" s="15"/>
      <c r="G368" s="16"/>
      <c r="H368" s="227">
        <f>IFERROR(__xludf.DUMMYFUNCTION("""COMPUTED_VALUE"""),36.0)</f>
        <v>36</v>
      </c>
      <c r="I368" s="21" t="str">
        <f>IFERROR(__xludf.DUMMYFUNCTION("""COMPUTED_VALUE"""),"NUBANK")</f>
        <v>NUBANK</v>
      </c>
      <c r="J368" s="21" t="str">
        <f>IFERROR(__xludf.DUMMYFUNCTION("""COMPUTED_VALUE"""),"#Lazer #Comida #Variavel")</f>
        <v>#Lazer #Comida #Variavel</v>
      </c>
      <c r="K368" s="216"/>
      <c r="L368" s="216"/>
      <c r="M368" s="216"/>
      <c r="N368" s="216"/>
      <c r="O368" s="216"/>
      <c r="P368" s="216"/>
      <c r="Q368" s="216"/>
    </row>
    <row r="369">
      <c r="A369" s="11"/>
      <c r="B369" s="98"/>
      <c r="C369" s="13"/>
      <c r="D369" s="13"/>
      <c r="E369" s="13"/>
      <c r="F369" s="15"/>
      <c r="G369" s="16"/>
      <c r="H369" s="227"/>
      <c r="I369" s="21"/>
      <c r="J369" s="21"/>
      <c r="K369" s="216"/>
      <c r="L369" s="216"/>
      <c r="M369" s="216"/>
      <c r="N369" s="216"/>
      <c r="O369" s="216"/>
      <c r="P369" s="216"/>
      <c r="Q369" s="216"/>
    </row>
    <row r="370">
      <c r="A370" s="11"/>
      <c r="B370" s="98"/>
      <c r="C370" s="13"/>
      <c r="D370" s="13"/>
      <c r="E370" s="13"/>
      <c r="F370" s="15"/>
      <c r="G370" s="16"/>
      <c r="H370" s="227"/>
      <c r="I370" s="21"/>
      <c r="J370" s="21"/>
      <c r="K370" s="216"/>
      <c r="L370" s="216"/>
      <c r="M370" s="216"/>
      <c r="N370" s="216"/>
      <c r="O370" s="216"/>
      <c r="P370" s="216"/>
      <c r="Q370" s="216"/>
    </row>
    <row r="371">
      <c r="A371" s="11"/>
      <c r="B371" s="98"/>
      <c r="C371" s="13"/>
      <c r="D371" s="13"/>
      <c r="E371" s="13"/>
      <c r="F371" s="15"/>
      <c r="G371" s="16"/>
      <c r="H371" s="227"/>
      <c r="I371" s="21"/>
      <c r="J371" s="21"/>
      <c r="K371" s="216"/>
      <c r="L371" s="216"/>
      <c r="M371" s="216"/>
      <c r="N371" s="216"/>
      <c r="O371" s="216"/>
      <c r="P371" s="216"/>
      <c r="Q371" s="216"/>
    </row>
    <row r="372">
      <c r="A372" s="11" t="str">
        <f>IFERROR(__xludf.DUMMYFUNCTION("""COMPUTED_VALUE"""),"PAGO")</f>
        <v>PAGO</v>
      </c>
      <c r="B372" s="98" t="str">
        <f>IFERROR(__xludf.DUMMYFUNCTION("""COMPUTED_VALUE"""),"Entrada mes anterior")</f>
        <v>Entrada mes anterior</v>
      </c>
      <c r="C372" s="13">
        <f>IFERROR(__xludf.DUMMYFUNCTION("""COMPUTED_VALUE"""),1.0)</f>
        <v>1</v>
      </c>
      <c r="D372" s="13" t="str">
        <f>IFERROR(__xludf.DUMMYFUNCTION("""COMPUTED_VALUE"""),"SÁB.")</f>
        <v>SÁB.</v>
      </c>
      <c r="E372" s="13">
        <f>IFERROR(__xludf.DUMMYFUNCTION("""COMPUTED_VALUE"""),5.0)</f>
        <v>5</v>
      </c>
      <c r="F372" s="15"/>
      <c r="G372" s="16">
        <f>IFERROR(__xludf.DUMMYFUNCTION("""COMPUTED_VALUE"""),523.7100000000012)</f>
        <v>523.71</v>
      </c>
      <c r="H372" s="227"/>
      <c r="I372" s="21" t="str">
        <f>IFERROR(__xludf.DUMMYFUNCTION("""COMPUTED_VALUE"""),"ITAU")</f>
        <v>ITAU</v>
      </c>
      <c r="J372" s="21" t="str">
        <f>IFERROR(__xludf.DUMMYFUNCTION("""COMPUTED_VALUE"""),"#Recebimentos #Ajuste #Variavel")</f>
        <v>#Recebimentos #Ajuste #Variavel</v>
      </c>
      <c r="K372" s="216"/>
      <c r="L372" s="216"/>
      <c r="M372" s="216"/>
      <c r="N372" s="216"/>
      <c r="O372" s="216"/>
      <c r="P372" s="216"/>
      <c r="Q372" s="216"/>
    </row>
    <row r="373">
      <c r="A373" s="11" t="str">
        <f>IFERROR(__xludf.DUMMYFUNCTION("""COMPUTED_VALUE"""),"PAGO")</f>
        <v>PAGO</v>
      </c>
      <c r="B373" s="98" t="str">
        <f>IFERROR(__xludf.DUMMYFUNCTION("""COMPUTED_VALUE"""),"Entrada mes anterior")</f>
        <v>Entrada mes anterior</v>
      </c>
      <c r="C373" s="13">
        <f>IFERROR(__xludf.DUMMYFUNCTION("""COMPUTED_VALUE"""),1.0)</f>
        <v>1</v>
      </c>
      <c r="D373" s="13" t="str">
        <f>IFERROR(__xludf.DUMMYFUNCTION("""COMPUTED_VALUE"""),"SÁB.")</f>
        <v>SÁB.</v>
      </c>
      <c r="E373" s="13">
        <f>IFERROR(__xludf.DUMMYFUNCTION("""COMPUTED_VALUE"""),5.0)</f>
        <v>5</v>
      </c>
      <c r="F373" s="15"/>
      <c r="G373" s="16">
        <f>IFERROR(__xludf.DUMMYFUNCTION("""COMPUTED_VALUE"""),2.849999999999909)</f>
        <v>2.85</v>
      </c>
      <c r="H373" s="227"/>
      <c r="I373" s="21" t="str">
        <f>IFERROR(__xludf.DUMMYFUNCTION("""COMPUTED_VALUE"""),"INTER")</f>
        <v>INTER</v>
      </c>
      <c r="J373" s="21" t="str">
        <f>IFERROR(__xludf.DUMMYFUNCTION("""COMPUTED_VALUE"""),"#Recebimentos #Ajuste #Variavel")</f>
        <v>#Recebimentos #Ajuste #Variavel</v>
      </c>
      <c r="K373" s="216"/>
      <c r="L373" s="216"/>
      <c r="M373" s="216"/>
      <c r="N373" s="216"/>
      <c r="O373" s="216"/>
      <c r="P373" s="216"/>
      <c r="Q373" s="216"/>
    </row>
    <row r="374">
      <c r="A374" s="11" t="str">
        <f>IFERROR(__xludf.DUMMYFUNCTION("""COMPUTED_VALUE"""),"PAGO")</f>
        <v>PAGO</v>
      </c>
      <c r="B374" s="98" t="str">
        <f>IFERROR(__xludf.DUMMYFUNCTION("""COMPUTED_VALUE"""),"Entrada mes anterior")</f>
        <v>Entrada mes anterior</v>
      </c>
      <c r="C374" s="13">
        <f>IFERROR(__xludf.DUMMYFUNCTION("""COMPUTED_VALUE"""),1.0)</f>
        <v>1</v>
      </c>
      <c r="D374" s="13" t="str">
        <f>IFERROR(__xludf.DUMMYFUNCTION("""COMPUTED_VALUE"""),"SÁB.")</f>
        <v>SÁB.</v>
      </c>
      <c r="E374" s="13">
        <f>IFERROR(__xludf.DUMMYFUNCTION("""COMPUTED_VALUE"""),5.0)</f>
        <v>5</v>
      </c>
      <c r="F374" s="15"/>
      <c r="G374" s="16">
        <f>IFERROR(__xludf.DUMMYFUNCTION("""COMPUTED_VALUE"""),52.729999999999336)</f>
        <v>52.73</v>
      </c>
      <c r="H374" s="227"/>
      <c r="I374" s="21" t="str">
        <f>IFERROR(__xludf.DUMMYFUNCTION("""COMPUTED_VALUE"""),"INTER-PJ")</f>
        <v>INTER-PJ</v>
      </c>
      <c r="J374" s="21" t="str">
        <f>IFERROR(__xludf.DUMMYFUNCTION("""COMPUTED_VALUE"""),"#Recebimentos #Ajuste #Variavel")</f>
        <v>#Recebimentos #Ajuste #Variavel</v>
      </c>
      <c r="K374" s="216"/>
      <c r="L374" s="216"/>
      <c r="M374" s="216"/>
      <c r="N374" s="216"/>
      <c r="O374" s="216"/>
      <c r="P374" s="216"/>
      <c r="Q374" s="216"/>
    </row>
    <row r="375">
      <c r="A375" s="11" t="str">
        <f>IFERROR(__xludf.DUMMYFUNCTION("""COMPUTED_VALUE"""),"PAGO")</f>
        <v>PAGO</v>
      </c>
      <c r="B375" s="98" t="str">
        <f>IFERROR(__xludf.DUMMYFUNCTION("""COMPUTED_VALUE"""),"Entrada mes anterior")</f>
        <v>Entrada mes anterior</v>
      </c>
      <c r="C375" s="13">
        <f>IFERROR(__xludf.DUMMYFUNCTION("""COMPUTED_VALUE"""),1.0)</f>
        <v>1</v>
      </c>
      <c r="D375" s="13" t="str">
        <f>IFERROR(__xludf.DUMMYFUNCTION("""COMPUTED_VALUE"""),"SÁB.")</f>
        <v>SÁB.</v>
      </c>
      <c r="E375" s="13">
        <f>IFERROR(__xludf.DUMMYFUNCTION("""COMPUTED_VALUE"""),5.0)</f>
        <v>5</v>
      </c>
      <c r="F375" s="15"/>
      <c r="G375" s="16">
        <f>IFERROR(__xludf.DUMMYFUNCTION("""COMPUTED_VALUE"""),2816.3300000000036)</f>
        <v>2816.33</v>
      </c>
      <c r="H375" s="227"/>
      <c r="I375" s="21" t="str">
        <f>IFERROR(__xludf.DUMMYFUNCTION("""COMPUTED_VALUE"""),"NUBANK")</f>
        <v>NUBANK</v>
      </c>
      <c r="J375" s="21" t="str">
        <f>IFERROR(__xludf.DUMMYFUNCTION("""COMPUTED_VALUE"""),"#Recebimentos #Ajuste #Variavel")</f>
        <v>#Recebimentos #Ajuste #Variavel</v>
      </c>
      <c r="K375" s="216"/>
      <c r="L375" s="216"/>
      <c r="M375" s="216"/>
      <c r="N375" s="216"/>
      <c r="O375" s="216"/>
      <c r="P375" s="216"/>
      <c r="Q375" s="216"/>
    </row>
    <row r="376">
      <c r="A376" s="11" t="str">
        <f>IFERROR(__xludf.DUMMYFUNCTION("""COMPUTED_VALUE"""),"PAGO")</f>
        <v>PAGO</v>
      </c>
      <c r="B376" s="98" t="str">
        <f>IFERROR(__xludf.DUMMYFUNCTION("""COMPUTED_VALUE"""),"Entrada mes anterior")</f>
        <v>Entrada mes anterior</v>
      </c>
      <c r="C376" s="13">
        <f>IFERROR(__xludf.DUMMYFUNCTION("""COMPUTED_VALUE"""),1.0)</f>
        <v>1</v>
      </c>
      <c r="D376" s="13" t="str">
        <f>IFERROR(__xludf.DUMMYFUNCTION("""COMPUTED_VALUE"""),"SÁB.")</f>
        <v>SÁB.</v>
      </c>
      <c r="E376" s="13">
        <f>IFERROR(__xludf.DUMMYFUNCTION("""COMPUTED_VALUE"""),5.0)</f>
        <v>5</v>
      </c>
      <c r="F376" s="15"/>
      <c r="G376" s="16">
        <f>IFERROR(__xludf.DUMMYFUNCTION("""COMPUTED_VALUE"""),9.52)</f>
        <v>9.52</v>
      </c>
      <c r="H376" s="227"/>
      <c r="I376" s="21" t="str">
        <f>IFERROR(__xludf.DUMMYFUNCTION("""COMPUTED_VALUE"""),"C6BANK")</f>
        <v>C6BANK</v>
      </c>
      <c r="J376" s="21" t="str">
        <f>IFERROR(__xludf.DUMMYFUNCTION("""COMPUTED_VALUE"""),"#Recebimentos #Ajuste #Variavel")</f>
        <v>#Recebimentos #Ajuste #Variavel</v>
      </c>
      <c r="K376" s="216"/>
      <c r="L376" s="216"/>
      <c r="M376" s="216"/>
      <c r="N376" s="216"/>
      <c r="O376" s="216"/>
      <c r="P376" s="216"/>
      <c r="Q376" s="216"/>
    </row>
    <row r="377">
      <c r="A377" s="11" t="str">
        <f>IFERROR(__xludf.DUMMYFUNCTION("""COMPUTED_VALUE"""),"PAGO")</f>
        <v>PAGO</v>
      </c>
      <c r="B377" s="98" t="str">
        <f>IFERROR(__xludf.DUMMYFUNCTION("""COMPUTED_VALUE"""),"Entrada mes anterior")</f>
        <v>Entrada mes anterior</v>
      </c>
      <c r="C377" s="13">
        <f>IFERROR(__xludf.DUMMYFUNCTION("""COMPUTED_VALUE"""),1.0)</f>
        <v>1</v>
      </c>
      <c r="D377" s="13" t="str">
        <f>IFERROR(__xludf.DUMMYFUNCTION("""COMPUTED_VALUE"""),"SÁB.")</f>
        <v>SÁB.</v>
      </c>
      <c r="E377" s="13">
        <f>IFERROR(__xludf.DUMMYFUNCTION("""COMPUTED_VALUE"""),5.0)</f>
        <v>5</v>
      </c>
      <c r="F377" s="15"/>
      <c r="G377" s="16">
        <f>IFERROR(__xludf.DUMMYFUNCTION("""COMPUTED_VALUE"""),0.0)</f>
        <v>0</v>
      </c>
      <c r="H377" s="227"/>
      <c r="I377" s="21" t="str">
        <f>IFERROR(__xludf.DUMMYFUNCTION("""COMPUTED_VALUE"""),"SANTANDER")</f>
        <v>SANTANDER</v>
      </c>
      <c r="J377" s="21" t="str">
        <f>IFERROR(__xludf.DUMMYFUNCTION("""COMPUTED_VALUE"""),"#Recebimentos #Ajuste #Variavel")</f>
        <v>#Recebimentos #Ajuste #Variavel</v>
      </c>
      <c r="K377" s="216"/>
      <c r="L377" s="216"/>
      <c r="M377" s="216"/>
      <c r="N377" s="216"/>
      <c r="O377" s="216"/>
      <c r="P377" s="216"/>
      <c r="Q377" s="216"/>
    </row>
    <row r="378">
      <c r="A378" s="11" t="str">
        <f>IFERROR(__xludf.DUMMYFUNCTION("""COMPUTED_VALUE"""),"PAGO")</f>
        <v>PAGO</v>
      </c>
      <c r="B378" s="98" t="str">
        <f>IFERROR(__xludf.DUMMYFUNCTION("""COMPUTED_VALUE"""),"Entrada mes anterior")</f>
        <v>Entrada mes anterior</v>
      </c>
      <c r="C378" s="13">
        <f>IFERROR(__xludf.DUMMYFUNCTION("""COMPUTED_VALUE"""),1.0)</f>
        <v>1</v>
      </c>
      <c r="D378" s="13" t="str">
        <f>IFERROR(__xludf.DUMMYFUNCTION("""COMPUTED_VALUE"""),"SÁB.")</f>
        <v>SÁB.</v>
      </c>
      <c r="E378" s="13">
        <f>IFERROR(__xludf.DUMMYFUNCTION("""COMPUTED_VALUE"""),5.0)</f>
        <v>5</v>
      </c>
      <c r="F378" s="15"/>
      <c r="G378" s="16">
        <f>IFERROR(__xludf.DUMMYFUNCTION("""COMPUTED_VALUE"""),642.9499999999998)</f>
        <v>642.95</v>
      </c>
      <c r="H378" s="227"/>
      <c r="I378" s="21" t="str">
        <f>IFERROR(__xludf.DUMMYFUNCTION("""COMPUTED_VALUE"""),"SODEXO-REF-IBM")</f>
        <v>SODEXO-REF-IBM</v>
      </c>
      <c r="J378" s="21" t="str">
        <f>IFERROR(__xludf.DUMMYFUNCTION("""COMPUTED_VALUE"""),"#Recebimentos #Ajuste #Variavel")</f>
        <v>#Recebimentos #Ajuste #Variavel</v>
      </c>
      <c r="K378" s="216"/>
      <c r="L378" s="216"/>
      <c r="M378" s="216"/>
      <c r="N378" s="216"/>
      <c r="O378" s="216"/>
      <c r="P378" s="216"/>
      <c r="Q378" s="216"/>
    </row>
    <row r="379">
      <c r="A379" s="11" t="str">
        <f>IFERROR(__xludf.DUMMYFUNCTION("""COMPUTED_VALUE"""),"PAGO")</f>
        <v>PAGO</v>
      </c>
      <c r="B379" s="98" t="str">
        <f>IFERROR(__xludf.DUMMYFUNCTION("""COMPUTED_VALUE"""),"Entrada mes anterior")</f>
        <v>Entrada mes anterior</v>
      </c>
      <c r="C379" s="13">
        <f>IFERROR(__xludf.DUMMYFUNCTION("""COMPUTED_VALUE"""),1.0)</f>
        <v>1</v>
      </c>
      <c r="D379" s="13" t="str">
        <f>IFERROR(__xludf.DUMMYFUNCTION("""COMPUTED_VALUE"""),"SÁB.")</f>
        <v>SÁB.</v>
      </c>
      <c r="E379" s="13">
        <f>IFERROR(__xludf.DUMMYFUNCTION("""COMPUTED_VALUE"""),5.0)</f>
        <v>5</v>
      </c>
      <c r="F379" s="15"/>
      <c r="G379" s="16">
        <f>IFERROR(__xludf.DUMMYFUNCTION("""COMPUTED_VALUE"""),37.860000000000014)</f>
        <v>37.86</v>
      </c>
      <c r="H379" s="227"/>
      <c r="I379" s="21" t="str">
        <f>IFERROR(__xludf.DUMMYFUNCTION("""COMPUTED_VALUE"""),"SODEXO-ALI-IBM")</f>
        <v>SODEXO-ALI-IBM</v>
      </c>
      <c r="J379" s="21" t="str">
        <f>IFERROR(__xludf.DUMMYFUNCTION("""COMPUTED_VALUE"""),"#Recebimentos #Ajuste #Variavel")</f>
        <v>#Recebimentos #Ajuste #Variavel</v>
      </c>
      <c r="K379" s="216"/>
      <c r="L379" s="216"/>
      <c r="M379" s="216"/>
      <c r="N379" s="216"/>
      <c r="O379" s="216"/>
      <c r="P379" s="216"/>
      <c r="Q379" s="216"/>
    </row>
    <row r="380">
      <c r="A380" s="11" t="str">
        <f>IFERROR(__xludf.DUMMYFUNCTION("""COMPUTED_VALUE"""),"CONTAS")</f>
        <v>CONTAS</v>
      </c>
      <c r="B380" s="98" t="str">
        <f>IFERROR(__xludf.DUMMYFUNCTION("""COMPUTED_VALUE"""),"Transferencia via PIX")</f>
        <v>Transferencia via PIX</v>
      </c>
      <c r="C380" s="13">
        <f>IFERROR(__xludf.DUMMYFUNCTION("""COMPUTED_VALUE"""),1.0)</f>
        <v>1</v>
      </c>
      <c r="D380" s="13" t="str">
        <f>IFERROR(__xludf.DUMMYFUNCTION("""COMPUTED_VALUE"""),"SÁB.")</f>
        <v>SÁB.</v>
      </c>
      <c r="E380" s="13">
        <f>IFERROR(__xludf.DUMMYFUNCTION("""COMPUTED_VALUE"""),5.0)</f>
        <v>5</v>
      </c>
      <c r="F380" s="15"/>
      <c r="G380" s="16"/>
      <c r="H380" s="227">
        <f>IFERROR(__xludf.DUMMYFUNCTION("""COMPUTED_VALUE"""),457.0)</f>
        <v>457</v>
      </c>
      <c r="I380" s="21" t="str">
        <f>IFERROR(__xludf.DUMMYFUNCTION("""COMPUTED_VALUE"""),"ITAU")</f>
        <v>ITAU</v>
      </c>
      <c r="J380" s="21"/>
      <c r="K380" s="216"/>
      <c r="L380" s="216"/>
      <c r="M380" s="216"/>
      <c r="N380" s="216"/>
      <c r="O380" s="216"/>
      <c r="P380" s="216"/>
      <c r="Q380" s="216"/>
    </row>
    <row r="381">
      <c r="A381" s="11" t="str">
        <f>IFERROR(__xludf.DUMMYFUNCTION("""COMPUTED_VALUE"""),"CONTAS")</f>
        <v>CONTAS</v>
      </c>
      <c r="B381" s="98" t="str">
        <f>IFERROR(__xludf.DUMMYFUNCTION("""COMPUTED_VALUE"""),"Recebimento via PIX")</f>
        <v>Recebimento via PIX</v>
      </c>
      <c r="C381" s="13">
        <f>IFERROR(__xludf.DUMMYFUNCTION("""COMPUTED_VALUE"""),1.0)</f>
        <v>1</v>
      </c>
      <c r="D381" s="13" t="str">
        <f>IFERROR(__xludf.DUMMYFUNCTION("""COMPUTED_VALUE"""),"SÁB.")</f>
        <v>SÁB.</v>
      </c>
      <c r="E381" s="13">
        <f>IFERROR(__xludf.DUMMYFUNCTION("""COMPUTED_VALUE"""),5.0)</f>
        <v>5</v>
      </c>
      <c r="F381" s="15"/>
      <c r="G381" s="16">
        <f>IFERROR(__xludf.DUMMYFUNCTION("""COMPUTED_VALUE"""),457.0)</f>
        <v>457</v>
      </c>
      <c r="H381" s="227"/>
      <c r="I381" s="21" t="str">
        <f>IFERROR(__xludf.DUMMYFUNCTION("""COMPUTED_VALUE"""),"NUBANK")</f>
        <v>NUBANK</v>
      </c>
      <c r="J381" s="21"/>
      <c r="K381" s="216"/>
      <c r="L381" s="216"/>
      <c r="M381" s="216"/>
      <c r="N381" s="216"/>
      <c r="O381" s="216"/>
      <c r="P381" s="216"/>
      <c r="Q381" s="216"/>
    </row>
    <row r="382">
      <c r="A382" s="11" t="str">
        <f>IFERROR(__xludf.DUMMYFUNCTION("""COMPUTED_VALUE"""),"PAGO")</f>
        <v>PAGO</v>
      </c>
      <c r="B382" s="98" t="str">
        <f>IFERROR(__xludf.DUMMYFUNCTION("""COMPUTED_VALUE"""),"Cartao NuBank")</f>
        <v>Cartao NuBank</v>
      </c>
      <c r="C382" s="13">
        <f>IFERROR(__xludf.DUMMYFUNCTION("""COMPUTED_VALUE"""),1.0)</f>
        <v>1</v>
      </c>
      <c r="D382" s="13" t="str">
        <f>IFERROR(__xludf.DUMMYFUNCTION("""COMPUTED_VALUE"""),"SÁB.")</f>
        <v>SÁB.</v>
      </c>
      <c r="E382" s="13">
        <f>IFERROR(__xludf.DUMMYFUNCTION("""COMPUTED_VALUE"""),5.0)</f>
        <v>5</v>
      </c>
      <c r="F382" s="15"/>
      <c r="G382" s="16"/>
      <c r="H382" s="227">
        <f>IFERROR(__xludf.DUMMYFUNCTION("""COMPUTED_VALUE"""),435.47)</f>
        <v>435.47</v>
      </c>
      <c r="I382" s="21" t="str">
        <f>IFERROR(__xludf.DUMMYFUNCTION("""COMPUTED_VALUE"""),"NUBANK")</f>
        <v>NUBANK</v>
      </c>
      <c r="J382" s="21"/>
      <c r="K382" s="216"/>
      <c r="L382" s="216"/>
      <c r="M382" s="216"/>
      <c r="N382" s="216"/>
      <c r="O382" s="216"/>
      <c r="P382" s="216"/>
      <c r="Q382" s="216"/>
    </row>
    <row r="383">
      <c r="A383" s="11" t="str">
        <f>IFERROR(__xludf.DUMMYFUNCTION("""COMPUTED_VALUE"""),"CREDITO")</f>
        <v>CREDITO</v>
      </c>
      <c r="B383" s="98" t="str">
        <f>IFERROR(__xludf.DUMMYFUNCTION("""COMPUTED_VALUE"""),"Amazon - Livro: Os segredos da mente milionária")</f>
        <v>Amazon - Livro: Os segredos da mente milionária</v>
      </c>
      <c r="C383" s="13"/>
      <c r="D383" s="13"/>
      <c r="E383" s="13">
        <f>IFERROR(__xludf.DUMMYFUNCTION("""COMPUTED_VALUE"""),5.0)</f>
        <v>5</v>
      </c>
      <c r="F383" s="15">
        <f>IFERROR(__xludf.DUMMYFUNCTION("""COMPUTED_VALUE"""),44292.0)</f>
        <v>44292</v>
      </c>
      <c r="G383" s="16"/>
      <c r="H383" s="227">
        <f>IFERROR(__xludf.DUMMYFUNCTION("""COMPUTED_VALUE"""),29.9)</f>
        <v>29.9</v>
      </c>
      <c r="I383" s="21"/>
      <c r="J383" s="21" t="str">
        <f>IFERROR(__xludf.DUMMYFUNCTION("""COMPUTED_VALUE"""),"#CartaoDeCredito #Cicero #Lazer #Fixo ")</f>
        <v>#CartaoDeCredito #Cicero #Lazer #Fixo </v>
      </c>
      <c r="K383" s="216"/>
      <c r="L383" s="216"/>
      <c r="M383" s="216"/>
      <c r="N383" s="216"/>
      <c r="O383" s="216"/>
      <c r="P383" s="216"/>
      <c r="Q383" s="216"/>
    </row>
    <row r="384">
      <c r="A384" s="11" t="str">
        <f>IFERROR(__xludf.DUMMYFUNCTION("""COMPUTED_VALUE"""),"CREDITO")</f>
        <v>CREDITO</v>
      </c>
      <c r="B384" s="98" t="str">
        <f>IFERROR(__xludf.DUMMYFUNCTION("""COMPUTED_VALUE"""),"Amazonprimebr")</f>
        <v>Amazonprimebr</v>
      </c>
      <c r="C384" s="13"/>
      <c r="D384" s="13"/>
      <c r="E384" s="13">
        <f>IFERROR(__xludf.DUMMYFUNCTION("""COMPUTED_VALUE"""),5.0)</f>
        <v>5</v>
      </c>
      <c r="F384" s="15">
        <f>IFERROR(__xludf.DUMMYFUNCTION("""COMPUTED_VALUE"""),44299.0)</f>
        <v>44299</v>
      </c>
      <c r="G384" s="16"/>
      <c r="H384" s="227">
        <f>IFERROR(__xludf.DUMMYFUNCTION("""COMPUTED_VALUE"""),9.9)</f>
        <v>9.9</v>
      </c>
      <c r="I384" s="21"/>
      <c r="J384" s="21" t="str">
        <f>IFERROR(__xludf.DUMMYFUNCTION("""COMPUTED_VALUE"""),"#CartaoDeCredito #Cicero #Essencial #Streaming #Fixo ")</f>
        <v>#CartaoDeCredito #Cicero #Essencial #Streaming #Fixo </v>
      </c>
      <c r="K384" s="216"/>
      <c r="L384" s="216"/>
      <c r="M384" s="216"/>
      <c r="N384" s="216"/>
      <c r="O384" s="216"/>
      <c r="P384" s="216"/>
      <c r="Q384" s="216"/>
    </row>
    <row r="385">
      <c r="A385" s="11" t="str">
        <f>IFERROR(__xludf.DUMMYFUNCTION("""COMPUTED_VALUE"""),"CREDITO")</f>
        <v>CREDITO</v>
      </c>
      <c r="B385" s="98" t="str">
        <f>IFERROR(__xludf.DUMMYFUNCTION("""COMPUTED_VALUE"""),"Amazon Music Unlimited")</f>
        <v>Amazon Music Unlimited</v>
      </c>
      <c r="C385" s="13"/>
      <c r="D385" s="13"/>
      <c r="E385" s="13">
        <f>IFERROR(__xludf.DUMMYFUNCTION("""COMPUTED_VALUE"""),5.0)</f>
        <v>5</v>
      </c>
      <c r="F385" s="15">
        <f>IFERROR(__xludf.DUMMYFUNCTION("""COMPUTED_VALUE"""),44300.0)</f>
        <v>44300</v>
      </c>
      <c r="G385" s="16"/>
      <c r="H385" s="227">
        <f>IFERROR(__xludf.DUMMYFUNCTION("""COMPUTED_VALUE"""),16.9)</f>
        <v>16.9</v>
      </c>
      <c r="I385" s="21"/>
      <c r="J385" s="21" t="str">
        <f>IFERROR(__xludf.DUMMYFUNCTION("""COMPUTED_VALUE"""),"#CartaoDeCredito #Cicero #Lazer #Fixo ")</f>
        <v>#CartaoDeCredito #Cicero #Lazer #Fixo </v>
      </c>
      <c r="K385" s="216"/>
      <c r="L385" s="216"/>
      <c r="M385" s="216"/>
      <c r="N385" s="216"/>
      <c r="O385" s="216"/>
      <c r="P385" s="216"/>
      <c r="Q385" s="216"/>
    </row>
    <row r="386">
      <c r="A386" s="11" t="str">
        <f>IFERROR(__xludf.DUMMYFUNCTION("""COMPUTED_VALUE"""),"CREDITO")</f>
        <v>CREDITO</v>
      </c>
      <c r="B386" s="98" t="str">
        <f>IFERROR(__xludf.DUMMYFUNCTION("""COMPUTED_VALUE"""),"Youtube Member - Denny Torres - Mineração de CriptoMoedas")</f>
        <v>Youtube Member - Denny Torres - Mineração de CriptoMoedas</v>
      </c>
      <c r="C386" s="13"/>
      <c r="D386" s="13"/>
      <c r="E386" s="13">
        <f>IFERROR(__xludf.DUMMYFUNCTION("""COMPUTED_VALUE"""),5.0)</f>
        <v>5</v>
      </c>
      <c r="F386" s="15">
        <f>IFERROR(__xludf.DUMMYFUNCTION("""COMPUTED_VALUE"""),44301.0)</f>
        <v>44301</v>
      </c>
      <c r="G386" s="16"/>
      <c r="H386" s="227">
        <f>IFERROR(__xludf.DUMMYFUNCTION("""COMPUTED_VALUE"""),7.99)</f>
        <v>7.99</v>
      </c>
      <c r="I386" s="21"/>
      <c r="J386" s="21" t="str">
        <f>IFERROR(__xludf.DUMMYFUNCTION("""COMPUTED_VALUE"""),"#CartaoDeCredito #Cicero #Lazer #Fixo ")</f>
        <v>#CartaoDeCredito #Cicero #Lazer #Fixo </v>
      </c>
      <c r="K386" s="216"/>
      <c r="L386" s="216"/>
      <c r="M386" s="216"/>
      <c r="N386" s="216"/>
      <c r="O386" s="216"/>
      <c r="P386" s="216"/>
      <c r="Q386" s="216"/>
    </row>
    <row r="387">
      <c r="A387" s="11" t="str">
        <f>IFERROR(__xludf.DUMMYFUNCTION("""COMPUTED_VALUE"""),"CREDITO")</f>
        <v>CREDITO</v>
      </c>
      <c r="B387" s="98" t="str">
        <f>IFERROR(__xludf.DUMMYFUNCTION("""COMPUTED_VALUE"""),"Prime Video - Paramount+")</f>
        <v>Prime Video - Paramount+</v>
      </c>
      <c r="C387" s="13"/>
      <c r="D387" s="13"/>
      <c r="E387" s="13">
        <f>IFERROR(__xludf.DUMMYFUNCTION("""COMPUTED_VALUE"""),5.0)</f>
        <v>5</v>
      </c>
      <c r="F387" s="15">
        <f>IFERROR(__xludf.DUMMYFUNCTION("""COMPUTED_VALUE"""),44304.0)</f>
        <v>44304</v>
      </c>
      <c r="G387" s="16"/>
      <c r="H387" s="227">
        <f>IFERROR(__xludf.DUMMYFUNCTION("""COMPUTED_VALUE"""),19.9)</f>
        <v>19.9</v>
      </c>
      <c r="I387" s="21"/>
      <c r="J387" s="21" t="str">
        <f>IFERROR(__xludf.DUMMYFUNCTION("""COMPUTED_VALUE"""),"#CartaoDeCredito #Cicero #Lazer #Roberta #Fixo ")</f>
        <v>#CartaoDeCredito #Cicero #Lazer #Roberta #Fixo </v>
      </c>
      <c r="K387" s="216"/>
      <c r="L387" s="216"/>
      <c r="M387" s="216"/>
      <c r="N387" s="216"/>
      <c r="O387" s="216"/>
      <c r="P387" s="216"/>
      <c r="Q387" s="216"/>
    </row>
    <row r="388">
      <c r="A388" s="11" t="str">
        <f>IFERROR(__xludf.DUMMYFUNCTION("""COMPUTED_VALUE"""),"CREDITO")</f>
        <v>CREDITO</v>
      </c>
      <c r="B388" s="98" t="str">
        <f>IFERROR(__xludf.DUMMYFUNCTION("""COMPUTED_VALUE"""),"Prime Video - Reembolso proporcional ao cancelamento")</f>
        <v>Prime Video - Reembolso proporcional ao cancelamento</v>
      </c>
      <c r="C388" s="13"/>
      <c r="D388" s="13"/>
      <c r="E388" s="13">
        <f>IFERROR(__xludf.DUMMYFUNCTION("""COMPUTED_VALUE"""),5.0)</f>
        <v>5</v>
      </c>
      <c r="F388" s="15">
        <f>IFERROR(__xludf.DUMMYFUNCTION("""COMPUTED_VALUE"""),44304.0)</f>
        <v>44304</v>
      </c>
      <c r="G388" s="16"/>
      <c r="H388" s="227">
        <f>IFERROR(__xludf.DUMMYFUNCTION("""COMPUTED_VALUE"""),-7.92)</f>
        <v>-7.92</v>
      </c>
      <c r="I388" s="21"/>
      <c r="J388" s="21" t="str">
        <f>IFERROR(__xludf.DUMMYFUNCTION("""COMPUTED_VALUE"""),"#CartaoDeCredito #Cicero #Streaming #Fixo ")</f>
        <v>#CartaoDeCredito #Cicero #Streaming #Fixo </v>
      </c>
      <c r="K388" s="216"/>
      <c r="L388" s="216"/>
      <c r="M388" s="216"/>
      <c r="N388" s="216"/>
      <c r="O388" s="216"/>
      <c r="P388" s="216"/>
      <c r="Q388" s="216"/>
    </row>
    <row r="389">
      <c r="A389" s="11" t="str">
        <f>IFERROR(__xludf.DUMMYFUNCTION("""COMPUTED_VALUE"""),"CREDITO")</f>
        <v>CREDITO</v>
      </c>
      <c r="B389" s="98" t="str">
        <f>IFERROR(__xludf.DUMMYFUNCTION("""COMPUTED_VALUE"""),"FinClass - Thiago Nigro - Educação financeira (pagamento anual)")</f>
        <v>FinClass - Thiago Nigro - Educação financeira (pagamento anual)</v>
      </c>
      <c r="C389" s="13"/>
      <c r="D389" s="13"/>
      <c r="E389" s="13">
        <f>IFERROR(__xludf.DUMMYFUNCTION("""COMPUTED_VALUE"""),5.0)</f>
        <v>5</v>
      </c>
      <c r="F389" s="15">
        <f>IFERROR(__xludf.DUMMYFUNCTION("""COMPUTED_VALUE"""),44312.0)</f>
        <v>44312</v>
      </c>
      <c r="G389" s="16"/>
      <c r="H389" s="227">
        <f>IFERROR(__xludf.DUMMYFUNCTION("""COMPUTED_VALUE"""),358.8)</f>
        <v>358.8</v>
      </c>
      <c r="I389" s="21"/>
      <c r="J389" s="21" t="str">
        <f>IFERROR(__xludf.DUMMYFUNCTION("""COMPUTED_VALUE"""),"#CartaoDeCredito #Cicero #Investimento #Roberta #Variavel")</f>
        <v>#CartaoDeCredito #Cicero #Investimento #Roberta #Variavel</v>
      </c>
      <c r="K389" s="216"/>
      <c r="L389" s="216"/>
      <c r="M389" s="216"/>
      <c r="N389" s="216"/>
      <c r="O389" s="216"/>
      <c r="P389" s="216"/>
      <c r="Q389" s="216"/>
    </row>
    <row r="390">
      <c r="A390" s="11"/>
      <c r="B390" s="98"/>
      <c r="C390" s="13"/>
      <c r="D390" s="13"/>
      <c r="E390" s="13">
        <f>IFERROR(__xludf.DUMMYFUNCTION("""COMPUTED_VALUE"""),5.0)</f>
        <v>5</v>
      </c>
      <c r="F390" s="15"/>
      <c r="G390" s="16"/>
      <c r="H390" s="227"/>
      <c r="I390" s="21"/>
      <c r="J390" s="21"/>
      <c r="K390" s="216"/>
      <c r="L390" s="216"/>
      <c r="M390" s="216"/>
      <c r="N390" s="216"/>
      <c r="O390" s="216"/>
      <c r="P390" s="216"/>
      <c r="Q390" s="216"/>
    </row>
    <row r="391">
      <c r="A391" s="11" t="str">
        <f>IFERROR(__xludf.DUMMYFUNCTION("""COMPUTED_VALUE"""),"PAGO")</f>
        <v>PAGO</v>
      </c>
      <c r="B391" s="98" t="str">
        <f>IFERROR(__xludf.DUMMYFUNCTION("""COMPUTED_VALUE"""),"Levitar SJC - sorvetes")</f>
        <v>Levitar SJC - sorvetes</v>
      </c>
      <c r="C391" s="13">
        <f>IFERROR(__xludf.DUMMYFUNCTION("""COMPUTED_VALUE"""),1.0)</f>
        <v>1</v>
      </c>
      <c r="D391" s="13" t="str">
        <f>IFERROR(__xludf.DUMMYFUNCTION("""COMPUTED_VALUE"""),"SÁB.")</f>
        <v>SÁB.</v>
      </c>
      <c r="E391" s="13">
        <f>IFERROR(__xludf.DUMMYFUNCTION("""COMPUTED_VALUE"""),5.0)</f>
        <v>5</v>
      </c>
      <c r="F391" s="15"/>
      <c r="G391" s="16"/>
      <c r="H391" s="227">
        <f>IFERROR(__xludf.DUMMYFUNCTION("""COMPUTED_VALUE"""),29.9)</f>
        <v>29.9</v>
      </c>
      <c r="I391" s="21" t="str">
        <f>IFERROR(__xludf.DUMMYFUNCTION("""COMPUTED_VALUE"""),"NUBANK")</f>
        <v>NUBANK</v>
      </c>
      <c r="J391" s="21" t="str">
        <f>IFERROR(__xludf.DUMMYFUNCTION("""COMPUTED_VALUE"""),"#Lazer #Comida #Variavel")</f>
        <v>#Lazer #Comida #Variavel</v>
      </c>
      <c r="K391" s="216"/>
      <c r="L391" s="216"/>
      <c r="M391" s="216"/>
      <c r="N391" s="216"/>
      <c r="O391" s="216"/>
      <c r="P391" s="216"/>
      <c r="Q391" s="216"/>
    </row>
    <row r="392">
      <c r="A392" s="11" t="str">
        <f>IFERROR(__xludf.DUMMYFUNCTION("""COMPUTED_VALUE"""),"PAGO")</f>
        <v>PAGO</v>
      </c>
      <c r="B392" s="98" t="str">
        <f>IFERROR(__xludf.DUMMYFUNCTION("""COMPUTED_VALUE"""),"Shoppe - 10 Pratos novos")</f>
        <v>Shoppe - 10 Pratos novos</v>
      </c>
      <c r="C392" s="13">
        <f>IFERROR(__xludf.DUMMYFUNCTION("""COMPUTED_VALUE"""),2.0)</f>
        <v>2</v>
      </c>
      <c r="D392" s="13" t="str">
        <f>IFERROR(__xludf.DUMMYFUNCTION("""COMPUTED_VALUE"""),"DOM.")</f>
        <v>DOM.</v>
      </c>
      <c r="E392" s="13">
        <f>IFERROR(__xludf.DUMMYFUNCTION("""COMPUTED_VALUE"""),5.0)</f>
        <v>5</v>
      </c>
      <c r="F392" s="15">
        <f>IFERROR(__xludf.DUMMYFUNCTION("""COMPUTED_VALUE"""),44319.0)</f>
        <v>44319</v>
      </c>
      <c r="G392" s="16"/>
      <c r="H392" s="227">
        <f>IFERROR(__xludf.DUMMYFUNCTION("""COMPUTED_VALUE"""),53.19)</f>
        <v>53.19</v>
      </c>
      <c r="I392" s="21" t="str">
        <f>IFERROR(__xludf.DUMMYFUNCTION("""COMPUTED_VALUE"""),"NUBANK")</f>
        <v>NUBANK</v>
      </c>
      <c r="J392" s="21" t="str">
        <f>IFERROR(__xludf.DUMMYFUNCTION("""COMPUTED_VALUE"""),"#Moradia #Cozinha #Variavel")</f>
        <v>#Moradia #Cozinha #Variavel</v>
      </c>
      <c r="K392" s="216"/>
      <c r="L392" s="216"/>
      <c r="M392" s="216"/>
      <c r="N392" s="216"/>
      <c r="O392" s="216"/>
      <c r="P392" s="216"/>
      <c r="Q392" s="216"/>
    </row>
    <row r="393">
      <c r="A393" s="11" t="str">
        <f>IFERROR(__xludf.DUMMYFUNCTION("""COMPUTED_VALUE"""),"PAGO")</f>
        <v>PAGO</v>
      </c>
      <c r="B393" s="98" t="str">
        <f>IFERROR(__xludf.DUMMYFUNCTION("""COMPUTED_VALUE"""),"Agua - DEBITO AUTO")</f>
        <v>Agua - DEBITO AUTO</v>
      </c>
      <c r="C393" s="13">
        <f>IFERROR(__xludf.DUMMYFUNCTION("""COMPUTED_VALUE"""),3.0)</f>
        <v>3</v>
      </c>
      <c r="D393" s="13" t="str">
        <f>IFERROR(__xludf.DUMMYFUNCTION("""COMPUTED_VALUE"""),"SEG.")</f>
        <v>SEG.</v>
      </c>
      <c r="E393" s="13">
        <f>IFERROR(__xludf.DUMMYFUNCTION("""COMPUTED_VALUE"""),5.0)</f>
        <v>5</v>
      </c>
      <c r="F393" s="15"/>
      <c r="G393" s="16"/>
      <c r="H393" s="227">
        <f>IFERROR(__xludf.DUMMYFUNCTION("""COMPUTED_VALUE"""),62.59)</f>
        <v>62.59</v>
      </c>
      <c r="I393" s="21" t="str">
        <f>IFERROR(__xludf.DUMMYFUNCTION("""COMPUTED_VALUE"""),"ITAU")</f>
        <v>ITAU</v>
      </c>
      <c r="J393" s="21" t="str">
        <f>IFERROR(__xludf.DUMMYFUNCTION("""COMPUTED_VALUE"""),"#Moradia #Essencial #Agua #Fixo")</f>
        <v>#Moradia #Essencial #Agua #Fixo</v>
      </c>
      <c r="K393" s="216"/>
      <c r="L393" s="216"/>
      <c r="M393" s="216"/>
      <c r="N393" s="216"/>
      <c r="O393" s="216"/>
      <c r="P393" s="216"/>
      <c r="Q393" s="216"/>
    </row>
    <row r="394">
      <c r="A394" s="11" t="str">
        <f>IFERROR(__xludf.DUMMYFUNCTION("""COMPUTED_VALUE"""),"PAGO")</f>
        <v>PAGO</v>
      </c>
      <c r="B394" s="98" t="str">
        <f>IFERROR(__xludf.DUMMYFUNCTION("""COMPUTED_VALUE"""),"Coaching / Psicologa - Candice Oliveira")</f>
        <v>Coaching / Psicologa - Candice Oliveira</v>
      </c>
      <c r="C394" s="13">
        <f>IFERROR(__xludf.DUMMYFUNCTION("""COMPUTED_VALUE"""),3.0)</f>
        <v>3</v>
      </c>
      <c r="D394" s="13" t="str">
        <f>IFERROR(__xludf.DUMMYFUNCTION("""COMPUTED_VALUE"""),"SEG.")</f>
        <v>SEG.</v>
      </c>
      <c r="E394" s="13">
        <f>IFERROR(__xludf.DUMMYFUNCTION("""COMPUTED_VALUE"""),5.0)</f>
        <v>5</v>
      </c>
      <c r="F394" s="15"/>
      <c r="G394" s="16"/>
      <c r="H394" s="227">
        <f>IFERROR(__xludf.DUMMYFUNCTION("""COMPUTED_VALUE"""),100.0)</f>
        <v>100</v>
      </c>
      <c r="I394" s="21" t="str">
        <f>IFERROR(__xludf.DUMMYFUNCTION("""COMPUTED_VALUE"""),"NUBANK")</f>
        <v>NUBANK</v>
      </c>
      <c r="J394" s="21" t="str">
        <f>IFERROR(__xludf.DUMMYFUNCTION("""COMPUTED_VALUE"""),"#Coaching #Fixo")</f>
        <v>#Coaching #Fixo</v>
      </c>
      <c r="K394" s="216"/>
      <c r="L394" s="216"/>
      <c r="M394" s="216"/>
      <c r="N394" s="216"/>
      <c r="O394" s="216"/>
      <c r="P394" s="216"/>
      <c r="Q394" s="216"/>
    </row>
    <row r="395">
      <c r="A395" s="11" t="str">
        <f>IFERROR(__xludf.DUMMYFUNCTION("""COMPUTED_VALUE"""),"PAGO")</f>
        <v>PAGO</v>
      </c>
      <c r="B395" s="98" t="str">
        <f>IFERROR(__xludf.DUMMYFUNCTION("""COMPUTED_VALUE"""),"Resgate reserva de emergencia")</f>
        <v>Resgate reserva de emergencia</v>
      </c>
      <c r="C395" s="13">
        <f>IFERROR(__xludf.DUMMYFUNCTION("""COMPUTED_VALUE"""),4.0)</f>
        <v>4</v>
      </c>
      <c r="D395" s="13" t="str">
        <f>IFERROR(__xludf.DUMMYFUNCTION("""COMPUTED_VALUE"""),"TER.")</f>
        <v>TER.</v>
      </c>
      <c r="E395" s="13">
        <f>IFERROR(__xludf.DUMMYFUNCTION("""COMPUTED_VALUE"""),5.0)</f>
        <v>5</v>
      </c>
      <c r="F395" s="15"/>
      <c r="G395" s="16">
        <f>IFERROR(__xludf.DUMMYFUNCTION("""COMPUTED_VALUE"""),328.5)</f>
        <v>328.5</v>
      </c>
      <c r="H395" s="227"/>
      <c r="I395" s="21" t="str">
        <f>IFERROR(__xludf.DUMMYFUNCTION("""COMPUTED_VALUE"""),"NUBANK")</f>
        <v>NUBANK</v>
      </c>
      <c r="J395" s="21" t="str">
        <f>IFERROR(__xludf.DUMMYFUNCTION("""COMPUTED_VALUE"""),"#Resgate #Nubank #Variavel #Obras #Itaquera")</f>
        <v>#Resgate #Nubank #Variavel #Obras #Itaquera</v>
      </c>
      <c r="K395" s="216"/>
      <c r="L395" s="216"/>
      <c r="M395" s="216"/>
      <c r="N395" s="216"/>
      <c r="O395" s="216"/>
      <c r="P395" s="216"/>
      <c r="Q395" s="216"/>
    </row>
    <row r="396">
      <c r="A396" s="11" t="str">
        <f>IFERROR(__xludf.DUMMYFUNCTION("""COMPUTED_VALUE"""),"PAGO")</f>
        <v>PAGO</v>
      </c>
      <c r="B396" s="98" t="str">
        <f>IFERROR(__xludf.DUMMYFUNCTION("""COMPUTED_VALUE"""),"Obras em Itaquera para alugar a casa")</f>
        <v>Obras em Itaquera para alugar a casa</v>
      </c>
      <c r="C396" s="13">
        <f>IFERROR(__xludf.DUMMYFUNCTION("""COMPUTED_VALUE"""),4.0)</f>
        <v>4</v>
      </c>
      <c r="D396" s="13" t="str">
        <f>IFERROR(__xludf.DUMMYFUNCTION("""COMPUTED_VALUE"""),"TER.")</f>
        <v>TER.</v>
      </c>
      <c r="E396" s="13">
        <f>IFERROR(__xludf.DUMMYFUNCTION("""COMPUTED_VALUE"""),5.0)</f>
        <v>5</v>
      </c>
      <c r="F396" s="15"/>
      <c r="G396" s="16"/>
      <c r="H396" s="227">
        <f>IFERROR(__xludf.DUMMYFUNCTION("""COMPUTED_VALUE"""),328.5)</f>
        <v>328.5</v>
      </c>
      <c r="I396" s="21" t="str">
        <f>IFERROR(__xludf.DUMMYFUNCTION("""COMPUTED_VALUE"""),"NUBANK")</f>
        <v>NUBANK</v>
      </c>
      <c r="J396" s="21" t="str">
        <f>IFERROR(__xludf.DUMMYFUNCTION("""COMPUTED_VALUE"""),"#Variavel #Obras #Itaquera")</f>
        <v>#Variavel #Obras #Itaquera</v>
      </c>
      <c r="K396" s="216"/>
      <c r="L396" s="216"/>
      <c r="M396" s="216"/>
      <c r="N396" s="216"/>
      <c r="O396" s="216"/>
      <c r="P396" s="216"/>
      <c r="Q396" s="216"/>
    </row>
    <row r="397">
      <c r="A397" s="11" t="str">
        <f>IFERROR(__xludf.DUMMYFUNCTION("""COMPUTED_VALUE"""),"PAGO")</f>
        <v>PAGO</v>
      </c>
      <c r="B397" s="98" t="str">
        <f>IFERROR(__xludf.DUMMYFUNCTION("""COMPUTED_VALUE"""),"Shibata")</f>
        <v>Shibata</v>
      </c>
      <c r="C397" s="13">
        <f>IFERROR(__xludf.DUMMYFUNCTION("""COMPUTED_VALUE"""),4.0)</f>
        <v>4</v>
      </c>
      <c r="D397" s="13" t="str">
        <f>IFERROR(__xludf.DUMMYFUNCTION("""COMPUTED_VALUE"""),"TER.")</f>
        <v>TER.</v>
      </c>
      <c r="E397" s="13">
        <f>IFERROR(__xludf.DUMMYFUNCTION("""COMPUTED_VALUE"""),5.0)</f>
        <v>5</v>
      </c>
      <c r="F397" s="15"/>
      <c r="G397" s="16"/>
      <c r="H397" s="227">
        <f>IFERROR(__xludf.DUMMYFUNCTION("""COMPUTED_VALUE"""),330.01)</f>
        <v>330.01</v>
      </c>
      <c r="I397" s="21" t="str">
        <f>IFERROR(__xludf.DUMMYFUNCTION("""COMPUTED_VALUE"""),"SODEXO-REF-IBM")</f>
        <v>SODEXO-REF-IBM</v>
      </c>
      <c r="J397" s="21" t="str">
        <f>IFERROR(__xludf.DUMMYFUNCTION("""COMPUTED_VALUE"""),"#Moradia #Essencial #Mercado #Variavel #Alimentação ")</f>
        <v>#Moradia #Essencial #Mercado #Variavel #Alimentação </v>
      </c>
      <c r="K397" s="216"/>
      <c r="L397" s="216"/>
      <c r="M397" s="216"/>
      <c r="N397" s="216"/>
      <c r="O397" s="216"/>
      <c r="P397" s="216"/>
      <c r="Q397" s="216"/>
    </row>
    <row r="398">
      <c r="A398" s="11" t="str">
        <f>IFERROR(__xludf.DUMMYFUNCTION("""COMPUTED_VALUE"""),"PAGO")</f>
        <v>PAGO</v>
      </c>
      <c r="B398" s="98" t="str">
        <f>IFERROR(__xludf.DUMMYFUNCTION("""COMPUTED_VALUE"""),"Mercado Livre - 2 Sonoff")</f>
        <v>Mercado Livre - 2 Sonoff</v>
      </c>
      <c r="C398" s="13">
        <f>IFERROR(__xludf.DUMMYFUNCTION("""COMPUTED_VALUE"""),6.0)</f>
        <v>6</v>
      </c>
      <c r="D398" s="13" t="str">
        <f>IFERROR(__xludf.DUMMYFUNCTION("""COMPUTED_VALUE"""),"QUI.")</f>
        <v>QUI.</v>
      </c>
      <c r="E398" s="13">
        <f>IFERROR(__xludf.DUMMYFUNCTION("""COMPUTED_VALUE"""),5.0)</f>
        <v>5</v>
      </c>
      <c r="F398" s="15"/>
      <c r="G398" s="16"/>
      <c r="H398" s="227">
        <f>IFERROR(__xludf.DUMMYFUNCTION("""COMPUTED_VALUE"""),127.22)</f>
        <v>127.22</v>
      </c>
      <c r="I398" s="21" t="str">
        <f>IFERROR(__xludf.DUMMYFUNCTION("""COMPUTED_VALUE"""),"NUBANK")</f>
        <v>NUBANK</v>
      </c>
      <c r="J398" s="21" t="str">
        <f>IFERROR(__xludf.DUMMYFUNCTION("""COMPUTED_VALUE"""),"#Lazer #Cicero #Variavel")</f>
        <v>#Lazer #Cicero #Variavel</v>
      </c>
      <c r="K398" s="216"/>
      <c r="L398" s="216"/>
      <c r="M398" s="216"/>
      <c r="N398" s="216"/>
      <c r="O398" s="216"/>
      <c r="P398" s="216"/>
      <c r="Q398" s="216"/>
    </row>
    <row r="399">
      <c r="A399" s="11" t="str">
        <f>IFERROR(__xludf.DUMMYFUNCTION("""COMPUTED_VALUE"""),"PAGO")</f>
        <v>PAGO</v>
      </c>
      <c r="B399" s="98" t="str">
        <f>IFERROR(__xludf.DUMMYFUNCTION("""COMPUTED_VALUE"""),"Multi Sabor SJC - Cidade Jardim")</f>
        <v>Multi Sabor SJC - Cidade Jardim</v>
      </c>
      <c r="C399" s="13">
        <f>IFERROR(__xludf.DUMMYFUNCTION("""COMPUTED_VALUE"""),7.0)</f>
        <v>7</v>
      </c>
      <c r="D399" s="13" t="str">
        <f>IFERROR(__xludf.DUMMYFUNCTION("""COMPUTED_VALUE"""),"SEX.")</f>
        <v>SEX.</v>
      </c>
      <c r="E399" s="13">
        <f>IFERROR(__xludf.DUMMYFUNCTION("""COMPUTED_VALUE"""),5.0)</f>
        <v>5</v>
      </c>
      <c r="F399" s="15"/>
      <c r="G399" s="16"/>
      <c r="H399" s="227">
        <f>IFERROR(__xludf.DUMMYFUNCTION("""COMPUTED_VALUE"""),33.0)</f>
        <v>33</v>
      </c>
      <c r="I399" s="21" t="str">
        <f>IFERROR(__xludf.DUMMYFUNCTION("""COMPUTED_VALUE"""),"NUBANK")</f>
        <v>NUBANK</v>
      </c>
      <c r="J399" s="21" t="str">
        <f>IFERROR(__xludf.DUMMYFUNCTION("""COMPUTED_VALUE"""),"#Lazer #Comida #Variavel")</f>
        <v>#Lazer #Comida #Variavel</v>
      </c>
      <c r="K399" s="216"/>
      <c r="L399" s="216"/>
      <c r="M399" s="216"/>
      <c r="N399" s="216"/>
      <c r="O399" s="216"/>
      <c r="P399" s="216"/>
      <c r="Q399" s="216"/>
    </row>
    <row r="400">
      <c r="A400" s="11" t="str">
        <f>IFERROR(__xludf.DUMMYFUNCTION("""COMPUTED_VALUE"""),"PAGO")</f>
        <v>PAGO</v>
      </c>
      <c r="B400" s="98" t="str">
        <f>IFERROR(__xludf.DUMMYFUNCTION("""COMPUTED_VALUE"""),"Rendimento")</f>
        <v>Rendimento</v>
      </c>
      <c r="C400" s="13">
        <f>IFERROR(__xludf.DUMMYFUNCTION("""COMPUTED_VALUE"""),8.0)</f>
        <v>8</v>
      </c>
      <c r="D400" s="13" t="str">
        <f>IFERROR(__xludf.DUMMYFUNCTION("""COMPUTED_VALUE"""),"SÁB.")</f>
        <v>SÁB.</v>
      </c>
      <c r="E400" s="13">
        <f>IFERROR(__xludf.DUMMYFUNCTION("""COMPUTED_VALUE"""),5.0)</f>
        <v>5</v>
      </c>
      <c r="F400" s="15"/>
      <c r="G400" s="16">
        <f>IFERROR(__xludf.DUMMYFUNCTION("""COMPUTED_VALUE"""),3.37)</f>
        <v>3.37</v>
      </c>
      <c r="H400" s="227"/>
      <c r="I400" s="21" t="str">
        <f>IFERROR(__xludf.DUMMYFUNCTION("""COMPUTED_VALUE"""),"NUBANK")</f>
        <v>NUBANK</v>
      </c>
      <c r="J400" s="21" t="str">
        <f>IFERROR(__xludf.DUMMYFUNCTION("""COMPUTED_VALUE"""),"#Recebimentos #Rendimentos #Variavel")</f>
        <v>#Recebimentos #Rendimentos #Variavel</v>
      </c>
      <c r="K400" s="216"/>
      <c r="L400" s="216"/>
      <c r="M400" s="216"/>
      <c r="N400" s="216"/>
      <c r="O400" s="216"/>
      <c r="P400" s="216"/>
      <c r="Q400" s="216"/>
    </row>
    <row r="401">
      <c r="A401" s="11" t="str">
        <f>IFERROR(__xludf.DUMMYFUNCTION("""COMPUTED_VALUE"""),"PAGO")</f>
        <v>PAGO</v>
      </c>
      <c r="B401" s="98" t="str">
        <f>IFERROR(__xludf.DUMMYFUNCTION("""COMPUTED_VALUE"""),"Cartao Roberta")</f>
        <v>Cartao Roberta</v>
      </c>
      <c r="C401" s="13">
        <f>IFERROR(__xludf.DUMMYFUNCTION("""COMPUTED_VALUE"""),8.0)</f>
        <v>8</v>
      </c>
      <c r="D401" s="13" t="str">
        <f>IFERROR(__xludf.DUMMYFUNCTION("""COMPUTED_VALUE"""),"SÁB.")</f>
        <v>SÁB.</v>
      </c>
      <c r="E401" s="13">
        <f>IFERROR(__xludf.DUMMYFUNCTION("""COMPUTED_VALUE"""),5.0)</f>
        <v>5</v>
      </c>
      <c r="F401" s="15">
        <f>IFERROR(__xludf.DUMMYFUNCTION("""COMPUTED_VALUE"""),44319.0)</f>
        <v>44319</v>
      </c>
      <c r="G401" s="16"/>
      <c r="H401" s="227">
        <f>IFERROR(__xludf.DUMMYFUNCTION("""COMPUTED_VALUE"""),188.07999999999998)</f>
        <v>188.08</v>
      </c>
      <c r="I401" s="21" t="str">
        <f>IFERROR(__xludf.DUMMYFUNCTION("""COMPUTED_VALUE"""),"NUBANK")</f>
        <v>NUBANK</v>
      </c>
      <c r="J401" s="21"/>
      <c r="K401" s="216"/>
      <c r="L401" s="216"/>
      <c r="M401" s="216"/>
      <c r="N401" s="216"/>
      <c r="O401" s="216"/>
      <c r="P401" s="216"/>
      <c r="Q401" s="216"/>
    </row>
    <row r="402">
      <c r="A402" s="11" t="str">
        <f>IFERROR(__xludf.DUMMYFUNCTION("""COMPUTED_VALUE"""),"CREDITO")</f>
        <v>CREDITO</v>
      </c>
      <c r="B402" s="98" t="str">
        <f>IFERROR(__xludf.DUMMYFUNCTION("""COMPUTED_VALUE"""),"SPITI DIVERSOS .SAO PAULO")</f>
        <v>SPITI DIVERSOS .SAO PAULO</v>
      </c>
      <c r="C402" s="13"/>
      <c r="D402" s="13"/>
      <c r="E402" s="13">
        <f>IFERROR(__xludf.DUMMYFUNCTION("""COMPUTED_VALUE"""),5.0)</f>
        <v>5</v>
      </c>
      <c r="F402" s="15">
        <f>IFERROR(__xludf.DUMMYFUNCTION("""COMPUTED_VALUE"""),44287.0)</f>
        <v>44287</v>
      </c>
      <c r="G402" s="16"/>
      <c r="H402" s="227">
        <f>IFERROR(__xludf.DUMMYFUNCTION("""COMPUTED_VALUE"""),1.0)</f>
        <v>1</v>
      </c>
      <c r="I402" s="21"/>
      <c r="J402" s="21" t="str">
        <f>IFERROR(__xludf.DUMMYFUNCTION("""COMPUTED_VALUE"""),"#CartaoDeCredito #Roberta #Lazer #Variavel")</f>
        <v>#CartaoDeCredito #Roberta #Lazer #Variavel</v>
      </c>
      <c r="K402" s="216"/>
      <c r="L402" s="216"/>
      <c r="M402" s="216"/>
      <c r="N402" s="216"/>
      <c r="O402" s="216"/>
      <c r="P402" s="216"/>
      <c r="Q402" s="216"/>
    </row>
    <row r="403">
      <c r="A403" s="11" t="str">
        <f>IFERROR(__xludf.DUMMYFUNCTION("""COMPUTED_VALUE"""),"CREDITO")</f>
        <v>CREDITO</v>
      </c>
      <c r="B403" s="98" t="str">
        <f>IFERROR(__xludf.DUMMYFUNCTION("""COMPUTED_VALUE"""),"JEQUITI SAUDE.OSASCO")</f>
        <v>JEQUITI SAUDE.OSASCO</v>
      </c>
      <c r="C403" s="13"/>
      <c r="D403" s="13"/>
      <c r="E403" s="13">
        <f>IFERROR(__xludf.DUMMYFUNCTION("""COMPUTED_VALUE"""),5.0)</f>
        <v>5</v>
      </c>
      <c r="F403" s="15">
        <f>IFERROR(__xludf.DUMMYFUNCTION("""COMPUTED_VALUE"""),44301.0)</f>
        <v>44301</v>
      </c>
      <c r="G403" s="16"/>
      <c r="H403" s="227">
        <f>IFERROR(__xludf.DUMMYFUNCTION("""COMPUTED_VALUE"""),107.25)</f>
        <v>107.25</v>
      </c>
      <c r="I403" s="21"/>
      <c r="J403" s="21" t="str">
        <f>IFERROR(__xludf.DUMMYFUNCTION("""COMPUTED_VALUE"""),"#CartaoDeCredito #Roberta #Variavel")</f>
        <v>#CartaoDeCredito #Roberta #Variavel</v>
      </c>
      <c r="K403" s="216"/>
      <c r="L403" s="216"/>
      <c r="M403" s="216"/>
      <c r="N403" s="216"/>
      <c r="O403" s="216"/>
      <c r="P403" s="216"/>
      <c r="Q403" s="216"/>
    </row>
    <row r="404">
      <c r="A404" s="11" t="str">
        <f>IFERROR(__xludf.DUMMYFUNCTION("""COMPUTED_VALUE"""),"CREDITO")</f>
        <v>CREDITO</v>
      </c>
      <c r="B404" s="98" t="str">
        <f>IFERROR(__xludf.DUMMYFUNCTION("""COMPUTED_VALUE"""),"NETFLIX.COM DIVERSOS .SAO PAULO")</f>
        <v>NETFLIX.COM DIVERSOS .SAO PAULO</v>
      </c>
      <c r="C404" s="13"/>
      <c r="D404" s="13"/>
      <c r="E404" s="13">
        <f>IFERROR(__xludf.DUMMYFUNCTION("""COMPUTED_VALUE"""),5.0)</f>
        <v>5</v>
      </c>
      <c r="F404" s="15">
        <f>IFERROR(__xludf.DUMMYFUNCTION("""COMPUTED_VALUE"""),44307.0)</f>
        <v>44307</v>
      </c>
      <c r="G404" s="16"/>
      <c r="H404" s="227">
        <f>IFERROR(__xludf.DUMMYFUNCTION("""COMPUTED_VALUE"""),32.9)</f>
        <v>32.9</v>
      </c>
      <c r="I404" s="21"/>
      <c r="J404" s="21" t="str">
        <f>IFERROR(__xludf.DUMMYFUNCTION("""COMPUTED_VALUE"""),"#CartaoDeCredito #Roberta #Streaming #Fixo")</f>
        <v>#CartaoDeCredito #Roberta #Streaming #Fixo</v>
      </c>
      <c r="K404" s="216"/>
      <c r="L404" s="216"/>
      <c r="M404" s="216"/>
      <c r="N404" s="216"/>
      <c r="O404" s="216"/>
      <c r="P404" s="216"/>
      <c r="Q404" s="216"/>
    </row>
    <row r="405">
      <c r="A405" s="11" t="str">
        <f>IFERROR(__xludf.DUMMYFUNCTION("""COMPUTED_VALUE"""),"CREDITO")</f>
        <v>CREDITO</v>
      </c>
      <c r="B405" s="98" t="str">
        <f>IFERROR(__xludf.DUMMYFUNCTION("""COMPUTED_VALUE"""),"SEGURO RESIDENCIAL ITAU")</f>
        <v>SEGURO RESIDENCIAL ITAU</v>
      </c>
      <c r="C405" s="13"/>
      <c r="D405" s="13"/>
      <c r="E405" s="13">
        <f>IFERROR(__xludf.DUMMYFUNCTION("""COMPUTED_VALUE"""),5.0)</f>
        <v>5</v>
      </c>
      <c r="F405" s="15">
        <f>IFERROR(__xludf.DUMMYFUNCTION("""COMPUTED_VALUE"""),44305.0)</f>
        <v>44305</v>
      </c>
      <c r="G405" s="16"/>
      <c r="H405" s="227">
        <f>IFERROR(__xludf.DUMMYFUNCTION("""COMPUTED_VALUE"""),13.7)</f>
        <v>13.7</v>
      </c>
      <c r="I405" s="21"/>
      <c r="J405" s="21" t="str">
        <f>IFERROR(__xludf.DUMMYFUNCTION("""COMPUTED_VALUE"""),"#CartaoDeCredito #Roberta #Essencial #Fixo #Moradia")</f>
        <v>#CartaoDeCredito #Roberta #Essencial #Fixo #Moradia</v>
      </c>
      <c r="K405" s="216"/>
      <c r="L405" s="216"/>
      <c r="M405" s="216"/>
      <c r="N405" s="216"/>
      <c r="O405" s="216"/>
      <c r="P405" s="216"/>
      <c r="Q405" s="216"/>
    </row>
    <row r="406">
      <c r="A406" s="11" t="str">
        <f>IFERROR(__xludf.DUMMYFUNCTION("""COMPUTED_VALUE"""),"CREDITO")</f>
        <v>CREDITO</v>
      </c>
      <c r="B406" s="98" t="str">
        <f>IFERROR(__xludf.DUMMYFUNCTION("""COMPUTED_VALUE"""),"EBANX WISH VESTUARIO.CURITIBA")</f>
        <v>EBANX WISH VESTUARIO.CURITIBA</v>
      </c>
      <c r="C406" s="13"/>
      <c r="D406" s="13"/>
      <c r="E406" s="13">
        <f>IFERROR(__xludf.DUMMYFUNCTION("""COMPUTED_VALUE"""),5.0)</f>
        <v>5</v>
      </c>
      <c r="F406" s="15">
        <f>IFERROR(__xludf.DUMMYFUNCTION("""COMPUTED_VALUE"""),44309.0)</f>
        <v>44309</v>
      </c>
      <c r="G406" s="16"/>
      <c r="H406" s="227">
        <f>IFERROR(__xludf.DUMMYFUNCTION("""COMPUTED_VALUE"""),19.29)</f>
        <v>19.29</v>
      </c>
      <c r="I406" s="21"/>
      <c r="J406" s="21" t="str">
        <f>IFERROR(__xludf.DUMMYFUNCTION("""COMPUTED_VALUE"""),"#CartaoDeCredito #Roberta #Lazer #Variavel")</f>
        <v>#CartaoDeCredito #Roberta #Lazer #Variavel</v>
      </c>
      <c r="K406" s="216"/>
      <c r="L406" s="216"/>
      <c r="M406" s="216"/>
      <c r="N406" s="216"/>
      <c r="O406" s="216"/>
      <c r="P406" s="216"/>
      <c r="Q406" s="216"/>
    </row>
    <row r="407">
      <c r="A407" s="11" t="str">
        <f>IFERROR(__xludf.DUMMYFUNCTION("""COMPUTED_VALUE"""),"CREDITO")</f>
        <v>CREDITO</v>
      </c>
      <c r="B407" s="98" t="str">
        <f>IFERROR(__xludf.DUMMYFUNCTION("""COMPUTED_VALUE"""),"ENCARGOS DE ATRASO")</f>
        <v>ENCARGOS DE ATRASO</v>
      </c>
      <c r="C407" s="13"/>
      <c r="D407" s="13"/>
      <c r="E407" s="13">
        <f>IFERROR(__xludf.DUMMYFUNCTION("""COMPUTED_VALUE"""),5.0)</f>
        <v>5</v>
      </c>
      <c r="F407" s="15">
        <f>IFERROR(__xludf.DUMMYFUNCTION("""COMPUTED_VALUE"""),44314.0)</f>
        <v>44314</v>
      </c>
      <c r="G407" s="16"/>
      <c r="H407" s="227">
        <f>IFERROR(__xludf.DUMMYFUNCTION("""COMPUTED_VALUE"""),13.94)</f>
        <v>13.94</v>
      </c>
      <c r="I407" s="21"/>
      <c r="J407" s="21" t="str">
        <f>IFERROR(__xludf.DUMMYFUNCTION("""COMPUTED_VALUE"""),"#CartaoDeCredito #Roberta #Impostos #Variavel")</f>
        <v>#CartaoDeCredito #Roberta #Impostos #Variavel</v>
      </c>
      <c r="K407" s="216"/>
      <c r="L407" s="216"/>
      <c r="M407" s="216"/>
      <c r="N407" s="216"/>
      <c r="O407" s="216"/>
      <c r="P407" s="216"/>
      <c r="Q407" s="216"/>
    </row>
    <row r="408">
      <c r="A408" s="11" t="str">
        <f>IFERROR(__xludf.DUMMYFUNCTION("""COMPUTED_VALUE"""),"PAGO")</f>
        <v>PAGO</v>
      </c>
      <c r="B408" s="98" t="str">
        <f>IFERROR(__xludf.DUMMYFUNCTION("""COMPUTED_VALUE"""),"Convenio Sr. Antonio - São Cristovão")</f>
        <v>Convenio Sr. Antonio - São Cristovão</v>
      </c>
      <c r="C408" s="13">
        <f>IFERROR(__xludf.DUMMYFUNCTION("""COMPUTED_VALUE"""),8.0)</f>
        <v>8</v>
      </c>
      <c r="D408" s="13" t="str">
        <f>IFERROR(__xludf.DUMMYFUNCTION("""COMPUTED_VALUE"""),"SÁB.")</f>
        <v>SÁB.</v>
      </c>
      <c r="E408" s="13">
        <f>IFERROR(__xludf.DUMMYFUNCTION("""COMPUTED_VALUE"""),5.0)</f>
        <v>5</v>
      </c>
      <c r="F408" s="15">
        <f>IFERROR(__xludf.DUMMYFUNCTION("""COMPUTED_VALUE"""),44319.0)</f>
        <v>44319</v>
      </c>
      <c r="G408" s="16"/>
      <c r="H408" s="227">
        <f>IFERROR(__xludf.DUMMYFUNCTION("""COMPUTED_VALUE"""),539.99)</f>
        <v>539.99</v>
      </c>
      <c r="I408" s="21" t="str">
        <f>IFERROR(__xludf.DUMMYFUNCTION("""COMPUTED_VALUE"""),"NUBANK")</f>
        <v>NUBANK</v>
      </c>
      <c r="J408" s="21" t="str">
        <f>IFERROR(__xludf.DUMMYFUNCTION("""COMPUTED_VALUE"""),"#Essencial #Saude #Convenio #Papai #Fixo")</f>
        <v>#Essencial #Saude #Convenio #Papai #Fixo</v>
      </c>
      <c r="K408" s="216"/>
      <c r="L408" s="216"/>
      <c r="M408" s="216"/>
      <c r="N408" s="216"/>
      <c r="O408" s="216"/>
      <c r="P408" s="216"/>
      <c r="Q408" s="216"/>
    </row>
    <row r="409">
      <c r="A409" s="11" t="str">
        <f>IFERROR(__xludf.DUMMYFUNCTION("""COMPUTED_VALUE"""),"PAGO")</f>
        <v>PAGO</v>
      </c>
      <c r="B409" s="98" t="str">
        <f>IFERROR(__xludf.DUMMYFUNCTION("""COMPUTED_VALUE"""),"Fatura VIVOFIBRA INTERNET")</f>
        <v>Fatura VIVOFIBRA INTERNET</v>
      </c>
      <c r="C409" s="13">
        <f>IFERROR(__xludf.DUMMYFUNCTION("""COMPUTED_VALUE"""),8.0)</f>
        <v>8</v>
      </c>
      <c r="D409" s="13" t="str">
        <f>IFERROR(__xludf.DUMMYFUNCTION("""COMPUTED_VALUE"""),"SÁB.")</f>
        <v>SÁB.</v>
      </c>
      <c r="E409" s="13">
        <f>IFERROR(__xludf.DUMMYFUNCTION("""COMPUTED_VALUE"""),5.0)</f>
        <v>5</v>
      </c>
      <c r="F409" s="15">
        <f>IFERROR(__xludf.DUMMYFUNCTION("""COMPUTED_VALUE"""),44319.0)</f>
        <v>44319</v>
      </c>
      <c r="G409" s="16"/>
      <c r="H409" s="227">
        <f>IFERROR(__xludf.DUMMYFUNCTION("""COMPUTED_VALUE"""),151.92)</f>
        <v>151.92</v>
      </c>
      <c r="I409" s="21" t="str">
        <f>IFERROR(__xludf.DUMMYFUNCTION("""COMPUTED_VALUE"""),"NUBANK")</f>
        <v>NUBANK</v>
      </c>
      <c r="J409" s="21" t="str">
        <f>IFERROR(__xludf.DUMMYFUNCTION("""COMPUTED_VALUE"""),"#Essencial #Internet #Fixo ")</f>
        <v>#Essencial #Internet #Fixo </v>
      </c>
      <c r="K409" s="216"/>
      <c r="L409" s="216"/>
      <c r="M409" s="216"/>
      <c r="N409" s="216"/>
      <c r="O409" s="216"/>
      <c r="P409" s="216"/>
      <c r="Q409" s="216"/>
    </row>
    <row r="410">
      <c r="A410" s="11" t="str">
        <f>IFERROR(__xludf.DUMMYFUNCTION("""COMPUTED_VALUE"""),"PAGO")</f>
        <v>PAGO</v>
      </c>
      <c r="B410" s="98" t="str">
        <f>IFERROR(__xludf.DUMMYFUNCTION("""COMPUTED_VALUE"""),"Shibata")</f>
        <v>Shibata</v>
      </c>
      <c r="C410" s="13">
        <f>IFERROR(__xludf.DUMMYFUNCTION("""COMPUTED_VALUE"""),8.0)</f>
        <v>8</v>
      </c>
      <c r="D410" s="13" t="str">
        <f>IFERROR(__xludf.DUMMYFUNCTION("""COMPUTED_VALUE"""),"SÁB.")</f>
        <v>SÁB.</v>
      </c>
      <c r="E410" s="13">
        <f>IFERROR(__xludf.DUMMYFUNCTION("""COMPUTED_VALUE"""),5.0)</f>
        <v>5</v>
      </c>
      <c r="F410" s="15"/>
      <c r="G410" s="16"/>
      <c r="H410" s="227">
        <f>IFERROR(__xludf.DUMMYFUNCTION("""COMPUTED_VALUE"""),70.11)</f>
        <v>70.11</v>
      </c>
      <c r="I410" s="21" t="str">
        <f>IFERROR(__xludf.DUMMYFUNCTION("""COMPUTED_VALUE"""),"SODEXO-REF-IBM")</f>
        <v>SODEXO-REF-IBM</v>
      </c>
      <c r="J410" s="21" t="str">
        <f>IFERROR(__xludf.DUMMYFUNCTION("""COMPUTED_VALUE"""),"#Moradia #Essencial #Mercado #Variavel #Alimentação ")</f>
        <v>#Moradia #Essencial #Mercado #Variavel #Alimentação </v>
      </c>
      <c r="K410" s="216"/>
      <c r="L410" s="216"/>
      <c r="M410" s="216"/>
      <c r="N410" s="216"/>
      <c r="O410" s="216"/>
      <c r="P410" s="216"/>
      <c r="Q410" s="216"/>
    </row>
    <row r="411">
      <c r="A411" s="11" t="str">
        <f>IFERROR(__xludf.DUMMYFUNCTION("""COMPUTED_VALUE"""),"PAGO")</f>
        <v>PAGO</v>
      </c>
      <c r="B411" s="98" t="str">
        <f>IFERROR(__xludf.DUMMYFUNCTION("""COMPUTED_VALUE"""),"Elo Educacional: mensalidade(598,00) + material(137,00)")</f>
        <v>Elo Educacional: mensalidade(598,00) + material(137,00)</v>
      </c>
      <c r="C411" s="13">
        <f>IFERROR(__xludf.DUMMYFUNCTION("""COMPUTED_VALUE"""),9.0)</f>
        <v>9</v>
      </c>
      <c r="D411" s="13" t="str">
        <f>IFERROR(__xludf.DUMMYFUNCTION("""COMPUTED_VALUE"""),"DOM.")</f>
        <v>DOM.</v>
      </c>
      <c r="E411" s="13">
        <f>IFERROR(__xludf.DUMMYFUNCTION("""COMPUTED_VALUE"""),5.0)</f>
        <v>5</v>
      </c>
      <c r="F411" s="15">
        <f>IFERROR(__xludf.DUMMYFUNCTION("""COMPUTED_VALUE"""),44319.0)</f>
        <v>44319</v>
      </c>
      <c r="G411" s="16"/>
      <c r="H411" s="227">
        <f>IFERROR(__xludf.DUMMYFUNCTION("""COMPUTED_VALUE"""),735.0)</f>
        <v>735</v>
      </c>
      <c r="I411" s="21" t="str">
        <f>IFERROR(__xludf.DUMMYFUNCTION("""COMPUTED_VALUE"""),"NUBANK")</f>
        <v>NUBANK</v>
      </c>
      <c r="J411" s="21" t="str">
        <f>IFERROR(__xludf.DUMMYFUNCTION("""COMPUTED_VALUE"""),"#Essencial #Escola #Eduardo #Fixo")</f>
        <v>#Essencial #Escola #Eduardo #Fixo</v>
      </c>
      <c r="K411" s="216"/>
      <c r="L411" s="216"/>
      <c r="M411" s="216"/>
      <c r="N411" s="216"/>
      <c r="O411" s="216"/>
      <c r="P411" s="216"/>
      <c r="Q411" s="216"/>
    </row>
    <row r="412">
      <c r="A412" s="11" t="str">
        <f>IFERROR(__xludf.DUMMYFUNCTION("""COMPUTED_VALUE"""),"PAGO")</f>
        <v>PAGO</v>
      </c>
      <c r="B412" s="98" t="str">
        <f>IFERROR(__xludf.DUMMYFUNCTION("""COMPUTED_VALUE"""),"Convenio Uniodonto")</f>
        <v>Convenio Uniodonto</v>
      </c>
      <c r="C412" s="13">
        <f>IFERROR(__xludf.DUMMYFUNCTION("""COMPUTED_VALUE"""),9.0)</f>
        <v>9</v>
      </c>
      <c r="D412" s="13" t="str">
        <f>IFERROR(__xludf.DUMMYFUNCTION("""COMPUTED_VALUE"""),"DOM.")</f>
        <v>DOM.</v>
      </c>
      <c r="E412" s="13">
        <f>IFERROR(__xludf.DUMMYFUNCTION("""COMPUTED_VALUE"""),5.0)</f>
        <v>5</v>
      </c>
      <c r="F412" s="15">
        <f>IFERROR(__xludf.DUMMYFUNCTION("""COMPUTED_VALUE"""),44319.0)</f>
        <v>44319</v>
      </c>
      <c r="G412" s="16"/>
      <c r="H412" s="227">
        <f>IFERROR(__xludf.DUMMYFUNCTION("""COMPUTED_VALUE"""),102.0)</f>
        <v>102</v>
      </c>
      <c r="I412" s="21" t="str">
        <f>IFERROR(__xludf.DUMMYFUNCTION("""COMPUTED_VALUE"""),"NUBANK")</f>
        <v>NUBANK</v>
      </c>
      <c r="J412" s="21" t="str">
        <f>IFERROR(__xludf.DUMMYFUNCTION("""COMPUTED_VALUE"""),"#Essencial #Saude #Convenio #Familia #Fixo ")</f>
        <v>#Essencial #Saude #Convenio #Familia #Fixo </v>
      </c>
      <c r="K412" s="216"/>
      <c r="L412" s="216"/>
      <c r="M412" s="216"/>
      <c r="N412" s="216"/>
      <c r="O412" s="216"/>
      <c r="P412" s="216"/>
      <c r="Q412" s="216"/>
    </row>
    <row r="413">
      <c r="A413" s="11" t="str">
        <f>IFERROR(__xludf.DUMMYFUNCTION("""COMPUTED_VALUE"""),"PAGO")</f>
        <v>PAGO</v>
      </c>
      <c r="B413" s="98" t="str">
        <f>IFERROR(__xludf.DUMMYFUNCTION("""COMPUTED_VALUE"""),"iFood - Nhoque")</f>
        <v>iFood - Nhoque</v>
      </c>
      <c r="C413" s="13">
        <f>IFERROR(__xludf.DUMMYFUNCTION("""COMPUTED_VALUE"""),10.0)</f>
        <v>10</v>
      </c>
      <c r="D413" s="13" t="str">
        <f>IFERROR(__xludf.DUMMYFUNCTION("""COMPUTED_VALUE"""),"SEG.")</f>
        <v>SEG.</v>
      </c>
      <c r="E413" s="13">
        <f>IFERROR(__xludf.DUMMYFUNCTION("""COMPUTED_VALUE"""),5.0)</f>
        <v>5</v>
      </c>
      <c r="F413" s="15"/>
      <c r="G413" s="16"/>
      <c r="H413" s="227">
        <f>IFERROR(__xludf.DUMMYFUNCTION("""COMPUTED_VALUE"""),24.32)</f>
        <v>24.32</v>
      </c>
      <c r="I413" s="21" t="str">
        <f>IFERROR(__xludf.DUMMYFUNCTION("""COMPUTED_VALUE"""),"NUBANK")</f>
        <v>NUBANK</v>
      </c>
      <c r="J413" s="21" t="str">
        <f>IFERROR(__xludf.DUMMYFUNCTION("""COMPUTED_VALUE"""),"#Lazer #Comida #Variavel")</f>
        <v>#Lazer #Comida #Variavel</v>
      </c>
      <c r="K413" s="216"/>
      <c r="L413" s="216"/>
      <c r="M413" s="216"/>
      <c r="N413" s="216"/>
      <c r="O413" s="216"/>
      <c r="P413" s="216"/>
      <c r="Q413" s="216"/>
    </row>
    <row r="414">
      <c r="A414" s="11" t="str">
        <f>IFERROR(__xludf.DUMMYFUNCTION("""COMPUTED_VALUE"""),"PAGO")</f>
        <v>PAGO</v>
      </c>
      <c r="B414" s="98" t="str">
        <f>IFERROR(__xludf.DUMMYFUNCTION("""COMPUTED_VALUE"""),"Deposito Binance para investimentos em moedas digitais")</f>
        <v>Deposito Binance para investimentos em moedas digitais</v>
      </c>
      <c r="C414" s="13">
        <f>IFERROR(__xludf.DUMMYFUNCTION("""COMPUTED_VALUE"""),10.0)</f>
        <v>10</v>
      </c>
      <c r="D414" s="13" t="str">
        <f>IFERROR(__xludf.DUMMYFUNCTION("""COMPUTED_VALUE"""),"SEG.")</f>
        <v>SEG.</v>
      </c>
      <c r="E414" s="13">
        <f>IFERROR(__xludf.DUMMYFUNCTION("""COMPUTED_VALUE"""),5.0)</f>
        <v>5</v>
      </c>
      <c r="F414" s="15"/>
      <c r="G414" s="16"/>
      <c r="H414" s="227">
        <f>IFERROR(__xludf.DUMMYFUNCTION("""COMPUTED_VALUE"""),30.0)</f>
        <v>30</v>
      </c>
      <c r="I414" s="21" t="str">
        <f>IFERROR(__xludf.DUMMYFUNCTION("""COMPUTED_VALUE"""),"INTER-PJ")</f>
        <v>INTER-PJ</v>
      </c>
      <c r="J414" s="21" t="str">
        <f>IFERROR(__xludf.DUMMYFUNCTION("""COMPUTED_VALUE"""),"#Investimento #Binance #Variavel")</f>
        <v>#Investimento #Binance #Variavel</v>
      </c>
      <c r="K414" s="216"/>
      <c r="L414" s="216"/>
      <c r="M414" s="216"/>
      <c r="N414" s="216"/>
      <c r="O414" s="216"/>
      <c r="P414" s="216"/>
      <c r="Q414" s="216"/>
    </row>
    <row r="415">
      <c r="A415" s="11" t="str">
        <f>IFERROR(__xludf.DUMMYFUNCTION("""COMPUTED_VALUE"""),"PAGO")</f>
        <v>PAGO</v>
      </c>
      <c r="B415" s="98" t="str">
        <f>IFERROR(__xludf.DUMMYFUNCTION("""COMPUTED_VALUE"""),"Resgate reserva de emergencia")</f>
        <v>Resgate reserva de emergencia</v>
      </c>
      <c r="C415" s="13">
        <f>IFERROR(__xludf.DUMMYFUNCTION("""COMPUTED_VALUE"""),11.0)</f>
        <v>11</v>
      </c>
      <c r="D415" s="13" t="str">
        <f>IFERROR(__xludf.DUMMYFUNCTION("""COMPUTED_VALUE"""),"TER.")</f>
        <v>TER.</v>
      </c>
      <c r="E415" s="13">
        <f>IFERROR(__xludf.DUMMYFUNCTION("""COMPUTED_VALUE"""),5.0)</f>
        <v>5</v>
      </c>
      <c r="F415" s="15"/>
      <c r="G415" s="16">
        <f>IFERROR(__xludf.DUMMYFUNCTION("""COMPUTED_VALUE"""),200.0)</f>
        <v>200</v>
      </c>
      <c r="H415" s="227"/>
      <c r="I415" s="21" t="str">
        <f>IFERROR(__xludf.DUMMYFUNCTION("""COMPUTED_VALUE"""),"NUBANK")</f>
        <v>NUBANK</v>
      </c>
      <c r="J415" s="21" t="str">
        <f>IFERROR(__xludf.DUMMYFUNCTION("""COMPUTED_VALUE"""),"#Resgate #Nubank #Variavel")</f>
        <v>#Resgate #Nubank #Variavel</v>
      </c>
      <c r="K415" s="216"/>
      <c r="L415" s="216"/>
      <c r="M415" s="216"/>
      <c r="N415" s="216"/>
      <c r="O415" s="216"/>
      <c r="P415" s="216"/>
      <c r="Q415" s="216"/>
    </row>
    <row r="416">
      <c r="A416" s="11" t="str">
        <f>IFERROR(__xludf.DUMMYFUNCTION("""COMPUTED_VALUE"""),"PAGO")</f>
        <v>PAGO</v>
      </c>
      <c r="B416" s="98" t="str">
        <f>IFERROR(__xludf.DUMMYFUNCTION("""COMPUTED_VALUE"""),"Coaching / Psicologa - Candice Oliveira")</f>
        <v>Coaching / Psicologa - Candice Oliveira</v>
      </c>
      <c r="C416" s="13">
        <f>IFERROR(__xludf.DUMMYFUNCTION("""COMPUTED_VALUE"""),11.0)</f>
        <v>11</v>
      </c>
      <c r="D416" s="13" t="str">
        <f>IFERROR(__xludf.DUMMYFUNCTION("""COMPUTED_VALUE"""),"TER.")</f>
        <v>TER.</v>
      </c>
      <c r="E416" s="13">
        <f>IFERROR(__xludf.DUMMYFUNCTION("""COMPUTED_VALUE"""),5.0)</f>
        <v>5</v>
      </c>
      <c r="F416" s="15"/>
      <c r="G416" s="16"/>
      <c r="H416" s="227">
        <f>IFERROR(__xludf.DUMMYFUNCTION("""COMPUTED_VALUE"""),100.0)</f>
        <v>100</v>
      </c>
      <c r="I416" s="21" t="str">
        <f>IFERROR(__xludf.DUMMYFUNCTION("""COMPUTED_VALUE"""),"NUBANK")</f>
        <v>NUBANK</v>
      </c>
      <c r="J416" s="21" t="str">
        <f>IFERROR(__xludf.DUMMYFUNCTION("""COMPUTED_VALUE"""),"#Coaching #Fixo")</f>
        <v>#Coaching #Fixo</v>
      </c>
      <c r="K416" s="216"/>
      <c r="L416" s="216"/>
      <c r="M416" s="216"/>
      <c r="N416" s="216"/>
      <c r="O416" s="216"/>
      <c r="P416" s="216"/>
      <c r="Q416" s="216"/>
    </row>
    <row r="417">
      <c r="A417" s="11" t="str">
        <f>IFERROR(__xludf.DUMMYFUNCTION("""COMPUTED_VALUE"""),"PAGO")</f>
        <v>PAGO</v>
      </c>
      <c r="B417" s="98" t="str">
        <f>IFERROR(__xludf.DUMMYFUNCTION("""COMPUTED_VALUE"""),"Salario - IBM")</f>
        <v>Salario - IBM</v>
      </c>
      <c r="C417" s="13">
        <f>IFERROR(__xludf.DUMMYFUNCTION("""COMPUTED_VALUE"""),14.0)</f>
        <v>14</v>
      </c>
      <c r="D417" s="13" t="str">
        <f>IFERROR(__xludf.DUMMYFUNCTION("""COMPUTED_VALUE"""),"SEX.")</f>
        <v>SEX.</v>
      </c>
      <c r="E417" s="13">
        <f>IFERROR(__xludf.DUMMYFUNCTION("""COMPUTED_VALUE"""),5.0)</f>
        <v>5</v>
      </c>
      <c r="F417" s="15"/>
      <c r="G417" s="16">
        <f>IFERROR(__xludf.DUMMYFUNCTION("""COMPUTED_VALUE"""),5000.0)</f>
        <v>5000</v>
      </c>
      <c r="H417" s="227"/>
      <c r="I417" s="21" t="str">
        <f>IFERROR(__xludf.DUMMYFUNCTION("""COMPUTED_VALUE"""),"SANTANDER")</f>
        <v>SANTANDER</v>
      </c>
      <c r="J417" s="21" t="str">
        <f>IFERROR(__xludf.DUMMYFUNCTION("""COMPUTED_VALUE"""),"#Recebimentos #Salario #Fixo")</f>
        <v>#Recebimentos #Salario #Fixo</v>
      </c>
      <c r="K417" s="216"/>
      <c r="L417" s="216"/>
      <c r="M417" s="216"/>
      <c r="N417" s="216"/>
      <c r="O417" s="216"/>
      <c r="P417" s="216"/>
      <c r="Q417" s="216"/>
    </row>
    <row r="418">
      <c r="A418" s="11" t="str">
        <f>IFERROR(__xludf.DUMMYFUNCTION("""COMPUTED_VALUE"""),"CONTAS")</f>
        <v>CONTAS</v>
      </c>
      <c r="B418" s="98" t="str">
        <f>IFERROR(__xludf.DUMMYFUNCTION("""COMPUTED_VALUE"""),"Transferencia via PIX")</f>
        <v>Transferencia via PIX</v>
      </c>
      <c r="C418" s="13">
        <f>IFERROR(__xludf.DUMMYFUNCTION("""COMPUTED_VALUE"""),14.0)</f>
        <v>14</v>
      </c>
      <c r="D418" s="13" t="str">
        <f>IFERROR(__xludf.DUMMYFUNCTION("""COMPUTED_VALUE"""),"SEX.")</f>
        <v>SEX.</v>
      </c>
      <c r="E418" s="13">
        <f>IFERROR(__xludf.DUMMYFUNCTION("""COMPUTED_VALUE"""),5.0)</f>
        <v>5</v>
      </c>
      <c r="F418" s="15"/>
      <c r="G418" s="16"/>
      <c r="H418" s="227">
        <f>IFERROR(__xludf.DUMMYFUNCTION("""COMPUTED_VALUE"""),5000.0)</f>
        <v>5000</v>
      </c>
      <c r="I418" s="21" t="str">
        <f>IFERROR(__xludf.DUMMYFUNCTION("""COMPUTED_VALUE"""),"SANTANDER")</f>
        <v>SANTANDER</v>
      </c>
      <c r="J418" s="21"/>
      <c r="K418" s="216"/>
      <c r="L418" s="216"/>
      <c r="M418" s="216"/>
      <c r="N418" s="216"/>
      <c r="O418" s="216"/>
      <c r="P418" s="216"/>
      <c r="Q418" s="216"/>
    </row>
    <row r="419">
      <c r="A419" s="11" t="str">
        <f>IFERROR(__xludf.DUMMYFUNCTION("""COMPUTED_VALUE"""),"CONTAS")</f>
        <v>CONTAS</v>
      </c>
      <c r="B419" s="98" t="str">
        <f>IFERROR(__xludf.DUMMYFUNCTION("""COMPUTED_VALUE"""),"Recebimento via PIX")</f>
        <v>Recebimento via PIX</v>
      </c>
      <c r="C419" s="13">
        <f>IFERROR(__xludf.DUMMYFUNCTION("""COMPUTED_VALUE"""),14.0)</f>
        <v>14</v>
      </c>
      <c r="D419" s="13" t="str">
        <f>IFERROR(__xludf.DUMMYFUNCTION("""COMPUTED_VALUE"""),"SEX.")</f>
        <v>SEX.</v>
      </c>
      <c r="E419" s="13">
        <f>IFERROR(__xludf.DUMMYFUNCTION("""COMPUTED_VALUE"""),5.0)</f>
        <v>5</v>
      </c>
      <c r="F419" s="15"/>
      <c r="G419" s="16">
        <f>IFERROR(__xludf.DUMMYFUNCTION("""COMPUTED_VALUE"""),5000.0)</f>
        <v>5000</v>
      </c>
      <c r="H419" s="227"/>
      <c r="I419" s="21" t="str">
        <f>IFERROR(__xludf.DUMMYFUNCTION("""COMPUTED_VALUE"""),"NUBANK")</f>
        <v>NUBANK</v>
      </c>
      <c r="J419" s="21"/>
      <c r="K419" s="216"/>
      <c r="L419" s="216"/>
      <c r="M419" s="216"/>
      <c r="N419" s="216"/>
      <c r="O419" s="216"/>
      <c r="P419" s="216"/>
      <c r="Q419" s="216"/>
    </row>
    <row r="420">
      <c r="A420" s="11" t="str">
        <f>IFERROR(__xludf.DUMMYFUNCTION("""COMPUTED_VALUE"""),"PAGO")</f>
        <v>PAGO</v>
      </c>
      <c r="B420" s="98" t="str">
        <f>IFERROR(__xludf.DUMMYFUNCTION("""COMPUTED_VALUE"""),"Transferi para investimento - Nubank")</f>
        <v>Transferi para investimento - Nubank</v>
      </c>
      <c r="C420" s="13">
        <f>IFERROR(__xludf.DUMMYFUNCTION("""COMPUTED_VALUE"""),14.0)</f>
        <v>14</v>
      </c>
      <c r="D420" s="13" t="str">
        <f>IFERROR(__xludf.DUMMYFUNCTION("""COMPUTED_VALUE"""),"SEX.")</f>
        <v>SEX.</v>
      </c>
      <c r="E420" s="13">
        <f>IFERROR(__xludf.DUMMYFUNCTION("""COMPUTED_VALUE"""),5.0)</f>
        <v>5</v>
      </c>
      <c r="F420" s="15"/>
      <c r="G420" s="16"/>
      <c r="H420" s="227">
        <f>IFERROR(__xludf.DUMMYFUNCTION("""COMPUTED_VALUE"""),528.5)</f>
        <v>528.5</v>
      </c>
      <c r="I420" s="21" t="str">
        <f>IFERROR(__xludf.DUMMYFUNCTION("""COMPUTED_VALUE"""),"NUBANK")</f>
        <v>NUBANK</v>
      </c>
      <c r="J420" s="21" t="str">
        <f>IFERROR(__xludf.DUMMYFUNCTION("""COMPUTED_VALUE"""),"#Transferencia #Investimento #Variavel #Nubank")</f>
        <v>#Transferencia #Investimento #Variavel #Nubank</v>
      </c>
      <c r="K420" s="216"/>
      <c r="L420" s="216"/>
      <c r="M420" s="216"/>
      <c r="N420" s="216"/>
      <c r="O420" s="216"/>
      <c r="P420" s="216"/>
      <c r="Q420" s="216"/>
    </row>
    <row r="421">
      <c r="A421" s="11" t="str">
        <f>IFERROR(__xludf.DUMMYFUNCTION("""COMPUTED_VALUE"""),"PAGO")</f>
        <v>PAGO</v>
      </c>
      <c r="B421" s="98" t="str">
        <f>IFERROR(__xludf.DUMMYFUNCTION("""COMPUTED_VALUE"""),"iFood - Habibs - Espihas e Pasteis")</f>
        <v>iFood - Habibs - Espihas e Pasteis</v>
      </c>
      <c r="C421" s="13">
        <f>IFERROR(__xludf.DUMMYFUNCTION("""COMPUTED_VALUE"""),14.0)</f>
        <v>14</v>
      </c>
      <c r="D421" s="13" t="str">
        <f>IFERROR(__xludf.DUMMYFUNCTION("""COMPUTED_VALUE"""),"SEX.")</f>
        <v>SEX.</v>
      </c>
      <c r="E421" s="13">
        <f>IFERROR(__xludf.DUMMYFUNCTION("""COMPUTED_VALUE"""),5.0)</f>
        <v>5</v>
      </c>
      <c r="F421" s="15"/>
      <c r="G421" s="16"/>
      <c r="H421" s="227">
        <f>IFERROR(__xludf.DUMMYFUNCTION("""COMPUTED_VALUE"""),50.9)</f>
        <v>50.9</v>
      </c>
      <c r="I421" s="21" t="str">
        <f>IFERROR(__xludf.DUMMYFUNCTION("""COMPUTED_VALUE"""),"SODEXO-REF-IBM")</f>
        <v>SODEXO-REF-IBM</v>
      </c>
      <c r="J421" s="21" t="str">
        <f>IFERROR(__xludf.DUMMYFUNCTION("""COMPUTED_VALUE"""),"#Lazer #Comida #Variavel")</f>
        <v>#Lazer #Comida #Variavel</v>
      </c>
      <c r="K421" s="216"/>
      <c r="L421" s="216"/>
      <c r="M421" s="216"/>
      <c r="N421" s="216"/>
      <c r="O421" s="216"/>
      <c r="P421" s="216"/>
      <c r="Q421" s="216"/>
    </row>
    <row r="422">
      <c r="A422" s="11" t="str">
        <f>IFERROR(__xludf.DUMMYFUNCTION("""COMPUTED_VALUE"""),"PAGO")</f>
        <v>PAGO</v>
      </c>
      <c r="B422" s="98" t="str">
        <f>IFERROR(__xludf.DUMMYFUNCTION("""COMPUTED_VALUE"""),"Convenio Carlos")</f>
        <v>Convenio Carlos</v>
      </c>
      <c r="C422" s="13">
        <f>IFERROR(__xludf.DUMMYFUNCTION("""COMPUTED_VALUE"""),15.0)</f>
        <v>15</v>
      </c>
      <c r="D422" s="13" t="str">
        <f>IFERROR(__xludf.DUMMYFUNCTION("""COMPUTED_VALUE"""),"SÁB.")</f>
        <v>SÁB.</v>
      </c>
      <c r="E422" s="13">
        <f>IFERROR(__xludf.DUMMYFUNCTION("""COMPUTED_VALUE"""),5.0)</f>
        <v>5</v>
      </c>
      <c r="F422" s="15">
        <f>IFERROR(__xludf.DUMMYFUNCTION("""COMPUTED_VALUE"""),44319.0)</f>
        <v>44319</v>
      </c>
      <c r="G422" s="16"/>
      <c r="H422" s="227">
        <f>IFERROR(__xludf.DUMMYFUNCTION("""COMPUTED_VALUE"""),208.7)</f>
        <v>208.7</v>
      </c>
      <c r="I422" s="21" t="str">
        <f>IFERROR(__xludf.DUMMYFUNCTION("""COMPUTED_VALUE"""),"NUBANK")</f>
        <v>NUBANK</v>
      </c>
      <c r="J422" s="21" t="str">
        <f>IFERROR(__xludf.DUMMYFUNCTION("""COMPUTED_VALUE"""),"#Essencial #Saude #Convenio #Familia #Fixo ")</f>
        <v>#Essencial #Saude #Convenio #Familia #Fixo </v>
      </c>
      <c r="K422" s="216"/>
      <c r="L422" s="216"/>
      <c r="M422" s="216"/>
      <c r="N422" s="216"/>
      <c r="O422" s="216"/>
      <c r="P422" s="216"/>
      <c r="Q422" s="216"/>
    </row>
    <row r="423">
      <c r="A423" s="11" t="str">
        <f>IFERROR(__xludf.DUMMYFUNCTION("""COMPUTED_VALUE"""),"PAGO")</f>
        <v>PAGO</v>
      </c>
      <c r="B423" s="98" t="str">
        <f>IFERROR(__xludf.DUMMYFUNCTION("""COMPUTED_VALUE"""),"Convenio Eduardo")</f>
        <v>Convenio Eduardo</v>
      </c>
      <c r="C423" s="13">
        <f>IFERROR(__xludf.DUMMYFUNCTION("""COMPUTED_VALUE"""),15.0)</f>
        <v>15</v>
      </c>
      <c r="D423" s="13" t="str">
        <f>IFERROR(__xludf.DUMMYFUNCTION("""COMPUTED_VALUE"""),"SÁB.")</f>
        <v>SÁB.</v>
      </c>
      <c r="E423" s="13">
        <f>IFERROR(__xludf.DUMMYFUNCTION("""COMPUTED_VALUE"""),5.0)</f>
        <v>5</v>
      </c>
      <c r="F423" s="15">
        <f>IFERROR(__xludf.DUMMYFUNCTION("""COMPUTED_VALUE"""),44319.0)</f>
        <v>44319</v>
      </c>
      <c r="G423" s="16"/>
      <c r="H423" s="227">
        <f>IFERROR(__xludf.DUMMYFUNCTION("""COMPUTED_VALUE"""),208.7)</f>
        <v>208.7</v>
      </c>
      <c r="I423" s="21" t="str">
        <f>IFERROR(__xludf.DUMMYFUNCTION("""COMPUTED_VALUE"""),"NUBANK")</f>
        <v>NUBANK</v>
      </c>
      <c r="J423" s="21" t="str">
        <f>IFERROR(__xludf.DUMMYFUNCTION("""COMPUTED_VALUE"""),"#Essencial #Saude #Convenio #Familia #Fixo ")</f>
        <v>#Essencial #Saude #Convenio #Familia #Fixo </v>
      </c>
      <c r="K423" s="216"/>
      <c r="L423" s="216"/>
      <c r="M423" s="216"/>
      <c r="N423" s="216"/>
      <c r="O423" s="216"/>
      <c r="P423" s="216"/>
      <c r="Q423" s="216"/>
    </row>
    <row r="424">
      <c r="A424" s="11" t="str">
        <f>IFERROR(__xludf.DUMMYFUNCTION("""COMPUTED_VALUE"""),"PAGO")</f>
        <v>PAGO</v>
      </c>
      <c r="B424" s="98" t="str">
        <f>IFERROR(__xludf.DUMMYFUNCTION("""COMPUTED_VALUE"""),"Convenio Roberta")</f>
        <v>Convenio Roberta</v>
      </c>
      <c r="C424" s="13">
        <f>IFERROR(__xludf.DUMMYFUNCTION("""COMPUTED_VALUE"""),15.0)</f>
        <v>15</v>
      </c>
      <c r="D424" s="13" t="str">
        <f>IFERROR(__xludf.DUMMYFUNCTION("""COMPUTED_VALUE"""),"SÁB.")</f>
        <v>SÁB.</v>
      </c>
      <c r="E424" s="13">
        <f>IFERROR(__xludf.DUMMYFUNCTION("""COMPUTED_VALUE"""),5.0)</f>
        <v>5</v>
      </c>
      <c r="F424" s="15">
        <f>IFERROR(__xludf.DUMMYFUNCTION("""COMPUTED_VALUE"""),44319.0)</f>
        <v>44319</v>
      </c>
      <c r="G424" s="16"/>
      <c r="H424" s="227">
        <f>IFERROR(__xludf.DUMMYFUNCTION("""COMPUTED_VALUE"""),308.88)</f>
        <v>308.88</v>
      </c>
      <c r="I424" s="21" t="str">
        <f>IFERROR(__xludf.DUMMYFUNCTION("""COMPUTED_VALUE"""),"NUBANK")</f>
        <v>NUBANK</v>
      </c>
      <c r="J424" s="21" t="str">
        <f>IFERROR(__xludf.DUMMYFUNCTION("""COMPUTED_VALUE"""),"#Essencial #Saude #Convenio #Familia #Fixo ")</f>
        <v>#Essencial #Saude #Convenio #Familia #Fixo </v>
      </c>
      <c r="K424" s="216"/>
      <c r="L424" s="216"/>
      <c r="M424" s="216"/>
      <c r="N424" s="216"/>
      <c r="O424" s="216"/>
      <c r="P424" s="216"/>
      <c r="Q424" s="216"/>
    </row>
    <row r="425">
      <c r="A425" s="11" t="str">
        <f>IFERROR(__xludf.DUMMYFUNCTION("""COMPUTED_VALUE"""),"PAGO")</f>
        <v>PAGO</v>
      </c>
      <c r="B425" s="98" t="str">
        <f>IFERROR(__xludf.DUMMYFUNCTION("""COMPUTED_VALUE"""),"Recarga TIM Cicero 11 948825242")</f>
        <v>Recarga TIM Cicero 11 948825242</v>
      </c>
      <c r="C425" s="13">
        <f>IFERROR(__xludf.DUMMYFUNCTION("""COMPUTED_VALUE"""),15.0)</f>
        <v>15</v>
      </c>
      <c r="D425" s="13" t="str">
        <f>IFERROR(__xludf.DUMMYFUNCTION("""COMPUTED_VALUE"""),"SÁB.")</f>
        <v>SÁB.</v>
      </c>
      <c r="E425" s="13">
        <f>IFERROR(__xludf.DUMMYFUNCTION("""COMPUTED_VALUE"""),5.0)</f>
        <v>5</v>
      </c>
      <c r="F425" s="15"/>
      <c r="G425" s="16"/>
      <c r="H425" s="227">
        <f>IFERROR(__xludf.DUMMYFUNCTION("""COMPUTED_VALUE"""),20.0)</f>
        <v>20</v>
      </c>
      <c r="I425" s="21" t="str">
        <f>IFERROR(__xludf.DUMMYFUNCTION("""COMPUTED_VALUE"""),"NUBANK")</f>
        <v>NUBANK</v>
      </c>
      <c r="J425" s="21" t="str">
        <f>IFERROR(__xludf.DUMMYFUNCTION("""COMPUTED_VALUE"""),"#Variavel #Recarga #TIM ")</f>
        <v>#Variavel #Recarga #TIM </v>
      </c>
      <c r="K425" s="216"/>
      <c r="L425" s="216"/>
      <c r="M425" s="216"/>
      <c r="N425" s="216"/>
      <c r="O425" s="216"/>
      <c r="P425" s="216"/>
      <c r="Q425" s="216"/>
    </row>
    <row r="426">
      <c r="A426" s="11" t="str">
        <f>IFERROR(__xludf.DUMMYFUNCTION("""COMPUTED_VALUE"""),"PAGO")</f>
        <v>PAGO</v>
      </c>
      <c r="B426" s="98" t="str">
        <f>IFERROR(__xludf.DUMMYFUNCTION("""COMPUTED_VALUE"""),"Levitar SJC - sorvetes")</f>
        <v>Levitar SJC - sorvetes</v>
      </c>
      <c r="C426" s="13">
        <f>IFERROR(__xludf.DUMMYFUNCTION("""COMPUTED_VALUE"""),16.0)</f>
        <v>16</v>
      </c>
      <c r="D426" s="13" t="str">
        <f>IFERROR(__xludf.DUMMYFUNCTION("""COMPUTED_VALUE"""),"DOM.")</f>
        <v>DOM.</v>
      </c>
      <c r="E426" s="13">
        <f>IFERROR(__xludf.DUMMYFUNCTION("""COMPUTED_VALUE"""),5.0)</f>
        <v>5</v>
      </c>
      <c r="F426" s="15"/>
      <c r="G426" s="16"/>
      <c r="H426" s="227">
        <f>IFERROR(__xludf.DUMMYFUNCTION("""COMPUTED_VALUE"""),20.0)</f>
        <v>20</v>
      </c>
      <c r="I426" s="21" t="str">
        <f>IFERROR(__xludf.DUMMYFUNCTION("""COMPUTED_VALUE"""),"NUBANK")</f>
        <v>NUBANK</v>
      </c>
      <c r="J426" s="21" t="str">
        <f>IFERROR(__xludf.DUMMYFUNCTION("""COMPUTED_VALUE"""),"#Lazer #Comida #Variavel")</f>
        <v>#Lazer #Comida #Variavel</v>
      </c>
      <c r="K426" s="216"/>
      <c r="L426" s="216"/>
      <c r="M426" s="216"/>
      <c r="N426" s="216"/>
      <c r="O426" s="216"/>
      <c r="P426" s="216"/>
      <c r="Q426" s="216"/>
    </row>
    <row r="427">
      <c r="A427" s="11" t="str">
        <f>IFERROR(__xludf.DUMMYFUNCTION("""COMPUTED_VALUE"""),"PAGO")</f>
        <v>PAGO</v>
      </c>
      <c r="B427" s="98" t="str">
        <f>IFERROR(__xludf.DUMMYFUNCTION("""COMPUTED_VALUE"""),"Estacionamento - ValeSul - Entregar Notebook Dom Rock")</f>
        <v>Estacionamento - ValeSul - Entregar Notebook Dom Rock</v>
      </c>
      <c r="C427" s="13">
        <f>IFERROR(__xludf.DUMMYFUNCTION("""COMPUTED_VALUE"""),22.0)</f>
        <v>22</v>
      </c>
      <c r="D427" s="13" t="str">
        <f>IFERROR(__xludf.DUMMYFUNCTION("""COMPUTED_VALUE"""),"SÁB.")</f>
        <v>SÁB.</v>
      </c>
      <c r="E427" s="13">
        <f>IFERROR(__xludf.DUMMYFUNCTION("""COMPUTED_VALUE"""),5.0)</f>
        <v>5</v>
      </c>
      <c r="F427" s="15"/>
      <c r="G427" s="16"/>
      <c r="H427" s="227">
        <f>IFERROR(__xludf.DUMMYFUNCTION("""COMPUTED_VALUE"""),7.0)</f>
        <v>7</v>
      </c>
      <c r="I427" s="21" t="str">
        <f>IFERROR(__xludf.DUMMYFUNCTION("""COMPUTED_VALUE"""),"NUBANK")</f>
        <v>NUBANK</v>
      </c>
      <c r="J427" s="21" t="str">
        <f>IFERROR(__xludf.DUMMYFUNCTION("""COMPUTED_VALUE"""),"#Carro #Estacionamento #Variavel #DomRock")</f>
        <v>#Carro #Estacionamento #Variavel #DomRock</v>
      </c>
      <c r="K427" s="216"/>
      <c r="L427" s="216"/>
      <c r="M427" s="216"/>
      <c r="N427" s="216"/>
      <c r="O427" s="216"/>
      <c r="P427" s="216"/>
      <c r="Q427" s="216"/>
    </row>
    <row r="428">
      <c r="A428" s="11" t="str">
        <f>IFERROR(__xludf.DUMMYFUNCTION("""COMPUTED_VALUE"""),"PAGO")</f>
        <v>PAGO</v>
      </c>
      <c r="B428" s="98" t="str">
        <f>IFERROR(__xludf.DUMMYFUNCTION("""COMPUTED_VALUE"""),"Assaí Atacadista")</f>
        <v>Assaí Atacadista</v>
      </c>
      <c r="C428" s="13">
        <f>IFERROR(__xludf.DUMMYFUNCTION("""COMPUTED_VALUE"""),17.0)</f>
        <v>17</v>
      </c>
      <c r="D428" s="13" t="str">
        <f>IFERROR(__xludf.DUMMYFUNCTION("""COMPUTED_VALUE"""),"SEG.")</f>
        <v>SEG.</v>
      </c>
      <c r="E428" s="13">
        <f>IFERROR(__xludf.DUMMYFUNCTION("""COMPUTED_VALUE"""),5.0)</f>
        <v>5</v>
      </c>
      <c r="F428" s="15"/>
      <c r="G428" s="16"/>
      <c r="H428" s="227">
        <f>IFERROR(__xludf.DUMMYFUNCTION("""COMPUTED_VALUE"""),716.06)</f>
        <v>716.06</v>
      </c>
      <c r="I428" s="21" t="str">
        <f>IFERROR(__xludf.DUMMYFUNCTION("""COMPUTED_VALUE"""),"NUBANK")</f>
        <v>NUBANK</v>
      </c>
      <c r="J428" s="21" t="str">
        <f>IFERROR(__xludf.DUMMYFUNCTION("""COMPUTED_VALUE"""),"#Moradia #Essencial #Mercado #Fixo #Alimentação ")</f>
        <v>#Moradia #Essencial #Mercado #Fixo #Alimentação </v>
      </c>
      <c r="K428" s="216"/>
      <c r="L428" s="216"/>
      <c r="M428" s="216"/>
      <c r="N428" s="216"/>
      <c r="O428" s="216"/>
      <c r="P428" s="216"/>
      <c r="Q428" s="216"/>
    </row>
    <row r="429">
      <c r="A429" s="11" t="str">
        <f>IFERROR(__xludf.DUMMYFUNCTION("""COMPUTED_VALUE"""),"PAGO")</f>
        <v>PAGO</v>
      </c>
      <c r="B429" s="98" t="str">
        <f>IFERROR(__xludf.DUMMYFUNCTION("""COMPUTED_VALUE"""),"Entrada prestação casa de Itaquera")</f>
        <v>Entrada prestação casa de Itaquera</v>
      </c>
      <c r="C429" s="13">
        <f>IFERROR(__xludf.DUMMYFUNCTION("""COMPUTED_VALUE"""),18.0)</f>
        <v>18</v>
      </c>
      <c r="D429" s="13" t="str">
        <f>IFERROR(__xludf.DUMMYFUNCTION("""COMPUTED_VALUE"""),"TER.")</f>
        <v>TER.</v>
      </c>
      <c r="E429" s="13">
        <f>IFERROR(__xludf.DUMMYFUNCTION("""COMPUTED_VALUE"""),5.0)</f>
        <v>5</v>
      </c>
      <c r="F429" s="15"/>
      <c r="G429" s="16">
        <f>IFERROR(__xludf.DUMMYFUNCTION("""COMPUTED_VALUE"""),2500.0)</f>
        <v>2500</v>
      </c>
      <c r="H429" s="227"/>
      <c r="I429" s="21" t="str">
        <f>IFERROR(__xludf.DUMMYFUNCTION("""COMPUTED_VALUE"""),"INTER")</f>
        <v>INTER</v>
      </c>
      <c r="J429" s="21" t="str">
        <f>IFERROR(__xludf.DUMMYFUNCTION("""COMPUTED_VALUE"""),"#Recebimentos #Prestação #Itaquera #Inter #Extra")</f>
        <v>#Recebimentos #Prestação #Itaquera #Inter #Extra</v>
      </c>
      <c r="K429" s="216"/>
      <c r="L429" s="216"/>
      <c r="M429" s="216"/>
      <c r="N429" s="216"/>
      <c r="O429" s="216"/>
      <c r="P429" s="216"/>
      <c r="Q429" s="216"/>
    </row>
    <row r="430">
      <c r="A430" s="11" t="str">
        <f>IFERROR(__xludf.DUMMYFUNCTION("""COMPUTED_VALUE"""),"PAGO")</f>
        <v>PAGO</v>
      </c>
      <c r="B430" s="98" t="str">
        <f>IFERROR(__xludf.DUMMYFUNCTION("""COMPUTED_VALUE"""),"Coaching / Psicologa - Candice Oliveira")</f>
        <v>Coaching / Psicologa - Candice Oliveira</v>
      </c>
      <c r="C430" s="13">
        <f>IFERROR(__xludf.DUMMYFUNCTION("""COMPUTED_VALUE"""),18.0)</f>
        <v>18</v>
      </c>
      <c r="D430" s="13" t="str">
        <f>IFERROR(__xludf.DUMMYFUNCTION("""COMPUTED_VALUE"""),"TER.")</f>
        <v>TER.</v>
      </c>
      <c r="E430" s="13">
        <f>IFERROR(__xludf.DUMMYFUNCTION("""COMPUTED_VALUE"""),5.0)</f>
        <v>5</v>
      </c>
      <c r="F430" s="15"/>
      <c r="G430" s="16"/>
      <c r="H430" s="227">
        <f>IFERROR(__xludf.DUMMYFUNCTION("""COMPUTED_VALUE"""),100.0)</f>
        <v>100</v>
      </c>
      <c r="I430" s="21" t="str">
        <f>IFERROR(__xludf.DUMMYFUNCTION("""COMPUTED_VALUE"""),"NUBANK")</f>
        <v>NUBANK</v>
      </c>
      <c r="J430" s="21" t="str">
        <f>IFERROR(__xludf.DUMMYFUNCTION("""COMPUTED_VALUE"""),"#Coaching #Fixo")</f>
        <v>#Coaching #Fixo</v>
      </c>
      <c r="K430" s="216"/>
      <c r="L430" s="216"/>
      <c r="M430" s="216"/>
      <c r="N430" s="216"/>
      <c r="O430" s="216"/>
      <c r="P430" s="216"/>
      <c r="Q430" s="216"/>
    </row>
    <row r="431">
      <c r="A431" s="11" t="str">
        <f>IFERROR(__xludf.DUMMYFUNCTION("""COMPUTED_VALUE"""),"PAGO")</f>
        <v>PAGO</v>
      </c>
      <c r="B431" s="98" t="str">
        <f>IFERROR(__xludf.DUMMYFUNCTION("""COMPUTED_VALUE"""),"Transferi para investimento - Clear")</f>
        <v>Transferi para investimento - Clear</v>
      </c>
      <c r="C431" s="13">
        <f>IFERROR(__xludf.DUMMYFUNCTION("""COMPUTED_VALUE"""),18.0)</f>
        <v>18</v>
      </c>
      <c r="D431" s="13" t="str">
        <f>IFERROR(__xludf.DUMMYFUNCTION("""COMPUTED_VALUE"""),"TER.")</f>
        <v>TER.</v>
      </c>
      <c r="E431" s="13">
        <f>IFERROR(__xludf.DUMMYFUNCTION("""COMPUTED_VALUE"""),5.0)</f>
        <v>5</v>
      </c>
      <c r="F431" s="15"/>
      <c r="G431" s="16"/>
      <c r="H431" s="227">
        <f>IFERROR(__xludf.DUMMYFUNCTION("""COMPUTED_VALUE"""),2500.0)</f>
        <v>2500</v>
      </c>
      <c r="I431" s="21" t="str">
        <f>IFERROR(__xludf.DUMMYFUNCTION("""COMPUTED_VALUE"""),"INTER")</f>
        <v>INTER</v>
      </c>
      <c r="J431" s="21" t="str">
        <f>IFERROR(__xludf.DUMMYFUNCTION("""COMPUTED_VALUE"""),"#Transferencia #Investimento #Extra #Clear")</f>
        <v>#Transferencia #Investimento #Extra #Clear</v>
      </c>
      <c r="K431" s="216"/>
      <c r="L431" s="216"/>
      <c r="M431" s="216"/>
      <c r="N431" s="216"/>
      <c r="O431" s="216"/>
      <c r="P431" s="216"/>
      <c r="Q431" s="216"/>
    </row>
    <row r="432">
      <c r="A432" s="11" t="str">
        <f>IFERROR(__xludf.DUMMYFUNCTION("""COMPUTED_VALUE"""),"PAGO")</f>
        <v>PAGO</v>
      </c>
      <c r="B432" s="98" t="str">
        <f>IFERROR(__xludf.DUMMYFUNCTION("""COMPUTED_VALUE"""),"Amazon - Fone Haylou GT1 Plus Xiaomi Tws Bluetooth 5.0 IPX5 ")</f>
        <v>Amazon - Fone Haylou GT1 Plus Xiaomi Tws Bluetooth 5.0 IPX5 </v>
      </c>
      <c r="C432" s="13">
        <f>IFERROR(__xludf.DUMMYFUNCTION("""COMPUTED_VALUE"""),18.0)</f>
        <v>18</v>
      </c>
      <c r="D432" s="13" t="str">
        <f>IFERROR(__xludf.DUMMYFUNCTION("""COMPUTED_VALUE"""),"TER.")</f>
        <v>TER.</v>
      </c>
      <c r="E432" s="13">
        <f>IFERROR(__xludf.DUMMYFUNCTION("""COMPUTED_VALUE"""),5.0)</f>
        <v>5</v>
      </c>
      <c r="F432" s="15"/>
      <c r="G432" s="16"/>
      <c r="H432" s="227">
        <f>IFERROR(__xludf.DUMMYFUNCTION("""COMPUTED_VALUE"""),149.48)</f>
        <v>149.48</v>
      </c>
      <c r="I432" s="21" t="str">
        <f>IFERROR(__xludf.DUMMYFUNCTION("""COMPUTED_VALUE"""),"NUBANK")</f>
        <v>NUBANK</v>
      </c>
      <c r="J432" s="21" t="str">
        <f>IFERROR(__xludf.DUMMYFUNCTION("""COMPUTED_VALUE"""),"#Presentes #Cicero #Lazer #Variavel")</f>
        <v>#Presentes #Cicero #Lazer #Variavel</v>
      </c>
      <c r="K432" s="216"/>
      <c r="L432" s="216"/>
      <c r="M432" s="216"/>
      <c r="N432" s="216"/>
      <c r="O432" s="216"/>
      <c r="P432" s="216"/>
      <c r="Q432" s="216"/>
    </row>
    <row r="433">
      <c r="A433" s="11" t="str">
        <f>IFERROR(__xludf.DUMMYFUNCTION("""COMPUTED_VALUE"""),"PAGO")</f>
        <v>PAGO</v>
      </c>
      <c r="B433" s="98" t="str">
        <f>IFERROR(__xludf.DUMMYFUNCTION("""COMPUTED_VALUE"""),"Resgate dividendos - Rico Corretora")</f>
        <v>Resgate dividendos - Rico Corretora</v>
      </c>
      <c r="C433" s="13">
        <f>IFERROR(__xludf.DUMMYFUNCTION("""COMPUTED_VALUE"""),18.0)</f>
        <v>18</v>
      </c>
      <c r="D433" s="13" t="str">
        <f>IFERROR(__xludf.DUMMYFUNCTION("""COMPUTED_VALUE"""),"QUA.")</f>
        <v>QUA.</v>
      </c>
      <c r="E433" s="13">
        <f>IFERROR(__xludf.DUMMYFUNCTION("""COMPUTED_VALUE"""),5.0)</f>
        <v>5</v>
      </c>
      <c r="F433" s="15"/>
      <c r="G433" s="16">
        <f>IFERROR(__xludf.DUMMYFUNCTION("""COMPUTED_VALUE"""),240.8)</f>
        <v>240.8</v>
      </c>
      <c r="H433" s="227"/>
      <c r="I433" s="21" t="str">
        <f>IFERROR(__xludf.DUMMYFUNCTION("""COMPUTED_VALUE"""),"ITAU")</f>
        <v>ITAU</v>
      </c>
      <c r="J433" s="21" t="str">
        <f>IFERROR(__xludf.DUMMYFUNCTION("""COMPUTED_VALUE"""),"#Recebimentos #Investimento #Rico")</f>
        <v>#Recebimentos #Investimento #Rico</v>
      </c>
      <c r="K433" s="216"/>
      <c r="L433" s="216"/>
      <c r="M433" s="216"/>
      <c r="N433" s="216"/>
      <c r="O433" s="216"/>
      <c r="P433" s="216"/>
      <c r="Q433" s="216"/>
    </row>
    <row r="434">
      <c r="A434" s="11" t="str">
        <f>IFERROR(__xludf.DUMMYFUNCTION("""COMPUTED_VALUE"""),"PAGO")</f>
        <v>PAGO</v>
      </c>
      <c r="B434" s="98" t="str">
        <f>IFERROR(__xludf.DUMMYFUNCTION("""COMPUTED_VALUE"""),"Farma Conde - Cidade Jardim x Jacinto Gallo")</f>
        <v>Farma Conde - Cidade Jardim x Jacinto Gallo</v>
      </c>
      <c r="C434" s="13">
        <f>IFERROR(__xludf.DUMMYFUNCTION("""COMPUTED_VALUE"""),19.0)</f>
        <v>19</v>
      </c>
      <c r="D434" s="13" t="str">
        <f>IFERROR(__xludf.DUMMYFUNCTION("""COMPUTED_VALUE"""),"QUA.")</f>
        <v>QUA.</v>
      </c>
      <c r="E434" s="13">
        <f>IFERROR(__xludf.DUMMYFUNCTION("""COMPUTED_VALUE"""),5.0)</f>
        <v>5</v>
      </c>
      <c r="F434" s="15"/>
      <c r="G434" s="16"/>
      <c r="H434" s="227">
        <f>IFERROR(__xludf.DUMMYFUNCTION("""COMPUTED_VALUE"""),60.71)</f>
        <v>60.71</v>
      </c>
      <c r="I434" s="21" t="str">
        <f>IFERROR(__xludf.DUMMYFUNCTION("""COMPUTED_VALUE"""),"NUBANK")</f>
        <v>NUBANK</v>
      </c>
      <c r="J434" s="21" t="str">
        <f>IFERROR(__xludf.DUMMYFUNCTION("""COMPUTED_VALUE"""),"#Remedios #Carlos #Variavel")</f>
        <v>#Remedios #Carlos #Variavel</v>
      </c>
      <c r="K434" s="216"/>
      <c r="L434" s="216"/>
      <c r="M434" s="216"/>
      <c r="N434" s="216"/>
      <c r="O434" s="216"/>
      <c r="P434" s="216"/>
      <c r="Q434" s="216"/>
    </row>
    <row r="435">
      <c r="A435" s="11" t="str">
        <f>IFERROR(__xludf.DUMMYFUNCTION("""COMPUTED_VALUE"""),"PAGO")</f>
        <v>PAGO</v>
      </c>
      <c r="B435" s="98" t="str">
        <f>IFERROR(__xludf.DUMMYFUNCTION("""COMPUTED_VALUE"""),"Obras em Itaquera para alugar a casa - pedreiro (Cildo)")</f>
        <v>Obras em Itaquera para alugar a casa - pedreiro (Cildo)</v>
      </c>
      <c r="C435" s="13">
        <f>IFERROR(__xludf.DUMMYFUNCTION("""COMPUTED_VALUE"""),19.0)</f>
        <v>19</v>
      </c>
      <c r="D435" s="13" t="str">
        <f>IFERROR(__xludf.DUMMYFUNCTION("""COMPUTED_VALUE"""),"QUA.")</f>
        <v>QUA.</v>
      </c>
      <c r="E435" s="13">
        <f>IFERROR(__xludf.DUMMYFUNCTION("""COMPUTED_VALUE"""),5.0)</f>
        <v>5</v>
      </c>
      <c r="F435" s="15"/>
      <c r="G435" s="16"/>
      <c r="H435" s="227">
        <f>IFERROR(__xludf.DUMMYFUNCTION("""COMPUTED_VALUE"""),480.0)</f>
        <v>480</v>
      </c>
      <c r="I435" s="21" t="str">
        <f>IFERROR(__xludf.DUMMYFUNCTION("""COMPUTED_VALUE"""),"NUBANK")</f>
        <v>NUBANK</v>
      </c>
      <c r="J435" s="21" t="str">
        <f>IFERROR(__xludf.DUMMYFUNCTION("""COMPUTED_VALUE"""),"#Variavel #Obras #Itaquera")</f>
        <v>#Variavel #Obras #Itaquera</v>
      </c>
      <c r="K435" s="216"/>
      <c r="L435" s="216"/>
      <c r="M435" s="216"/>
      <c r="N435" s="216"/>
      <c r="O435" s="216"/>
      <c r="P435" s="216"/>
      <c r="Q435" s="216"/>
    </row>
    <row r="436">
      <c r="A436" s="11" t="str">
        <f>IFERROR(__xludf.DUMMYFUNCTION("""COMPUTED_VALUE"""),"PAGO")</f>
        <v>PAGO</v>
      </c>
      <c r="B436" s="98" t="str">
        <f>IFERROR(__xludf.DUMMYFUNCTION("""COMPUTED_VALUE"""),"NOBILIS CONTABILIDADE")</f>
        <v>NOBILIS CONTABILIDADE</v>
      </c>
      <c r="C436" s="13">
        <f>IFERROR(__xludf.DUMMYFUNCTION("""COMPUTED_VALUE"""),20.0)</f>
        <v>20</v>
      </c>
      <c r="D436" s="13" t="str">
        <f>IFERROR(__xludf.DUMMYFUNCTION("""COMPUTED_VALUE"""),"QUI.")</f>
        <v>QUI.</v>
      </c>
      <c r="E436" s="13">
        <f>IFERROR(__xludf.DUMMYFUNCTION("""COMPUTED_VALUE"""),5.0)</f>
        <v>5</v>
      </c>
      <c r="F436" s="15">
        <f>IFERROR(__xludf.DUMMYFUNCTION("""COMPUTED_VALUE"""),44330.0)</f>
        <v>44330</v>
      </c>
      <c r="G436" s="16"/>
      <c r="H436" s="227">
        <f>IFERROR(__xludf.DUMMYFUNCTION("""COMPUTED_VALUE"""),140.0)</f>
        <v>140</v>
      </c>
      <c r="I436" s="21" t="str">
        <f>IFERROR(__xludf.DUMMYFUNCTION("""COMPUTED_VALUE"""),"NUBANK")</f>
        <v>NUBANK</v>
      </c>
      <c r="J436" s="21" t="str">
        <f>IFERROR(__xludf.DUMMYFUNCTION("""COMPUTED_VALUE"""),"#Fixo #Contador ")</f>
        <v>#Fixo #Contador </v>
      </c>
      <c r="K436" s="216"/>
      <c r="L436" s="216"/>
      <c r="M436" s="216"/>
      <c r="N436" s="216"/>
      <c r="O436" s="216"/>
      <c r="P436" s="216"/>
      <c r="Q436" s="216"/>
    </row>
    <row r="437">
      <c r="A437" s="11" t="str">
        <f>IFERROR(__xludf.DUMMYFUNCTION("""COMPUTED_VALUE"""),"PAGO")</f>
        <v>PAGO</v>
      </c>
      <c r="B437" s="98" t="str">
        <f>IFERROR(__xludf.DUMMYFUNCTION("""COMPUTED_VALUE"""),"DAS - Simples Nacional - nenhuma nota fiscal emitida no periodo")</f>
        <v>DAS - Simples Nacional - nenhuma nota fiscal emitida no periodo</v>
      </c>
      <c r="C437" s="13">
        <f>IFERROR(__xludf.DUMMYFUNCTION("""COMPUTED_VALUE"""),20.0)</f>
        <v>20</v>
      </c>
      <c r="D437" s="13" t="str">
        <f>IFERROR(__xludf.DUMMYFUNCTION("""COMPUTED_VALUE"""),"QUI.")</f>
        <v>QUI.</v>
      </c>
      <c r="E437" s="13">
        <f>IFERROR(__xludf.DUMMYFUNCTION("""COMPUTED_VALUE"""),5.0)</f>
        <v>5</v>
      </c>
      <c r="F437" s="15"/>
      <c r="G437" s="16"/>
      <c r="H437" s="227">
        <f>IFERROR(__xludf.DUMMYFUNCTION("""COMPUTED_VALUE"""),0.0)</f>
        <v>0</v>
      </c>
      <c r="I437" s="21" t="str">
        <f>IFERROR(__xludf.DUMMYFUNCTION("""COMPUTED_VALUE"""),"NUBANK")</f>
        <v>NUBANK</v>
      </c>
      <c r="J437" s="21" t="str">
        <f>IFERROR(__xludf.DUMMYFUNCTION("""COMPUTED_VALUE"""),"#Impostos #Fixo ")</f>
        <v>#Impostos #Fixo </v>
      </c>
      <c r="K437" s="216"/>
      <c r="L437" s="216"/>
      <c r="M437" s="216"/>
      <c r="N437" s="216"/>
      <c r="O437" s="216"/>
      <c r="P437" s="216"/>
      <c r="Q437" s="216"/>
    </row>
    <row r="438">
      <c r="A438" s="11" t="str">
        <f>IFERROR(__xludf.DUMMYFUNCTION("""COMPUTED_VALUE"""),"PAGO")</f>
        <v>PAGO</v>
      </c>
      <c r="B438" s="98" t="str">
        <f>IFERROR(__xludf.DUMMYFUNCTION("""COMPUTED_VALUE"""),"Convenio Cicero")</f>
        <v>Convenio Cicero</v>
      </c>
      <c r="C438" s="13">
        <f>IFERROR(__xludf.DUMMYFUNCTION("""COMPUTED_VALUE"""),20.0)</f>
        <v>20</v>
      </c>
      <c r="D438" s="13" t="str">
        <f>IFERROR(__xludf.DUMMYFUNCTION("""COMPUTED_VALUE"""),"QUI.")</f>
        <v>QUI.</v>
      </c>
      <c r="E438" s="13">
        <f>IFERROR(__xludf.DUMMYFUNCTION("""COMPUTED_VALUE"""),5.0)</f>
        <v>5</v>
      </c>
      <c r="F438" s="15">
        <f>IFERROR(__xludf.DUMMYFUNCTION("""COMPUTED_VALUE"""),44330.0)</f>
        <v>44330</v>
      </c>
      <c r="G438" s="16"/>
      <c r="H438" s="227">
        <f>IFERROR(__xludf.DUMMYFUNCTION("""COMPUTED_VALUE"""),393.41)</f>
        <v>393.41</v>
      </c>
      <c r="I438" s="21" t="str">
        <f>IFERROR(__xludf.DUMMYFUNCTION("""COMPUTED_VALUE"""),"NUBANK")</f>
        <v>NUBANK</v>
      </c>
      <c r="J438" s="21" t="str">
        <f>IFERROR(__xludf.DUMMYFUNCTION("""COMPUTED_VALUE"""),"#Essencial #Saude #Convenio #Familia #Cicero #Fixo ")</f>
        <v>#Essencial #Saude #Convenio #Familia #Cicero #Fixo </v>
      </c>
      <c r="K438" s="216"/>
      <c r="L438" s="216"/>
      <c r="M438" s="216"/>
      <c r="N438" s="216"/>
      <c r="O438" s="216"/>
      <c r="P438" s="216"/>
      <c r="Q438" s="216"/>
    </row>
    <row r="439">
      <c r="A439" s="11" t="str">
        <f>IFERROR(__xludf.DUMMYFUNCTION("""COMPUTED_VALUE"""),"PAGO")</f>
        <v>PAGO</v>
      </c>
      <c r="B439" s="98" t="str">
        <f>IFERROR(__xludf.DUMMYFUNCTION("""COMPUTED_VALUE"""),"Deposito Binance para investimentos em moedas digitais")</f>
        <v>Deposito Binance para investimentos em moedas digitais</v>
      </c>
      <c r="C439" s="13">
        <f>IFERROR(__xludf.DUMMYFUNCTION("""COMPUTED_VALUE"""),20.0)</f>
        <v>20</v>
      </c>
      <c r="D439" s="13" t="str">
        <f>IFERROR(__xludf.DUMMYFUNCTION("""COMPUTED_VALUE"""),"QUI.")</f>
        <v>QUI.</v>
      </c>
      <c r="E439" s="13">
        <f>IFERROR(__xludf.DUMMYFUNCTION("""COMPUTED_VALUE"""),5.0)</f>
        <v>5</v>
      </c>
      <c r="F439" s="15"/>
      <c r="G439" s="16"/>
      <c r="H439" s="227">
        <f>IFERROR(__xludf.DUMMYFUNCTION("""COMPUTED_VALUE"""),200.0)</f>
        <v>200</v>
      </c>
      <c r="I439" s="21" t="str">
        <f>IFERROR(__xludf.DUMMYFUNCTION("""COMPUTED_VALUE"""),"NUBANK")</f>
        <v>NUBANK</v>
      </c>
      <c r="J439" s="21" t="str">
        <f>IFERROR(__xludf.DUMMYFUNCTION("""COMPUTED_VALUE"""),"#Investimento #Binance #Variavel")</f>
        <v>#Investimento #Binance #Variavel</v>
      </c>
      <c r="K439" s="216"/>
      <c r="L439" s="216"/>
      <c r="M439" s="216"/>
      <c r="N439" s="216"/>
      <c r="O439" s="216"/>
      <c r="P439" s="216"/>
      <c r="Q439" s="216"/>
    </row>
    <row r="440">
      <c r="A440" s="11" t="str">
        <f>IFERROR(__xludf.DUMMYFUNCTION("""COMPUTED_VALUE"""),"PAGO")</f>
        <v>PAGO</v>
      </c>
      <c r="B440" s="98" t="str">
        <f>IFERROR(__xludf.DUMMYFUNCTION("""COMPUTED_VALUE"""),"Macarrão de Forno e Companhia - JD Portugal SJC")</f>
        <v>Macarrão de Forno e Companhia - JD Portugal SJC</v>
      </c>
      <c r="C440" s="13">
        <f>IFERROR(__xludf.DUMMYFUNCTION("""COMPUTED_VALUE"""),21.0)</f>
        <v>21</v>
      </c>
      <c r="D440" s="13" t="str">
        <f>IFERROR(__xludf.DUMMYFUNCTION("""COMPUTED_VALUE"""),"SEX.")</f>
        <v>SEX.</v>
      </c>
      <c r="E440" s="13">
        <f>IFERROR(__xludf.DUMMYFUNCTION("""COMPUTED_VALUE"""),5.0)</f>
        <v>5</v>
      </c>
      <c r="F440" s="15"/>
      <c r="G440" s="16"/>
      <c r="H440" s="227">
        <f>IFERROR(__xludf.DUMMYFUNCTION("""COMPUTED_VALUE"""),35.0)</f>
        <v>35</v>
      </c>
      <c r="I440" s="21" t="str">
        <f>IFERROR(__xludf.DUMMYFUNCTION("""COMPUTED_VALUE"""),"NUBANK")</f>
        <v>NUBANK</v>
      </c>
      <c r="J440" s="21" t="str">
        <f>IFERROR(__xludf.DUMMYFUNCTION("""COMPUTED_VALUE"""),"#Lazer #Comida #Variavel")</f>
        <v>#Lazer #Comida #Variavel</v>
      </c>
      <c r="K440" s="216"/>
      <c r="L440" s="216"/>
      <c r="M440" s="216"/>
      <c r="N440" s="216"/>
      <c r="O440" s="216"/>
      <c r="P440" s="216"/>
      <c r="Q440" s="216"/>
    </row>
    <row r="441">
      <c r="A441" s="11" t="str">
        <f>IFERROR(__xludf.DUMMYFUNCTION("""COMPUTED_VALUE"""),"PAGO")</f>
        <v>PAGO</v>
      </c>
      <c r="B441" s="98" t="str">
        <f>IFERROR(__xludf.DUMMYFUNCTION("""COMPUTED_VALUE"""),"Shibata - Pizza")</f>
        <v>Shibata - Pizza</v>
      </c>
      <c r="C441" s="13">
        <f>IFERROR(__xludf.DUMMYFUNCTION("""COMPUTED_VALUE"""),22.0)</f>
        <v>22</v>
      </c>
      <c r="D441" s="13" t="str">
        <f>IFERROR(__xludf.DUMMYFUNCTION("""COMPUTED_VALUE"""),"SÁB.")</f>
        <v>SÁB.</v>
      </c>
      <c r="E441" s="13">
        <f>IFERROR(__xludf.DUMMYFUNCTION("""COMPUTED_VALUE"""),5.0)</f>
        <v>5</v>
      </c>
      <c r="F441" s="15"/>
      <c r="G441" s="16"/>
      <c r="H441" s="227">
        <f>IFERROR(__xludf.DUMMYFUNCTION("""COMPUTED_VALUE"""),63.8)</f>
        <v>63.8</v>
      </c>
      <c r="I441" s="21" t="str">
        <f>IFERROR(__xludf.DUMMYFUNCTION("""COMPUTED_VALUE"""),"SODEXO-REF-IBM")</f>
        <v>SODEXO-REF-IBM</v>
      </c>
      <c r="J441" s="21" t="str">
        <f>IFERROR(__xludf.DUMMYFUNCTION("""COMPUTED_VALUE"""),"#Lazer #Comida #Variavel")</f>
        <v>#Lazer #Comida #Variavel</v>
      </c>
      <c r="K441" s="216"/>
      <c r="L441" s="216"/>
      <c r="M441" s="216"/>
      <c r="N441" s="216"/>
      <c r="O441" s="216"/>
      <c r="P441" s="216"/>
      <c r="Q441" s="216"/>
    </row>
    <row r="442">
      <c r="A442" s="11" t="str">
        <f>IFERROR(__xludf.DUMMYFUNCTION("""COMPUTED_VALUE"""),"PAGO")</f>
        <v>PAGO</v>
      </c>
      <c r="B442" s="98" t="str">
        <f>IFERROR(__xludf.DUMMYFUNCTION("""COMPUTED_VALUE"""),"Shibata")</f>
        <v>Shibata</v>
      </c>
      <c r="C442" s="13">
        <f>IFERROR(__xludf.DUMMYFUNCTION("""COMPUTED_VALUE"""),22.0)</f>
        <v>22</v>
      </c>
      <c r="D442" s="13" t="str">
        <f>IFERROR(__xludf.DUMMYFUNCTION("""COMPUTED_VALUE"""),"SÁB.")</f>
        <v>SÁB.</v>
      </c>
      <c r="E442" s="13">
        <f>IFERROR(__xludf.DUMMYFUNCTION("""COMPUTED_VALUE"""),5.0)</f>
        <v>5</v>
      </c>
      <c r="F442" s="15"/>
      <c r="G442" s="16"/>
      <c r="H442" s="227">
        <f>IFERROR(__xludf.DUMMYFUNCTION("""COMPUTED_VALUE"""),232.77)</f>
        <v>232.77</v>
      </c>
      <c r="I442" s="21" t="str">
        <f>IFERROR(__xludf.DUMMYFUNCTION("""COMPUTED_VALUE"""),"NUBANK")</f>
        <v>NUBANK</v>
      </c>
      <c r="J442" s="21" t="str">
        <f>IFERROR(__xludf.DUMMYFUNCTION("""COMPUTED_VALUE"""),"#Moradia #Essencial #Mercado #Variavel #Alimentação ")</f>
        <v>#Moradia #Essencial #Mercado #Variavel #Alimentação </v>
      </c>
      <c r="K442" s="216"/>
      <c r="L442" s="216"/>
      <c r="M442" s="216"/>
      <c r="N442" s="216"/>
      <c r="O442" s="216"/>
      <c r="P442" s="216"/>
      <c r="Q442" s="216"/>
    </row>
    <row r="443">
      <c r="A443" s="11" t="str">
        <f>IFERROR(__xludf.DUMMYFUNCTION("""COMPUTED_VALUE"""),"PAGO")</f>
        <v>PAGO</v>
      </c>
      <c r="B443" s="98" t="str">
        <f>IFERROR(__xludf.DUMMYFUNCTION("""COMPUTED_VALUE"""),"Agua - ITAQUERA")</f>
        <v>Agua - ITAQUERA</v>
      </c>
      <c r="C443" s="13">
        <f>IFERROR(__xludf.DUMMYFUNCTION("""COMPUTED_VALUE"""),23.0)</f>
        <v>23</v>
      </c>
      <c r="D443" s="13" t="str">
        <f>IFERROR(__xludf.DUMMYFUNCTION("""COMPUTED_VALUE"""),"DOM.")</f>
        <v>DOM.</v>
      </c>
      <c r="E443" s="13">
        <f>IFERROR(__xludf.DUMMYFUNCTION("""COMPUTED_VALUE"""),5.0)</f>
        <v>5</v>
      </c>
      <c r="F443" s="15">
        <f>IFERROR(__xludf.DUMMYFUNCTION("""COMPUTED_VALUE"""),44330.0)</f>
        <v>44330</v>
      </c>
      <c r="G443" s="16"/>
      <c r="H443" s="227">
        <f>IFERROR(__xludf.DUMMYFUNCTION("""COMPUTED_VALUE"""),54.79)</f>
        <v>54.79</v>
      </c>
      <c r="I443" s="21" t="str">
        <f>IFERROR(__xludf.DUMMYFUNCTION("""COMPUTED_VALUE"""),"NUBANK")</f>
        <v>NUBANK</v>
      </c>
      <c r="J443" s="21" t="str">
        <f>IFERROR(__xludf.DUMMYFUNCTION("""COMPUTED_VALUE"""),"#Itaquera #Essencial #AjudaAlmir #Fixo")</f>
        <v>#Itaquera #Essencial #AjudaAlmir #Fixo</v>
      </c>
      <c r="K443" s="216"/>
      <c r="L443" s="216"/>
      <c r="M443" s="216"/>
      <c r="N443" s="216"/>
      <c r="O443" s="216"/>
      <c r="P443" s="216"/>
      <c r="Q443" s="216"/>
    </row>
    <row r="444">
      <c r="A444" s="11" t="str">
        <f>IFERROR(__xludf.DUMMYFUNCTION("""COMPUTED_VALUE"""),"PAGO")</f>
        <v>PAGO</v>
      </c>
      <c r="B444" s="98" t="str">
        <f>IFERROR(__xludf.DUMMYFUNCTION("""COMPUTED_VALUE"""),"Luz - DEBITO AUTO")</f>
        <v>Luz - DEBITO AUTO</v>
      </c>
      <c r="C444" s="13">
        <f>IFERROR(__xludf.DUMMYFUNCTION("""COMPUTED_VALUE"""),24.0)</f>
        <v>24</v>
      </c>
      <c r="D444" s="13" t="str">
        <f>IFERROR(__xludf.DUMMYFUNCTION("""COMPUTED_VALUE"""),"SEG.")</f>
        <v>SEG.</v>
      </c>
      <c r="E444" s="13">
        <f>IFERROR(__xludf.DUMMYFUNCTION("""COMPUTED_VALUE"""),5.0)</f>
        <v>5</v>
      </c>
      <c r="F444" s="15"/>
      <c r="G444" s="16"/>
      <c r="H444" s="227">
        <f>IFERROR(__xludf.DUMMYFUNCTION("""COMPUTED_VALUE"""),226.11)</f>
        <v>226.11</v>
      </c>
      <c r="I444" s="21" t="str">
        <f>IFERROR(__xludf.DUMMYFUNCTION("""COMPUTED_VALUE"""),"ITAU")</f>
        <v>ITAU</v>
      </c>
      <c r="J444" s="21" t="str">
        <f>IFERROR(__xludf.DUMMYFUNCTION("""COMPUTED_VALUE"""),"#Moradia #Essencial #Luz #Fixo")</f>
        <v>#Moradia #Essencial #Luz #Fixo</v>
      </c>
      <c r="K444" s="216"/>
      <c r="L444" s="216"/>
      <c r="M444" s="216"/>
      <c r="N444" s="216"/>
      <c r="O444" s="216"/>
      <c r="P444" s="216"/>
      <c r="Q444" s="216"/>
    </row>
    <row r="445">
      <c r="A445" s="11" t="str">
        <f>IFERROR(__xludf.DUMMYFUNCTION("""COMPUTED_VALUE"""),"PAGO")</f>
        <v>PAGO</v>
      </c>
      <c r="B445" s="98" t="str">
        <f>IFERROR(__xludf.DUMMYFUNCTION("""COMPUTED_VALUE"""),"Coaching / Psicologa - Candice Oliveira")</f>
        <v>Coaching / Psicologa - Candice Oliveira</v>
      </c>
      <c r="C445" s="13">
        <f>IFERROR(__xludf.DUMMYFUNCTION("""COMPUTED_VALUE"""),24.0)</f>
        <v>24</v>
      </c>
      <c r="D445" s="13" t="str">
        <f>IFERROR(__xludf.DUMMYFUNCTION("""COMPUTED_VALUE"""),"SEG.")</f>
        <v>SEG.</v>
      </c>
      <c r="E445" s="13">
        <f>IFERROR(__xludf.DUMMYFUNCTION("""COMPUTED_VALUE"""),5.0)</f>
        <v>5</v>
      </c>
      <c r="F445" s="15"/>
      <c r="G445" s="16"/>
      <c r="H445" s="227">
        <f>IFERROR(__xludf.DUMMYFUNCTION("""COMPUTED_VALUE"""),100.0)</f>
        <v>100</v>
      </c>
      <c r="I445" s="21" t="str">
        <f>IFERROR(__xludf.DUMMYFUNCTION("""COMPUTED_VALUE"""),"NUBANK")</f>
        <v>NUBANK</v>
      </c>
      <c r="J445" s="21" t="str">
        <f>IFERROR(__xludf.DUMMYFUNCTION("""COMPUTED_VALUE"""),"#Coaching #Fixo")</f>
        <v>#Coaching #Fixo</v>
      </c>
      <c r="K445" s="216"/>
      <c r="L445" s="216"/>
      <c r="M445" s="216"/>
      <c r="N445" s="216"/>
      <c r="O445" s="216"/>
      <c r="P445" s="216"/>
      <c r="Q445" s="216"/>
    </row>
    <row r="446">
      <c r="A446" s="11" t="str">
        <f>IFERROR(__xludf.DUMMYFUNCTION("""COMPUTED_VALUE"""),"PAGO")</f>
        <v>PAGO</v>
      </c>
      <c r="B446" s="98" t="str">
        <f>IFERROR(__xludf.DUMMYFUNCTION("""COMPUTED_VALUE"""),"Shibata")</f>
        <v>Shibata</v>
      </c>
      <c r="C446" s="13">
        <f>IFERROR(__xludf.DUMMYFUNCTION("""COMPUTED_VALUE"""),27.0)</f>
        <v>27</v>
      </c>
      <c r="D446" s="13" t="str">
        <f>IFERROR(__xludf.DUMMYFUNCTION("""COMPUTED_VALUE"""),"QUI.")</f>
        <v>QUI.</v>
      </c>
      <c r="E446" s="13">
        <f>IFERROR(__xludf.DUMMYFUNCTION("""COMPUTED_VALUE"""),5.0)</f>
        <v>5</v>
      </c>
      <c r="F446" s="15"/>
      <c r="G446" s="16"/>
      <c r="H446" s="227">
        <f>IFERROR(__xludf.DUMMYFUNCTION("""COMPUTED_VALUE"""),209.74)</f>
        <v>209.74</v>
      </c>
      <c r="I446" s="21" t="str">
        <f>IFERROR(__xludf.DUMMYFUNCTION("""COMPUTED_VALUE"""),"NUBANK")</f>
        <v>NUBANK</v>
      </c>
      <c r="J446" s="21" t="str">
        <f>IFERROR(__xludf.DUMMYFUNCTION("""COMPUTED_VALUE"""),"#Moradia #Essencial #Mercado #Variavel #Alimentação ")</f>
        <v>#Moradia #Essencial #Mercado #Variavel #Alimentação </v>
      </c>
      <c r="K446" s="216"/>
      <c r="L446" s="216"/>
      <c r="M446" s="216"/>
      <c r="N446" s="216"/>
      <c r="O446" s="216"/>
      <c r="P446" s="216"/>
      <c r="Q446" s="216"/>
    </row>
    <row r="447">
      <c r="A447" s="11" t="str">
        <f>IFERROR(__xludf.DUMMYFUNCTION("""COMPUTED_VALUE"""),"PAGO")</f>
        <v>PAGO</v>
      </c>
      <c r="B447" s="98" t="str">
        <f>IFERROR(__xludf.DUMMYFUNCTION("""COMPUTED_VALUE"""),"Farmácia Pague Menos")</f>
        <v>Farmácia Pague Menos</v>
      </c>
      <c r="C447" s="13">
        <f>IFERROR(__xludf.DUMMYFUNCTION("""COMPUTED_VALUE"""),27.0)</f>
        <v>27</v>
      </c>
      <c r="D447" s="13" t="str">
        <f>IFERROR(__xludf.DUMMYFUNCTION("""COMPUTED_VALUE"""),"QUI.")</f>
        <v>QUI.</v>
      </c>
      <c r="E447" s="13">
        <f>IFERROR(__xludf.DUMMYFUNCTION("""COMPUTED_VALUE"""),5.0)</f>
        <v>5</v>
      </c>
      <c r="F447" s="15"/>
      <c r="G447" s="16"/>
      <c r="H447" s="227">
        <f>IFERROR(__xludf.DUMMYFUNCTION("""COMPUTED_VALUE"""),114.79)</f>
        <v>114.79</v>
      </c>
      <c r="I447" s="21" t="str">
        <f>IFERROR(__xludf.DUMMYFUNCTION("""COMPUTED_VALUE"""),"NUBANK")</f>
        <v>NUBANK</v>
      </c>
      <c r="J447" s="21" t="str">
        <f>IFERROR(__xludf.DUMMYFUNCTION("""COMPUTED_VALUE"""),"#Remedios #Carlos #Eduardo #Variavel ")</f>
        <v>#Remedios #Carlos #Eduardo #Variavel </v>
      </c>
      <c r="K447" s="216"/>
      <c r="L447" s="216"/>
      <c r="M447" s="216"/>
      <c r="N447" s="216"/>
      <c r="O447" s="216"/>
      <c r="P447" s="216"/>
      <c r="Q447" s="216"/>
    </row>
    <row r="448">
      <c r="A448" s="11" t="str">
        <f>IFERROR(__xludf.DUMMYFUNCTION("""COMPUTED_VALUE"""),"PAGO")</f>
        <v>PAGO</v>
      </c>
      <c r="B448" s="98" t="str">
        <f>IFERROR(__xludf.DUMMYFUNCTION("""COMPUTED_VALUE"""),"Recarga Sodexo Alimentação IBM")</f>
        <v>Recarga Sodexo Alimentação IBM</v>
      </c>
      <c r="C448" s="13">
        <f>IFERROR(__xludf.DUMMYFUNCTION("""COMPUTED_VALUE"""),28.0)</f>
        <v>28</v>
      </c>
      <c r="D448" s="13" t="str">
        <f>IFERROR(__xludf.DUMMYFUNCTION("""COMPUTED_VALUE"""),"SEX.")</f>
        <v>SEX.</v>
      </c>
      <c r="E448" s="13">
        <f>IFERROR(__xludf.DUMMYFUNCTION("""COMPUTED_VALUE"""),5.0)</f>
        <v>5</v>
      </c>
      <c r="F448" s="15"/>
      <c r="G448" s="16">
        <f>IFERROR(__xludf.DUMMYFUNCTION("""COMPUTED_VALUE"""),295.0)</f>
        <v>295</v>
      </c>
      <c r="H448" s="227"/>
      <c r="I448" s="21" t="str">
        <f>IFERROR(__xludf.DUMMYFUNCTION("""COMPUTED_VALUE"""),"SODEXO-ALI-IBM")</f>
        <v>SODEXO-ALI-IBM</v>
      </c>
      <c r="J448" s="21" t="str">
        <f>IFERROR(__xludf.DUMMYFUNCTION("""COMPUTED_VALUE""")," #Recebimentos #Alimentação #Fixo")</f>
        <v> #Recebimentos #Alimentação #Fixo</v>
      </c>
      <c r="K448" s="216"/>
      <c r="L448" s="216"/>
      <c r="M448" s="216"/>
      <c r="N448" s="216"/>
      <c r="O448" s="216"/>
      <c r="P448" s="216"/>
      <c r="Q448" s="216"/>
    </row>
    <row r="449">
      <c r="A449" s="11" t="str">
        <f>IFERROR(__xludf.DUMMYFUNCTION("""COMPUTED_VALUE"""),"PAGO")</f>
        <v>PAGO</v>
      </c>
      <c r="B449" s="98" t="str">
        <f>IFERROR(__xludf.DUMMYFUNCTION("""COMPUTED_VALUE"""),"Recarga Sodexo Refeição IBM")</f>
        <v>Recarga Sodexo Refeição IBM</v>
      </c>
      <c r="C449" s="13">
        <f>IFERROR(__xludf.DUMMYFUNCTION("""COMPUTED_VALUE"""),28.0)</f>
        <v>28</v>
      </c>
      <c r="D449" s="13" t="str">
        <f>IFERROR(__xludf.DUMMYFUNCTION("""COMPUTED_VALUE"""),"SEX.")</f>
        <v>SEX.</v>
      </c>
      <c r="E449" s="13">
        <f>IFERROR(__xludf.DUMMYFUNCTION("""COMPUTED_VALUE"""),5.0)</f>
        <v>5</v>
      </c>
      <c r="F449" s="15"/>
      <c r="G449" s="16">
        <f>IFERROR(__xludf.DUMMYFUNCTION("""COMPUTED_VALUE"""),635.0)</f>
        <v>635</v>
      </c>
      <c r="H449" s="227"/>
      <c r="I449" s="21" t="str">
        <f>IFERROR(__xludf.DUMMYFUNCTION("""COMPUTED_VALUE"""),"SODEXO-REF-IBM")</f>
        <v>SODEXO-REF-IBM</v>
      </c>
      <c r="J449" s="21" t="str">
        <f>IFERROR(__xludf.DUMMYFUNCTION("""COMPUTED_VALUE"""),"#Recebimentos #Alimentação #Fixo")</f>
        <v>#Recebimentos #Alimentação #Fixo</v>
      </c>
      <c r="K449" s="216"/>
      <c r="L449" s="216"/>
      <c r="M449" s="216"/>
      <c r="N449" s="216"/>
      <c r="O449" s="216"/>
      <c r="P449" s="216"/>
      <c r="Q449" s="216"/>
    </row>
    <row r="450">
      <c r="A450" s="11" t="str">
        <f>IFERROR(__xludf.DUMMYFUNCTION("""COMPUTED_VALUE"""),"PAGO")</f>
        <v>PAGO</v>
      </c>
      <c r="B450" s="98" t="str">
        <f>IFERROR(__xludf.DUMMYFUNCTION("""COMPUTED_VALUE"""),"iFood - Habibs - 25 Espihas ")</f>
        <v>iFood - Habibs - 25 Espihas </v>
      </c>
      <c r="C450" s="13">
        <f>IFERROR(__xludf.DUMMYFUNCTION("""COMPUTED_VALUE"""),28.0)</f>
        <v>28</v>
      </c>
      <c r="D450" s="13" t="str">
        <f>IFERROR(__xludf.DUMMYFUNCTION("""COMPUTED_VALUE"""),"SEX.")</f>
        <v>SEX.</v>
      </c>
      <c r="E450" s="13">
        <f>IFERROR(__xludf.DUMMYFUNCTION("""COMPUTED_VALUE"""),5.0)</f>
        <v>5</v>
      </c>
      <c r="F450" s="15"/>
      <c r="G450" s="16"/>
      <c r="H450" s="227">
        <f>IFERROR(__xludf.DUMMYFUNCTION("""COMPUTED_VALUE"""),54.5)</f>
        <v>54.5</v>
      </c>
      <c r="I450" s="21" t="str">
        <f>IFERROR(__xludf.DUMMYFUNCTION("""COMPUTED_VALUE"""),"SODEXO-REF-IBM")</f>
        <v>SODEXO-REF-IBM</v>
      </c>
      <c r="J450" s="21" t="str">
        <f>IFERROR(__xludf.DUMMYFUNCTION("""COMPUTED_VALUE"""),"#Lazer #Comida #Variavel")</f>
        <v>#Lazer #Comida #Variavel</v>
      </c>
      <c r="K450" s="216"/>
      <c r="L450" s="216"/>
      <c r="M450" s="216"/>
      <c r="N450" s="216"/>
      <c r="O450" s="216"/>
      <c r="P450" s="216"/>
      <c r="Q450" s="216"/>
    </row>
    <row r="451">
      <c r="A451" s="11" t="str">
        <f>IFERROR(__xludf.DUMMYFUNCTION("""COMPUTED_VALUE"""),"PAGO")</f>
        <v>PAGO</v>
      </c>
      <c r="B451" s="98" t="str">
        <f>IFERROR(__xludf.DUMMYFUNCTION("""COMPUTED_VALUE"""),"Salario - IBM")</f>
        <v>Salario - IBM</v>
      </c>
      <c r="C451" s="13">
        <f>IFERROR(__xludf.DUMMYFUNCTION("""COMPUTED_VALUE"""),28.0)</f>
        <v>28</v>
      </c>
      <c r="D451" s="13" t="str">
        <f>IFERROR(__xludf.DUMMYFUNCTION("""COMPUTED_VALUE"""),"SEX.")</f>
        <v>SEX.</v>
      </c>
      <c r="E451" s="13">
        <f>IFERROR(__xludf.DUMMYFUNCTION("""COMPUTED_VALUE"""),5.0)</f>
        <v>5</v>
      </c>
      <c r="F451" s="15"/>
      <c r="G451" s="16">
        <f>IFERROR(__xludf.DUMMYFUNCTION("""COMPUTED_VALUE"""),2539.94)</f>
        <v>2539.94</v>
      </c>
      <c r="H451" s="227"/>
      <c r="I451" s="21" t="str">
        <f>IFERROR(__xludf.DUMMYFUNCTION("""COMPUTED_VALUE"""),"SANTANDER")</f>
        <v>SANTANDER</v>
      </c>
      <c r="J451" s="21" t="str">
        <f>IFERROR(__xludf.DUMMYFUNCTION("""COMPUTED_VALUE"""),"#Recebimentos #Salario #Fixo")</f>
        <v>#Recebimentos #Salario #Fixo</v>
      </c>
      <c r="K451" s="216"/>
      <c r="L451" s="216"/>
      <c r="M451" s="216"/>
      <c r="N451" s="216"/>
      <c r="O451" s="216"/>
      <c r="P451" s="216"/>
      <c r="Q451" s="216"/>
    </row>
    <row r="452">
      <c r="A452" s="11" t="str">
        <f>IFERROR(__xludf.DUMMYFUNCTION("""COMPUTED_VALUE"""),"PAGO")</f>
        <v>PAGO</v>
      </c>
      <c r="B452" s="98" t="str">
        <f>IFERROR(__xludf.DUMMYFUNCTION("""COMPUTED_VALUE"""),"LP - Gas")</f>
        <v>LP - Gas</v>
      </c>
      <c r="C452" s="13">
        <f>IFERROR(__xludf.DUMMYFUNCTION("""COMPUTED_VALUE"""),29.0)</f>
        <v>29</v>
      </c>
      <c r="D452" s="13" t="str">
        <f>IFERROR(__xludf.DUMMYFUNCTION("""COMPUTED_VALUE"""),"SÁB.")</f>
        <v>SÁB.</v>
      </c>
      <c r="E452" s="13">
        <f>IFERROR(__xludf.DUMMYFUNCTION("""COMPUTED_VALUE"""),5.0)</f>
        <v>5</v>
      </c>
      <c r="F452" s="15"/>
      <c r="G452" s="16"/>
      <c r="H452" s="227">
        <f>IFERROR(__xludf.DUMMYFUNCTION("""COMPUTED_VALUE"""),73.0)</f>
        <v>73</v>
      </c>
      <c r="I452" s="21" t="str">
        <f>IFERROR(__xludf.DUMMYFUNCTION("""COMPUTED_VALUE"""),"NUBANK")</f>
        <v>NUBANK</v>
      </c>
      <c r="J452" s="21" t="str">
        <f>IFERROR(__xludf.DUMMYFUNCTION("""COMPUTED_VALUE"""),"#Moradia #Essencial #Variavel #Gas")</f>
        <v>#Moradia #Essencial #Variavel #Gas</v>
      </c>
      <c r="K452" s="216"/>
      <c r="L452" s="216"/>
      <c r="M452" s="216"/>
      <c r="N452" s="216"/>
      <c r="O452" s="216"/>
      <c r="P452" s="216"/>
      <c r="Q452" s="216"/>
    </row>
    <row r="453">
      <c r="A453" s="11" t="str">
        <f>IFERROR(__xludf.DUMMYFUNCTION("""COMPUTED_VALUE"""),"CONTAS")</f>
        <v>CONTAS</v>
      </c>
      <c r="B453" s="98" t="str">
        <f>IFERROR(__xludf.DUMMYFUNCTION("""COMPUTED_VALUE"""),"Transferencia via PIX")</f>
        <v>Transferencia via PIX</v>
      </c>
      <c r="C453" s="13">
        <f>IFERROR(__xludf.DUMMYFUNCTION("""COMPUTED_VALUE"""),29.0)</f>
        <v>29</v>
      </c>
      <c r="D453" s="13" t="str">
        <f>IFERROR(__xludf.DUMMYFUNCTION("""COMPUTED_VALUE"""),"SÁB.")</f>
        <v>SÁB.</v>
      </c>
      <c r="E453" s="13">
        <f>IFERROR(__xludf.DUMMYFUNCTION("""COMPUTED_VALUE"""),5.0)</f>
        <v>5</v>
      </c>
      <c r="F453" s="15"/>
      <c r="G453" s="16"/>
      <c r="H453" s="227">
        <f>IFERROR(__xludf.DUMMYFUNCTION("""COMPUTED_VALUE"""),2539.94)</f>
        <v>2539.94</v>
      </c>
      <c r="I453" s="21" t="str">
        <f>IFERROR(__xludf.DUMMYFUNCTION("""COMPUTED_VALUE"""),"SANTANDER")</f>
        <v>SANTANDER</v>
      </c>
      <c r="J453" s="21"/>
      <c r="K453" s="216"/>
      <c r="L453" s="216"/>
      <c r="M453" s="216"/>
      <c r="N453" s="216"/>
      <c r="O453" s="216"/>
      <c r="P453" s="216"/>
      <c r="Q453" s="216"/>
    </row>
    <row r="454">
      <c r="A454" s="11" t="str">
        <f>IFERROR(__xludf.DUMMYFUNCTION("""COMPUTED_VALUE"""),"CONTAS")</f>
        <v>CONTAS</v>
      </c>
      <c r="B454" s="98" t="str">
        <f>IFERROR(__xludf.DUMMYFUNCTION("""COMPUTED_VALUE"""),"Recebimento via PIX")</f>
        <v>Recebimento via PIX</v>
      </c>
      <c r="C454" s="13">
        <f>IFERROR(__xludf.DUMMYFUNCTION("""COMPUTED_VALUE"""),29.0)</f>
        <v>29</v>
      </c>
      <c r="D454" s="13" t="str">
        <f>IFERROR(__xludf.DUMMYFUNCTION("""COMPUTED_VALUE"""),"SÁB.")</f>
        <v>SÁB.</v>
      </c>
      <c r="E454" s="13">
        <f>IFERROR(__xludf.DUMMYFUNCTION("""COMPUTED_VALUE"""),5.0)</f>
        <v>5</v>
      </c>
      <c r="F454" s="15"/>
      <c r="G454" s="16">
        <f>IFERROR(__xludf.DUMMYFUNCTION("""COMPUTED_VALUE"""),2539.94)</f>
        <v>2539.94</v>
      </c>
      <c r="H454" s="227"/>
      <c r="I454" s="21" t="str">
        <f>IFERROR(__xludf.DUMMYFUNCTION("""COMPUTED_VALUE"""),"NUBANK")</f>
        <v>NUBANK</v>
      </c>
      <c r="J454" s="21"/>
      <c r="K454" s="216"/>
      <c r="L454" s="216"/>
      <c r="M454" s="216"/>
      <c r="N454" s="216"/>
      <c r="O454" s="216"/>
      <c r="P454" s="216"/>
      <c r="Q454" s="216"/>
    </row>
    <row r="455">
      <c r="A455" s="11" t="str">
        <f>IFERROR(__xludf.DUMMYFUNCTION("""COMPUTED_VALUE"""),"PAGO")</f>
        <v>PAGO</v>
      </c>
      <c r="B455" s="98" t="str">
        <f>IFERROR(__xludf.DUMMYFUNCTION("""COMPUTED_VALUE"""),"Deposito Binance para investimentos em moedas digitais")</f>
        <v>Deposito Binance para investimentos em moedas digitais</v>
      </c>
      <c r="C455" s="13">
        <f>IFERROR(__xludf.DUMMYFUNCTION("""COMPUTED_VALUE"""),31.0)</f>
        <v>31</v>
      </c>
      <c r="D455" s="13" t="str">
        <f>IFERROR(__xludf.DUMMYFUNCTION("""COMPUTED_VALUE"""),"SEG.")</f>
        <v>SEG.</v>
      </c>
      <c r="E455" s="13">
        <f>IFERROR(__xludf.DUMMYFUNCTION("""COMPUTED_VALUE"""),5.0)</f>
        <v>5</v>
      </c>
      <c r="F455" s="15"/>
      <c r="G455" s="16"/>
      <c r="H455" s="227">
        <f>IFERROR(__xludf.DUMMYFUNCTION("""COMPUTED_VALUE"""),200.0)</f>
        <v>200</v>
      </c>
      <c r="I455" s="21" t="str">
        <f>IFERROR(__xludf.DUMMYFUNCTION("""COMPUTED_VALUE"""),"NUBANK")</f>
        <v>NUBANK</v>
      </c>
      <c r="J455" s="21" t="str">
        <f>IFERROR(__xludf.DUMMYFUNCTION("""COMPUTED_VALUE"""),"#Investimento #Binance #Variavel")</f>
        <v>#Investimento #Binance #Variavel</v>
      </c>
      <c r="K455" s="216"/>
      <c r="L455" s="216"/>
      <c r="M455" s="216"/>
      <c r="N455" s="216"/>
      <c r="O455" s="216"/>
      <c r="P455" s="216"/>
      <c r="Q455" s="216"/>
    </row>
    <row r="456">
      <c r="A456" s="11" t="str">
        <f>IFERROR(__xludf.DUMMYFUNCTION("""COMPUTED_VALUE"""),"PAGO")</f>
        <v>PAGO</v>
      </c>
      <c r="B456" s="98" t="str">
        <f>IFERROR(__xludf.DUMMYFUNCTION("""COMPUTED_VALUE"""),"Deposito Binance para investimentos em moedas digitais")</f>
        <v>Deposito Binance para investimentos em moedas digitais</v>
      </c>
      <c r="C456" s="13">
        <f>IFERROR(__xludf.DUMMYFUNCTION("""COMPUTED_VALUE"""),31.0)</f>
        <v>31</v>
      </c>
      <c r="D456" s="13" t="str">
        <f>IFERROR(__xludf.DUMMYFUNCTION("""COMPUTED_VALUE"""),"SEG.")</f>
        <v>SEG.</v>
      </c>
      <c r="E456" s="13">
        <f>IFERROR(__xludf.DUMMYFUNCTION("""COMPUTED_VALUE"""),5.0)</f>
        <v>5</v>
      </c>
      <c r="F456" s="15"/>
      <c r="G456" s="16"/>
      <c r="H456" s="227">
        <f>IFERROR(__xludf.DUMMYFUNCTION("""COMPUTED_VALUE"""),10.0)</f>
        <v>10</v>
      </c>
      <c r="I456" s="21" t="str">
        <f>IFERROR(__xludf.DUMMYFUNCTION("""COMPUTED_VALUE"""),"NUBANK")</f>
        <v>NUBANK</v>
      </c>
      <c r="J456" s="21" t="str">
        <f>IFERROR(__xludf.DUMMYFUNCTION("""COMPUTED_VALUE"""),"#Investimento #Binance #Variavel")</f>
        <v>#Investimento #Binance #Variavel</v>
      </c>
      <c r="K456" s="216"/>
      <c r="L456" s="216"/>
      <c r="M456" s="216"/>
      <c r="N456" s="216"/>
      <c r="O456" s="216"/>
      <c r="P456" s="216"/>
      <c r="Q456" s="216"/>
    </row>
    <row r="457">
      <c r="A457" s="11" t="str">
        <f>IFERROR(__xludf.DUMMYFUNCTION("""COMPUTED_VALUE"""),"PAGO")</f>
        <v>PAGO</v>
      </c>
      <c r="B457" s="98" t="str">
        <f>IFERROR(__xludf.DUMMYFUNCTION("""COMPUTED_VALUE"""),"Arena Toys online - Presentes Eduardo (aniversario) e Carlos")</f>
        <v>Arena Toys online - Presentes Eduardo (aniversario) e Carlos</v>
      </c>
      <c r="C457" s="13">
        <f>IFERROR(__xludf.DUMMYFUNCTION("""COMPUTED_VALUE"""),31.0)</f>
        <v>31</v>
      </c>
      <c r="D457" s="13" t="str">
        <f>IFERROR(__xludf.DUMMYFUNCTION("""COMPUTED_VALUE"""),"SEG.")</f>
        <v>SEG.</v>
      </c>
      <c r="E457" s="13">
        <f>IFERROR(__xludf.DUMMYFUNCTION("""COMPUTED_VALUE"""),5.0)</f>
        <v>5</v>
      </c>
      <c r="F457" s="15"/>
      <c r="G457" s="16"/>
      <c r="H457" s="227">
        <f>IFERROR(__xludf.DUMMYFUNCTION("""COMPUTED_VALUE"""),123.6)</f>
        <v>123.6</v>
      </c>
      <c r="I457" s="21" t="str">
        <f>IFERROR(__xludf.DUMMYFUNCTION("""COMPUTED_VALUE"""),"NUBANK")</f>
        <v>NUBANK</v>
      </c>
      <c r="J457" s="21" t="str">
        <f>IFERROR(__xludf.DUMMYFUNCTION("""COMPUTED_VALUE"""),"#Lazer #Presentes #Eduardo #Carlos")</f>
        <v>#Lazer #Presentes #Eduardo #Carlos</v>
      </c>
      <c r="K457" s="216"/>
      <c r="L457" s="216"/>
      <c r="M457" s="216"/>
      <c r="N457" s="216"/>
      <c r="O457" s="216"/>
      <c r="P457" s="216"/>
      <c r="Q457" s="216"/>
    </row>
    <row r="458">
      <c r="A458" s="11" t="str">
        <f>IFERROR(__xludf.DUMMYFUNCTION("""COMPUTED_VALUE"""),"PAGO")</f>
        <v>PAGO</v>
      </c>
      <c r="B458" s="98" t="str">
        <f>IFERROR(__xludf.DUMMYFUNCTION("""COMPUTED_VALUE"""),"Coaching / Psicologa - Candice Oliveira")</f>
        <v>Coaching / Psicologa - Candice Oliveira</v>
      </c>
      <c r="C458" s="13">
        <f>IFERROR(__xludf.DUMMYFUNCTION("""COMPUTED_VALUE"""),31.0)</f>
        <v>31</v>
      </c>
      <c r="D458" s="13" t="str">
        <f>IFERROR(__xludf.DUMMYFUNCTION("""COMPUTED_VALUE"""),"SEG.")</f>
        <v>SEG.</v>
      </c>
      <c r="E458" s="13">
        <f>IFERROR(__xludf.DUMMYFUNCTION("""COMPUTED_VALUE"""),5.0)</f>
        <v>5</v>
      </c>
      <c r="F458" s="15"/>
      <c r="G458" s="16"/>
      <c r="H458" s="227">
        <f>IFERROR(__xludf.DUMMYFUNCTION("""COMPUTED_VALUE"""),100.0)</f>
        <v>100</v>
      </c>
      <c r="I458" s="21" t="str">
        <f>IFERROR(__xludf.DUMMYFUNCTION("""COMPUTED_VALUE"""),"NUBANK")</f>
        <v>NUBANK</v>
      </c>
      <c r="J458" s="21" t="str">
        <f>IFERROR(__xludf.DUMMYFUNCTION("""COMPUTED_VALUE"""),"#Coaching #Fixo")</f>
        <v>#Coaching #Fixo</v>
      </c>
      <c r="K458" s="216"/>
      <c r="L458" s="216"/>
      <c r="M458" s="216"/>
      <c r="N458" s="216"/>
      <c r="O458" s="216"/>
      <c r="P458" s="216"/>
      <c r="Q458" s="216"/>
    </row>
    <row r="459">
      <c r="A459" s="11" t="str">
        <f>IFERROR(__xludf.DUMMYFUNCTION("""COMPUTED_VALUE"""),"PAGO")</f>
        <v>PAGO</v>
      </c>
      <c r="B459" s="98" t="str">
        <f>IFERROR(__xludf.DUMMYFUNCTION("""COMPUTED_VALUE"""),"Entrada mes anterior")</f>
        <v>Entrada mes anterior</v>
      </c>
      <c r="C459" s="13">
        <f>IFERROR(__xludf.DUMMYFUNCTION("""COMPUTED_VALUE"""),1.0)</f>
        <v>1</v>
      </c>
      <c r="D459" s="13" t="str">
        <f>IFERROR(__xludf.DUMMYFUNCTION("""COMPUTED_VALUE"""),"TER.")</f>
        <v>TER.</v>
      </c>
      <c r="E459" s="13">
        <f>IFERROR(__xludf.DUMMYFUNCTION("""COMPUTED_VALUE"""),6.0)</f>
        <v>6</v>
      </c>
      <c r="F459" s="15"/>
      <c r="G459" s="16">
        <f>IFERROR(__xludf.DUMMYFUNCTION("""COMPUTED_VALUE"""),18.810000000001082)</f>
        <v>18.81</v>
      </c>
      <c r="H459" s="227"/>
      <c r="I459" s="21" t="str">
        <f>IFERROR(__xludf.DUMMYFUNCTION("""COMPUTED_VALUE"""),"ITAU")</f>
        <v>ITAU</v>
      </c>
      <c r="J459" s="21" t="str">
        <f>IFERROR(__xludf.DUMMYFUNCTION("""COMPUTED_VALUE"""),"#Recebimentos #Ajuste #Variavel")</f>
        <v>#Recebimentos #Ajuste #Variavel</v>
      </c>
      <c r="K459" s="216"/>
      <c r="L459" s="216"/>
      <c r="M459" s="216"/>
      <c r="N459" s="216"/>
      <c r="O459" s="216"/>
      <c r="P459" s="216"/>
      <c r="Q459" s="216"/>
    </row>
    <row r="460">
      <c r="A460" s="11" t="str">
        <f>IFERROR(__xludf.DUMMYFUNCTION("""COMPUTED_VALUE"""),"PAGO")</f>
        <v>PAGO</v>
      </c>
      <c r="B460" s="98" t="str">
        <f>IFERROR(__xludf.DUMMYFUNCTION("""COMPUTED_VALUE"""),"Entrada mes anterior")</f>
        <v>Entrada mes anterior</v>
      </c>
      <c r="C460" s="13">
        <f>IFERROR(__xludf.DUMMYFUNCTION("""COMPUTED_VALUE"""),1.0)</f>
        <v>1</v>
      </c>
      <c r="D460" s="13" t="str">
        <f>IFERROR(__xludf.DUMMYFUNCTION("""COMPUTED_VALUE"""),"TER.")</f>
        <v>TER.</v>
      </c>
      <c r="E460" s="13">
        <f>IFERROR(__xludf.DUMMYFUNCTION("""COMPUTED_VALUE"""),6.0)</f>
        <v>6</v>
      </c>
      <c r="F460" s="15"/>
      <c r="G460" s="16">
        <f>IFERROR(__xludf.DUMMYFUNCTION("""COMPUTED_VALUE"""),2.849999999999909)</f>
        <v>2.85</v>
      </c>
      <c r="H460" s="227"/>
      <c r="I460" s="21" t="str">
        <f>IFERROR(__xludf.DUMMYFUNCTION("""COMPUTED_VALUE"""),"INTER")</f>
        <v>INTER</v>
      </c>
      <c r="J460" s="21" t="str">
        <f>IFERROR(__xludf.DUMMYFUNCTION("""COMPUTED_VALUE"""),"#Recebimentos #Ajuste #Variavel")</f>
        <v>#Recebimentos #Ajuste #Variavel</v>
      </c>
      <c r="K460" s="216"/>
      <c r="L460" s="216"/>
      <c r="M460" s="216"/>
      <c r="N460" s="216"/>
      <c r="O460" s="216"/>
      <c r="P460" s="216"/>
      <c r="Q460" s="216"/>
    </row>
    <row r="461">
      <c r="A461" s="11" t="str">
        <f>IFERROR(__xludf.DUMMYFUNCTION("""COMPUTED_VALUE"""),"PAGO")</f>
        <v>PAGO</v>
      </c>
      <c r="B461" s="98" t="str">
        <f>IFERROR(__xludf.DUMMYFUNCTION("""COMPUTED_VALUE"""),"Entrada mes anterior")</f>
        <v>Entrada mes anterior</v>
      </c>
      <c r="C461" s="13">
        <f>IFERROR(__xludf.DUMMYFUNCTION("""COMPUTED_VALUE"""),1.0)</f>
        <v>1</v>
      </c>
      <c r="D461" s="13" t="str">
        <f>IFERROR(__xludf.DUMMYFUNCTION("""COMPUTED_VALUE"""),"TER.")</f>
        <v>TER.</v>
      </c>
      <c r="E461" s="13">
        <f>IFERROR(__xludf.DUMMYFUNCTION("""COMPUTED_VALUE"""),6.0)</f>
        <v>6</v>
      </c>
      <c r="F461" s="15"/>
      <c r="G461" s="16">
        <f>IFERROR(__xludf.DUMMYFUNCTION("""COMPUTED_VALUE"""),22.729999999999336)</f>
        <v>22.73</v>
      </c>
      <c r="H461" s="227"/>
      <c r="I461" s="21" t="str">
        <f>IFERROR(__xludf.DUMMYFUNCTION("""COMPUTED_VALUE"""),"INTER-PJ")</f>
        <v>INTER-PJ</v>
      </c>
      <c r="J461" s="21" t="str">
        <f>IFERROR(__xludf.DUMMYFUNCTION("""COMPUTED_VALUE"""),"#Recebimentos #Ajuste #Variavel")</f>
        <v>#Recebimentos #Ajuste #Variavel</v>
      </c>
      <c r="K461" s="216"/>
      <c r="L461" s="216"/>
      <c r="M461" s="216"/>
      <c r="N461" s="216"/>
      <c r="O461" s="216"/>
      <c r="P461" s="216"/>
      <c r="Q461" s="216"/>
    </row>
    <row r="462">
      <c r="A462" s="11" t="str">
        <f>IFERROR(__xludf.DUMMYFUNCTION("""COMPUTED_VALUE"""),"PAGO")</f>
        <v>PAGO</v>
      </c>
      <c r="B462" s="98" t="str">
        <f>IFERROR(__xludf.DUMMYFUNCTION("""COMPUTED_VALUE"""),"Entrada mes anterior")</f>
        <v>Entrada mes anterior</v>
      </c>
      <c r="C462" s="13">
        <f>IFERROR(__xludf.DUMMYFUNCTION("""COMPUTED_VALUE"""),1.0)</f>
        <v>1</v>
      </c>
      <c r="D462" s="13" t="str">
        <f>IFERROR(__xludf.DUMMYFUNCTION("""COMPUTED_VALUE"""),"TER.")</f>
        <v>TER.</v>
      </c>
      <c r="E462" s="13">
        <f>IFERROR(__xludf.DUMMYFUNCTION("""COMPUTED_VALUE"""),6.0)</f>
        <v>6</v>
      </c>
      <c r="F462" s="15"/>
      <c r="G462" s="16">
        <f>IFERROR(__xludf.DUMMYFUNCTION("""COMPUTED_VALUE"""),3601.420000000003)</f>
        <v>3601.42</v>
      </c>
      <c r="H462" s="227"/>
      <c r="I462" s="21" t="str">
        <f>IFERROR(__xludf.DUMMYFUNCTION("""COMPUTED_VALUE"""),"NUBANK")</f>
        <v>NUBANK</v>
      </c>
      <c r="J462" s="21" t="str">
        <f>IFERROR(__xludf.DUMMYFUNCTION("""COMPUTED_VALUE"""),"#Recebimentos #Ajuste #Variavel")</f>
        <v>#Recebimentos #Ajuste #Variavel</v>
      </c>
      <c r="K462" s="216"/>
      <c r="L462" s="216"/>
      <c r="M462" s="216"/>
      <c r="N462" s="216"/>
      <c r="O462" s="216"/>
      <c r="P462" s="216"/>
      <c r="Q462" s="216"/>
    </row>
    <row r="463">
      <c r="A463" s="11" t="str">
        <f>IFERROR(__xludf.DUMMYFUNCTION("""COMPUTED_VALUE"""),"PAGO")</f>
        <v>PAGO</v>
      </c>
      <c r="B463" s="98" t="str">
        <f>IFERROR(__xludf.DUMMYFUNCTION("""COMPUTED_VALUE"""),"Entrada mes anterior")</f>
        <v>Entrada mes anterior</v>
      </c>
      <c r="C463" s="13">
        <f>IFERROR(__xludf.DUMMYFUNCTION("""COMPUTED_VALUE"""),1.0)</f>
        <v>1</v>
      </c>
      <c r="D463" s="13" t="str">
        <f>IFERROR(__xludf.DUMMYFUNCTION("""COMPUTED_VALUE"""),"TER.")</f>
        <v>TER.</v>
      </c>
      <c r="E463" s="13">
        <f>IFERROR(__xludf.DUMMYFUNCTION("""COMPUTED_VALUE"""),6.0)</f>
        <v>6</v>
      </c>
      <c r="F463" s="15"/>
      <c r="G463" s="16">
        <f>IFERROR(__xludf.DUMMYFUNCTION("""COMPUTED_VALUE"""),9.52)</f>
        <v>9.52</v>
      </c>
      <c r="H463" s="227"/>
      <c r="I463" s="21" t="str">
        <f>IFERROR(__xludf.DUMMYFUNCTION("""COMPUTED_VALUE"""),"C6BANK")</f>
        <v>C6BANK</v>
      </c>
      <c r="J463" s="21" t="str">
        <f>IFERROR(__xludf.DUMMYFUNCTION("""COMPUTED_VALUE"""),"#Recebimentos #Ajuste #Variavel")</f>
        <v>#Recebimentos #Ajuste #Variavel</v>
      </c>
      <c r="K463" s="216"/>
      <c r="L463" s="216"/>
      <c r="M463" s="216"/>
      <c r="N463" s="216"/>
      <c r="O463" s="216"/>
      <c r="P463" s="216"/>
      <c r="Q463" s="216"/>
    </row>
    <row r="464">
      <c r="A464" s="11" t="str">
        <f>IFERROR(__xludf.DUMMYFUNCTION("""COMPUTED_VALUE"""),"PAGO")</f>
        <v>PAGO</v>
      </c>
      <c r="B464" s="98" t="str">
        <f>IFERROR(__xludf.DUMMYFUNCTION("""COMPUTED_VALUE"""),"Entrada mes anterior")</f>
        <v>Entrada mes anterior</v>
      </c>
      <c r="C464" s="13">
        <f>IFERROR(__xludf.DUMMYFUNCTION("""COMPUTED_VALUE"""),1.0)</f>
        <v>1</v>
      </c>
      <c r="D464" s="13" t="str">
        <f>IFERROR(__xludf.DUMMYFUNCTION("""COMPUTED_VALUE"""),"TER.")</f>
        <v>TER.</v>
      </c>
      <c r="E464" s="13">
        <f>IFERROR(__xludf.DUMMYFUNCTION("""COMPUTED_VALUE"""),6.0)</f>
        <v>6</v>
      </c>
      <c r="F464" s="15"/>
      <c r="G464" s="16">
        <f>IFERROR(__xludf.DUMMYFUNCTION("""COMPUTED_VALUE"""),0.0)</f>
        <v>0</v>
      </c>
      <c r="H464" s="227"/>
      <c r="I464" s="21" t="str">
        <f>IFERROR(__xludf.DUMMYFUNCTION("""COMPUTED_VALUE"""),"SANTANDER")</f>
        <v>SANTANDER</v>
      </c>
      <c r="J464" s="21" t="str">
        <f>IFERROR(__xludf.DUMMYFUNCTION("""COMPUTED_VALUE"""),"#Recebimentos #Ajuste #Variavel")</f>
        <v>#Recebimentos #Ajuste #Variavel</v>
      </c>
      <c r="K464" s="216"/>
      <c r="L464" s="216"/>
      <c r="M464" s="216"/>
      <c r="N464" s="216"/>
      <c r="O464" s="216"/>
      <c r="P464" s="216"/>
      <c r="Q464" s="216"/>
    </row>
    <row r="465">
      <c r="A465" s="11" t="str">
        <f>IFERROR(__xludf.DUMMYFUNCTION("""COMPUTED_VALUE"""),"PAGO")</f>
        <v>PAGO</v>
      </c>
      <c r="B465" s="98" t="str">
        <f>IFERROR(__xludf.DUMMYFUNCTION("""COMPUTED_VALUE"""),"Entrada mes anterior")</f>
        <v>Entrada mes anterior</v>
      </c>
      <c r="C465" s="13">
        <f>IFERROR(__xludf.DUMMYFUNCTION("""COMPUTED_VALUE"""),1.0)</f>
        <v>1</v>
      </c>
      <c r="D465" s="13" t="str">
        <f>IFERROR(__xludf.DUMMYFUNCTION("""COMPUTED_VALUE"""),"TER.")</f>
        <v>TER.</v>
      </c>
      <c r="E465" s="13">
        <f>IFERROR(__xludf.DUMMYFUNCTION("""COMPUTED_VALUE"""),6.0)</f>
        <v>6</v>
      </c>
      <c r="F465" s="15"/>
      <c r="G465" s="16">
        <f>IFERROR(__xludf.DUMMYFUNCTION("""COMPUTED_VALUE"""),708.6299999999999)</f>
        <v>708.63</v>
      </c>
      <c r="H465" s="227"/>
      <c r="I465" s="21" t="str">
        <f>IFERROR(__xludf.DUMMYFUNCTION("""COMPUTED_VALUE"""),"SODEXO-REF-IBM")</f>
        <v>SODEXO-REF-IBM</v>
      </c>
      <c r="J465" s="21" t="str">
        <f>IFERROR(__xludf.DUMMYFUNCTION("""COMPUTED_VALUE"""),"#Recebimentos #Ajuste #Variavel")</f>
        <v>#Recebimentos #Ajuste #Variavel</v>
      </c>
      <c r="K465" s="216"/>
      <c r="L465" s="216"/>
      <c r="M465" s="216"/>
      <c r="N465" s="216"/>
      <c r="O465" s="216"/>
      <c r="P465" s="216"/>
      <c r="Q465" s="216"/>
    </row>
    <row r="466">
      <c r="A466" s="11" t="str">
        <f>IFERROR(__xludf.DUMMYFUNCTION("""COMPUTED_VALUE"""),"PAGO")</f>
        <v>PAGO</v>
      </c>
      <c r="B466" s="98" t="str">
        <f>IFERROR(__xludf.DUMMYFUNCTION("""COMPUTED_VALUE"""),"Entrada mes anterior")</f>
        <v>Entrada mes anterior</v>
      </c>
      <c r="C466" s="13">
        <f>IFERROR(__xludf.DUMMYFUNCTION("""COMPUTED_VALUE"""),1.0)</f>
        <v>1</v>
      </c>
      <c r="D466" s="13" t="str">
        <f>IFERROR(__xludf.DUMMYFUNCTION("""COMPUTED_VALUE"""),"TER.")</f>
        <v>TER.</v>
      </c>
      <c r="E466" s="13">
        <f>IFERROR(__xludf.DUMMYFUNCTION("""COMPUTED_VALUE"""),6.0)</f>
        <v>6</v>
      </c>
      <c r="F466" s="15"/>
      <c r="G466" s="16">
        <f>IFERROR(__xludf.DUMMYFUNCTION("""COMPUTED_VALUE"""),332.86)</f>
        <v>332.86</v>
      </c>
      <c r="H466" s="227"/>
      <c r="I466" s="21" t="str">
        <f>IFERROR(__xludf.DUMMYFUNCTION("""COMPUTED_VALUE"""),"SODEXO-ALI-IBM")</f>
        <v>SODEXO-ALI-IBM</v>
      </c>
      <c r="J466" s="21" t="str">
        <f>IFERROR(__xludf.DUMMYFUNCTION("""COMPUTED_VALUE"""),"#Recebimentos #Ajuste #Variavel")</f>
        <v>#Recebimentos #Ajuste #Variavel</v>
      </c>
      <c r="K466" s="216"/>
      <c r="L466" s="216"/>
      <c r="M466" s="216"/>
      <c r="N466" s="216"/>
      <c r="O466" s="216"/>
      <c r="P466" s="216"/>
      <c r="Q466" s="216"/>
    </row>
    <row r="467">
      <c r="A467" s="11" t="str">
        <f>IFERROR(__xludf.DUMMYFUNCTION("""COMPUTED_VALUE"""),"PAGO")</f>
        <v>PAGO</v>
      </c>
      <c r="B467" s="98" t="str">
        <f>IFERROR(__xludf.DUMMYFUNCTION("""COMPUTED_VALUE"""),"Shibata - Aniversário do Eduardo - 7 ANOS")</f>
        <v>Shibata - Aniversário do Eduardo - 7 ANOS</v>
      </c>
      <c r="C467" s="13">
        <f>IFERROR(__xludf.DUMMYFUNCTION("""COMPUTED_VALUE"""),1.0)</f>
        <v>1</v>
      </c>
      <c r="D467" s="13" t="str">
        <f>IFERROR(__xludf.DUMMYFUNCTION("""COMPUTED_VALUE"""),"TER.")</f>
        <v>TER.</v>
      </c>
      <c r="E467" s="13">
        <f>IFERROR(__xludf.DUMMYFUNCTION("""COMPUTED_VALUE"""),6.0)</f>
        <v>6</v>
      </c>
      <c r="F467" s="15"/>
      <c r="G467" s="16"/>
      <c r="H467" s="227">
        <f>IFERROR(__xludf.DUMMYFUNCTION("""COMPUTED_VALUE"""),246.23)</f>
        <v>246.23</v>
      </c>
      <c r="I467" s="21" t="str">
        <f>IFERROR(__xludf.DUMMYFUNCTION("""COMPUTED_VALUE"""),"SODEXO-REF-IBM")</f>
        <v>SODEXO-REF-IBM</v>
      </c>
      <c r="J467" s="21" t="str">
        <f>IFERROR(__xludf.DUMMYFUNCTION("""COMPUTED_VALUE"""),"#Lazer #Mercado #Variavel #Alimentação #Eduardo")</f>
        <v>#Lazer #Mercado #Variavel #Alimentação #Eduardo</v>
      </c>
      <c r="K467" s="216"/>
      <c r="L467" s="216"/>
      <c r="M467" s="216"/>
      <c r="N467" s="216"/>
      <c r="O467" s="216"/>
      <c r="P467" s="216"/>
      <c r="Q467" s="216"/>
    </row>
    <row r="468">
      <c r="A468" s="11" t="str">
        <f>IFERROR(__xludf.DUMMYFUNCTION("""COMPUTED_VALUE"""),"PAGO")</f>
        <v>PAGO</v>
      </c>
      <c r="B468" s="98" t="str">
        <f>IFERROR(__xludf.DUMMYFUNCTION("""COMPUTED_VALUE"""),"Levitar SJC - sorvetes")</f>
        <v>Levitar SJC - sorvetes</v>
      </c>
      <c r="C468" s="13">
        <f>IFERROR(__xludf.DUMMYFUNCTION("""COMPUTED_VALUE"""),2.0)</f>
        <v>2</v>
      </c>
      <c r="D468" s="13" t="str">
        <f>IFERROR(__xludf.DUMMYFUNCTION("""COMPUTED_VALUE"""),"QUA.")</f>
        <v>QUA.</v>
      </c>
      <c r="E468" s="13">
        <f>IFERROR(__xludf.DUMMYFUNCTION("""COMPUTED_VALUE"""),6.0)</f>
        <v>6</v>
      </c>
      <c r="F468" s="15"/>
      <c r="G468" s="16"/>
      <c r="H468" s="227">
        <f>IFERROR(__xludf.DUMMYFUNCTION("""COMPUTED_VALUE"""),30.0)</f>
        <v>30</v>
      </c>
      <c r="I468" s="21" t="str">
        <f>IFERROR(__xludf.DUMMYFUNCTION("""COMPUTED_VALUE"""),"NUBANK")</f>
        <v>NUBANK</v>
      </c>
      <c r="J468" s="21" t="str">
        <f>IFERROR(__xludf.DUMMYFUNCTION("""COMPUTED_VALUE"""),"#Lazer #Comida #Variavel")</f>
        <v>#Lazer #Comida #Variavel</v>
      </c>
      <c r="K468" s="216"/>
      <c r="L468" s="216"/>
      <c r="M468" s="216"/>
      <c r="N468" s="216"/>
      <c r="O468" s="216"/>
      <c r="P468" s="216"/>
      <c r="Q468" s="216"/>
    </row>
    <row r="469">
      <c r="A469" s="11" t="str">
        <f>IFERROR(__xludf.DUMMYFUNCTION("""COMPUTED_VALUE"""),"PAGO")</f>
        <v>PAGO</v>
      </c>
      <c r="B469" s="98" t="str">
        <f>IFERROR(__xludf.DUMMYFUNCTION("""COMPUTED_VALUE"""),"Agua - DEBITO AUTO")</f>
        <v>Agua - DEBITO AUTO</v>
      </c>
      <c r="C469" s="13">
        <f>IFERROR(__xludf.DUMMYFUNCTION("""COMPUTED_VALUE"""),3.0)</f>
        <v>3</v>
      </c>
      <c r="D469" s="13" t="str">
        <f>IFERROR(__xludf.DUMMYFUNCTION("""COMPUTED_VALUE"""),"QUI.")</f>
        <v>QUI.</v>
      </c>
      <c r="E469" s="13">
        <f>IFERROR(__xludf.DUMMYFUNCTION("""COMPUTED_VALUE"""),6.0)</f>
        <v>6</v>
      </c>
      <c r="F469" s="15"/>
      <c r="G469" s="16"/>
      <c r="H469" s="227">
        <f>IFERROR(__xludf.DUMMYFUNCTION("""COMPUTED_VALUE"""),49.92)</f>
        <v>49.92</v>
      </c>
      <c r="I469" s="21" t="str">
        <f>IFERROR(__xludf.DUMMYFUNCTION("""COMPUTED_VALUE"""),"ITAU")</f>
        <v>ITAU</v>
      </c>
      <c r="J469" s="21" t="str">
        <f>IFERROR(__xludf.DUMMYFUNCTION("""COMPUTED_VALUE"""),"#Moradia #Essencial #Agua #Fixo")</f>
        <v>#Moradia #Essencial #Agua #Fixo</v>
      </c>
      <c r="K469" s="216"/>
      <c r="L469" s="216"/>
      <c r="M469" s="216"/>
      <c r="N469" s="216"/>
      <c r="O469" s="216"/>
      <c r="P469" s="216"/>
      <c r="Q469" s="216"/>
    </row>
    <row r="470">
      <c r="A470" s="11" t="str">
        <f>IFERROR(__xludf.DUMMYFUNCTION("""COMPUTED_VALUE"""),"PAGO")</f>
        <v>PAGO</v>
      </c>
      <c r="B470" s="98" t="str">
        <f>IFERROR(__xludf.DUMMYFUNCTION("""COMPUTED_VALUE"""),"Dory Edson Tavares - Cama Elastica")</f>
        <v>Dory Edson Tavares - Cama Elastica</v>
      </c>
      <c r="C470" s="13">
        <f>IFERROR(__xludf.DUMMYFUNCTION("""COMPUTED_VALUE"""),4.0)</f>
        <v>4</v>
      </c>
      <c r="D470" s="13" t="str">
        <f>IFERROR(__xludf.DUMMYFUNCTION("""COMPUTED_VALUE"""),"SEX.")</f>
        <v>SEX.</v>
      </c>
      <c r="E470" s="13">
        <f>IFERROR(__xludf.DUMMYFUNCTION("""COMPUTED_VALUE"""),6.0)</f>
        <v>6</v>
      </c>
      <c r="F470" s="15"/>
      <c r="G470" s="16"/>
      <c r="H470" s="227">
        <f>IFERROR(__xludf.DUMMYFUNCTION("""COMPUTED_VALUE"""),160.0)</f>
        <v>160</v>
      </c>
      <c r="I470" s="21" t="str">
        <f>IFERROR(__xludf.DUMMYFUNCTION("""COMPUTED_VALUE"""),"NUBANK")</f>
        <v>NUBANK</v>
      </c>
      <c r="J470" s="21" t="str">
        <f>IFERROR(__xludf.DUMMYFUNCTION("""COMPUTED_VALUE"""),"#Lazer #Eduardo #Aniversario #Variavel")</f>
        <v>#Lazer #Eduardo #Aniversario #Variavel</v>
      </c>
      <c r="K470" s="216"/>
      <c r="L470" s="216"/>
      <c r="M470" s="216"/>
      <c r="N470" s="216"/>
      <c r="O470" s="216"/>
      <c r="P470" s="216"/>
      <c r="Q470" s="216"/>
    </row>
    <row r="471">
      <c r="A471" s="11" t="str">
        <f>IFERROR(__xludf.DUMMYFUNCTION("""COMPUTED_VALUE"""),"PAGO")</f>
        <v>PAGO</v>
      </c>
      <c r="B471" s="98" t="str">
        <f>IFERROR(__xludf.DUMMYFUNCTION("""COMPUTED_VALUE"""),"Entrada prestação casa de Itaquera")</f>
        <v>Entrada prestação casa de Itaquera</v>
      </c>
      <c r="C471" s="13">
        <f>IFERROR(__xludf.DUMMYFUNCTION("""COMPUTED_VALUE"""),4.0)</f>
        <v>4</v>
      </c>
      <c r="D471" s="13" t="str">
        <f>IFERROR(__xludf.DUMMYFUNCTION("""COMPUTED_VALUE"""),"SEX.")</f>
        <v>SEX.</v>
      </c>
      <c r="E471" s="13">
        <f>IFERROR(__xludf.DUMMYFUNCTION("""COMPUTED_VALUE"""),6.0)</f>
        <v>6</v>
      </c>
      <c r="F471" s="15"/>
      <c r="G471" s="16">
        <f>IFERROR(__xludf.DUMMYFUNCTION("""COMPUTED_VALUE"""),2500.0)</f>
        <v>2500</v>
      </c>
      <c r="H471" s="227"/>
      <c r="I471" s="21" t="str">
        <f>IFERROR(__xludf.DUMMYFUNCTION("""COMPUTED_VALUE"""),"INTER")</f>
        <v>INTER</v>
      </c>
      <c r="J471" s="21" t="str">
        <f>IFERROR(__xludf.DUMMYFUNCTION("""COMPUTED_VALUE"""),"#Recebimentos #Prestação #Itaquera #Inter #Extra")</f>
        <v>#Recebimentos #Prestação #Itaquera #Inter #Extra</v>
      </c>
      <c r="K471" s="216"/>
      <c r="L471" s="216"/>
      <c r="M471" s="216"/>
      <c r="N471" s="216"/>
      <c r="O471" s="216"/>
      <c r="P471" s="216"/>
      <c r="Q471" s="216"/>
    </row>
    <row r="472">
      <c r="A472" s="11" t="str">
        <f>IFERROR(__xludf.DUMMYFUNCTION("""COMPUTED_VALUE"""),"CONTAS")</f>
        <v>CONTAS</v>
      </c>
      <c r="B472" s="98" t="str">
        <f>IFERROR(__xludf.DUMMYFUNCTION("""COMPUTED_VALUE"""),"Transferencia via PIX")</f>
        <v>Transferencia via PIX</v>
      </c>
      <c r="C472" s="13">
        <f>IFERROR(__xludf.DUMMYFUNCTION("""COMPUTED_VALUE"""),5.0)</f>
        <v>5</v>
      </c>
      <c r="D472" s="13" t="str">
        <f>IFERROR(__xludf.DUMMYFUNCTION("""COMPUTED_VALUE"""),"SÁB.")</f>
        <v>SÁB.</v>
      </c>
      <c r="E472" s="13">
        <f>IFERROR(__xludf.DUMMYFUNCTION("""COMPUTED_VALUE"""),6.0)</f>
        <v>6</v>
      </c>
      <c r="F472" s="15"/>
      <c r="G472" s="16"/>
      <c r="H472" s="227">
        <f>IFERROR(__xludf.DUMMYFUNCTION("""COMPUTED_VALUE"""),300.0)</f>
        <v>300</v>
      </c>
      <c r="I472" s="21" t="str">
        <f>IFERROR(__xludf.DUMMYFUNCTION("""COMPUTED_VALUE"""),"NUBANK")</f>
        <v>NUBANK</v>
      </c>
      <c r="J472" s="21"/>
      <c r="K472" s="216"/>
      <c r="L472" s="216"/>
      <c r="M472" s="216"/>
      <c r="N472" s="216"/>
      <c r="O472" s="216"/>
      <c r="P472" s="216"/>
      <c r="Q472" s="216"/>
    </row>
    <row r="473">
      <c r="A473" s="11" t="str">
        <f>IFERROR(__xludf.DUMMYFUNCTION("""COMPUTED_VALUE"""),"CONTAS")</f>
        <v>CONTAS</v>
      </c>
      <c r="B473" s="98" t="str">
        <f>IFERROR(__xludf.DUMMYFUNCTION("""COMPUTED_VALUE"""),"Recebimento via PIX")</f>
        <v>Recebimento via PIX</v>
      </c>
      <c r="C473" s="13">
        <f>IFERROR(__xludf.DUMMYFUNCTION("""COMPUTED_VALUE"""),5.0)</f>
        <v>5</v>
      </c>
      <c r="D473" s="13" t="str">
        <f>IFERROR(__xludf.DUMMYFUNCTION("""COMPUTED_VALUE"""),"SÁB.")</f>
        <v>SÁB.</v>
      </c>
      <c r="E473" s="13">
        <f>IFERROR(__xludf.DUMMYFUNCTION("""COMPUTED_VALUE"""),6.0)</f>
        <v>6</v>
      </c>
      <c r="F473" s="15"/>
      <c r="G473" s="16">
        <f>IFERROR(__xludf.DUMMYFUNCTION("""COMPUTED_VALUE"""),300.0)</f>
        <v>300</v>
      </c>
      <c r="H473" s="227"/>
      <c r="I473" s="21" t="str">
        <f>IFERROR(__xludf.DUMMYFUNCTION("""COMPUTED_VALUE"""),"ITAU")</f>
        <v>ITAU</v>
      </c>
      <c r="J473" s="21"/>
      <c r="K473" s="216"/>
      <c r="L473" s="216"/>
      <c r="M473" s="216"/>
      <c r="N473" s="216"/>
      <c r="O473" s="216"/>
      <c r="P473" s="216"/>
      <c r="Q473" s="216"/>
    </row>
    <row r="474">
      <c r="A474" s="11" t="str">
        <f>IFERROR(__xludf.DUMMYFUNCTION("""COMPUTED_VALUE"""),"PAGO")</f>
        <v>PAGO</v>
      </c>
      <c r="B474" s="98" t="str">
        <f>IFERROR(__xludf.DUMMYFUNCTION("""COMPUTED_VALUE""")," Magalu - Garrafa Térmica Mor Nobile - Ampola de reposição 1L")</f>
        <v> Magalu - Garrafa Térmica Mor Nobile - Ampola de reposição 1L</v>
      </c>
      <c r="C474" s="13">
        <f>IFERROR(__xludf.DUMMYFUNCTION("""COMPUTED_VALUE"""),5.0)</f>
        <v>5</v>
      </c>
      <c r="D474" s="13" t="str">
        <f>IFERROR(__xludf.DUMMYFUNCTION("""COMPUTED_VALUE"""),"SÁB.")</f>
        <v>SÁB.</v>
      </c>
      <c r="E474" s="13">
        <f>IFERROR(__xludf.DUMMYFUNCTION("""COMPUTED_VALUE"""),6.0)</f>
        <v>6</v>
      </c>
      <c r="F474" s="15"/>
      <c r="G474" s="16"/>
      <c r="H474" s="227">
        <f>IFERROR(__xludf.DUMMYFUNCTION("""COMPUTED_VALUE"""),38.63)</f>
        <v>38.63</v>
      </c>
      <c r="I474" s="21" t="str">
        <f>IFERROR(__xludf.DUMMYFUNCTION("""COMPUTED_VALUE"""),"NUBANK")</f>
        <v>NUBANK</v>
      </c>
      <c r="J474" s="21" t="str">
        <f>IFERROR(__xludf.DUMMYFUNCTION("""COMPUTED_VALUE"""),"#Moradia #Essencial #Mercado #Variavel #Alimentação ")</f>
        <v>#Moradia #Essencial #Mercado #Variavel #Alimentação </v>
      </c>
      <c r="K474" s="216"/>
      <c r="L474" s="216"/>
      <c r="M474" s="216"/>
      <c r="N474" s="216"/>
      <c r="O474" s="216"/>
      <c r="P474" s="216"/>
      <c r="Q474" s="216"/>
    </row>
    <row r="475">
      <c r="A475" s="11" t="str">
        <f>IFERROR(__xludf.DUMMYFUNCTION("""COMPUTED_VALUE"""),"PAGO")</f>
        <v>PAGO</v>
      </c>
      <c r="B475" s="98" t="str">
        <f>IFERROR(__xludf.DUMMYFUNCTION("""COMPUTED_VALUE"""),"Multi Sabor SJC - Cidade Jardim")</f>
        <v>Multi Sabor SJC - Cidade Jardim</v>
      </c>
      <c r="C475" s="13">
        <f>IFERROR(__xludf.DUMMYFUNCTION("""COMPUTED_VALUE"""),5.0)</f>
        <v>5</v>
      </c>
      <c r="D475" s="13" t="str">
        <f>IFERROR(__xludf.DUMMYFUNCTION("""COMPUTED_VALUE"""),"SÁB.")</f>
        <v>SÁB.</v>
      </c>
      <c r="E475" s="13">
        <f>IFERROR(__xludf.DUMMYFUNCTION("""COMPUTED_VALUE"""),6.0)</f>
        <v>6</v>
      </c>
      <c r="F475" s="15"/>
      <c r="G475" s="16"/>
      <c r="H475" s="227">
        <f>IFERROR(__xludf.DUMMYFUNCTION("""COMPUTED_VALUE"""),45.0)</f>
        <v>45</v>
      </c>
      <c r="I475" s="21" t="str">
        <f>IFERROR(__xludf.DUMMYFUNCTION("""COMPUTED_VALUE"""),"NUBANK")</f>
        <v>NUBANK</v>
      </c>
      <c r="J475" s="21" t="str">
        <f>IFERROR(__xludf.DUMMYFUNCTION("""COMPUTED_VALUE"""),"#Lazer #Comida #Variavel")</f>
        <v>#Lazer #Comida #Variavel</v>
      </c>
      <c r="K475" s="216"/>
      <c r="L475" s="216"/>
      <c r="M475" s="216"/>
      <c r="N475" s="216"/>
      <c r="O475" s="216"/>
      <c r="P475" s="216"/>
      <c r="Q475" s="216"/>
    </row>
    <row r="476">
      <c r="A476" s="11" t="str">
        <f>IFERROR(__xludf.DUMMYFUNCTION("""COMPUTED_VALUE"""),"PAGO")</f>
        <v>PAGO</v>
      </c>
      <c r="B476" s="98" t="str">
        <f>IFERROR(__xludf.DUMMYFUNCTION("""COMPUTED_VALUE"""),"iFood Agencia de restaurantes")</f>
        <v>iFood Agencia de restaurantes</v>
      </c>
      <c r="C476" s="13">
        <f>IFERROR(__xludf.DUMMYFUNCTION("""COMPUTED_VALUE"""),6.0)</f>
        <v>6</v>
      </c>
      <c r="D476" s="13" t="str">
        <f>IFERROR(__xludf.DUMMYFUNCTION("""COMPUTED_VALUE"""),"DOM.")</f>
        <v>DOM.</v>
      </c>
      <c r="E476" s="13">
        <f>IFERROR(__xludf.DUMMYFUNCTION("""COMPUTED_VALUE"""),6.0)</f>
        <v>6</v>
      </c>
      <c r="F476" s="15"/>
      <c r="G476" s="16"/>
      <c r="H476" s="227">
        <f>IFERROR(__xludf.DUMMYFUNCTION("""COMPUTED_VALUE"""),55.47)</f>
        <v>55.47</v>
      </c>
      <c r="I476" s="21" t="str">
        <f>IFERROR(__xludf.DUMMYFUNCTION("""COMPUTED_VALUE"""),"NUBANK")</f>
        <v>NUBANK</v>
      </c>
      <c r="J476" s="21" t="str">
        <f>IFERROR(__xludf.DUMMYFUNCTION("""COMPUTED_VALUE"""),"#Lazer #Comida #Variavel")</f>
        <v>#Lazer #Comida #Variavel</v>
      </c>
      <c r="K476" s="216"/>
      <c r="L476" s="216"/>
      <c r="M476" s="216"/>
      <c r="N476" s="216"/>
      <c r="O476" s="216"/>
      <c r="P476" s="216"/>
      <c r="Q476" s="216"/>
    </row>
    <row r="477">
      <c r="A477" s="11" t="str">
        <f>IFERROR(__xludf.DUMMYFUNCTION("""COMPUTED_VALUE"""),"PAGO")</f>
        <v>PAGO</v>
      </c>
      <c r="B477" s="98" t="str">
        <f>IFERROR(__xludf.DUMMYFUNCTION("""COMPUTED_VALUE"""),"Mercado Livre - Adaptador USB Wifi para o desktop da Roberta")</f>
        <v>Mercado Livre - Adaptador USB Wifi para o desktop da Roberta</v>
      </c>
      <c r="C477" s="13">
        <f>IFERROR(__xludf.DUMMYFUNCTION("""COMPUTED_VALUE"""),6.0)</f>
        <v>6</v>
      </c>
      <c r="D477" s="13" t="str">
        <f>IFERROR(__xludf.DUMMYFUNCTION("""COMPUTED_VALUE"""),"DOM.")</f>
        <v>DOM.</v>
      </c>
      <c r="E477" s="13">
        <f>IFERROR(__xludf.DUMMYFUNCTION("""COMPUTED_VALUE"""),6.0)</f>
        <v>6</v>
      </c>
      <c r="F477" s="15"/>
      <c r="G477" s="16"/>
      <c r="H477" s="227">
        <f>IFERROR(__xludf.DUMMYFUNCTION("""COMPUTED_VALUE"""),83.4)</f>
        <v>83.4</v>
      </c>
      <c r="I477" s="21" t="str">
        <f>IFERROR(__xludf.DUMMYFUNCTION("""COMPUTED_VALUE"""),"NUBANK")</f>
        <v>NUBANK</v>
      </c>
      <c r="J477" s="21" t="str">
        <f>IFERROR(__xludf.DUMMYFUNCTION("""COMPUTED_VALUE"""),"#Lazer #Mineração #CriptoMoedas #Variavel")</f>
        <v>#Lazer #Mineração #CriptoMoedas #Variavel</v>
      </c>
      <c r="K477" s="216"/>
      <c r="L477" s="216"/>
      <c r="M477" s="216"/>
      <c r="N477" s="216"/>
      <c r="O477" s="216"/>
      <c r="P477" s="216"/>
      <c r="Q477" s="216"/>
    </row>
    <row r="478">
      <c r="A478" s="11" t="str">
        <f>IFERROR(__xludf.DUMMYFUNCTION("""COMPUTED_VALUE"""),"PAGO")</f>
        <v>PAGO</v>
      </c>
      <c r="B478" s="98" t="str">
        <f>IFERROR(__xludf.DUMMYFUNCTION("""COMPUTED_VALUE"""),"Devolução Deposito Binance para investimentos em moedas digitais")</f>
        <v>Devolução Deposito Binance para investimentos em moedas digitais</v>
      </c>
      <c r="C478" s="13">
        <f>IFERROR(__xludf.DUMMYFUNCTION("""COMPUTED_VALUE"""),7.0)</f>
        <v>7</v>
      </c>
      <c r="D478" s="13" t="str">
        <f>IFERROR(__xludf.DUMMYFUNCTION("""COMPUTED_VALUE"""),"SEG.")</f>
        <v>SEG.</v>
      </c>
      <c r="E478" s="13">
        <f>IFERROR(__xludf.DUMMYFUNCTION("""COMPUTED_VALUE"""),6.0)</f>
        <v>6</v>
      </c>
      <c r="F478" s="15"/>
      <c r="G478" s="16">
        <f>IFERROR(__xludf.DUMMYFUNCTION("""COMPUTED_VALUE"""),30.0)</f>
        <v>30</v>
      </c>
      <c r="H478" s="227"/>
      <c r="I478" s="21" t="str">
        <f>IFERROR(__xludf.DUMMYFUNCTION("""COMPUTED_VALUE"""),"INTER-PJ")</f>
        <v>INTER-PJ</v>
      </c>
      <c r="J478" s="21" t="str">
        <f>IFERROR(__xludf.DUMMYFUNCTION("""COMPUTED_VALUE"""),"#Investimento #Binance #Variavel")</f>
        <v>#Investimento #Binance #Variavel</v>
      </c>
      <c r="K478" s="216"/>
      <c r="L478" s="216"/>
      <c r="M478" s="216"/>
      <c r="N478" s="216"/>
      <c r="O478" s="216"/>
      <c r="P478" s="216"/>
      <c r="Q478" s="216"/>
    </row>
    <row r="479">
      <c r="A479" s="11" t="str">
        <f>IFERROR(__xludf.DUMMYFUNCTION("""COMPUTED_VALUE"""),"PAGO")</f>
        <v>PAGO</v>
      </c>
      <c r="B479" s="98" t="str">
        <f>IFERROR(__xludf.DUMMYFUNCTION("""COMPUTED_VALUE"""),"Aluguel de Itaquera - Joice")</f>
        <v>Aluguel de Itaquera - Joice</v>
      </c>
      <c r="C479" s="13">
        <f>IFERROR(__xludf.DUMMYFUNCTION("""COMPUTED_VALUE"""),7.0)</f>
        <v>7</v>
      </c>
      <c r="D479" s="13" t="str">
        <f>IFERROR(__xludf.DUMMYFUNCTION("""COMPUTED_VALUE"""),"SEG.")</f>
        <v>SEG.</v>
      </c>
      <c r="E479" s="13">
        <f>IFERROR(__xludf.DUMMYFUNCTION("""COMPUTED_VALUE"""),6.0)</f>
        <v>6</v>
      </c>
      <c r="F479" s="15"/>
      <c r="G479" s="16">
        <f>IFERROR(__xludf.DUMMYFUNCTION("""COMPUTED_VALUE"""),166.0)</f>
        <v>166</v>
      </c>
      <c r="H479" s="227"/>
      <c r="I479" s="21" t="str">
        <f>IFERROR(__xludf.DUMMYFUNCTION("""COMPUTED_VALUE"""),"NUBANK")</f>
        <v>NUBANK</v>
      </c>
      <c r="J479" s="21" t="str">
        <f>IFERROR(__xludf.DUMMYFUNCTION("""COMPUTED_VALUE"""),"#Recebimentos #Aluguel #Itaquera #Extra")</f>
        <v>#Recebimentos #Aluguel #Itaquera #Extra</v>
      </c>
      <c r="K479" s="216"/>
      <c r="L479" s="216"/>
      <c r="M479" s="216"/>
      <c r="N479" s="216"/>
      <c r="O479" s="216"/>
      <c r="P479" s="216"/>
      <c r="Q479" s="216"/>
    </row>
    <row r="480">
      <c r="A480" s="11" t="str">
        <f>IFERROR(__xludf.DUMMYFUNCTION("""COMPUTED_VALUE"""),"PAGO")</f>
        <v>PAGO</v>
      </c>
      <c r="B480" s="98" t="str">
        <f>IFERROR(__xludf.DUMMYFUNCTION("""COMPUTED_VALUE"""),"Transferencia via PIX - Roberta (aluguel)")</f>
        <v>Transferencia via PIX - Roberta (aluguel)</v>
      </c>
      <c r="C480" s="13">
        <f>IFERROR(__xludf.DUMMYFUNCTION("""COMPUTED_VALUE"""),7.0)</f>
        <v>7</v>
      </c>
      <c r="D480" s="13" t="str">
        <f>IFERROR(__xludf.DUMMYFUNCTION("""COMPUTED_VALUE"""),"SEG.")</f>
        <v>SEG.</v>
      </c>
      <c r="E480" s="13">
        <f>IFERROR(__xludf.DUMMYFUNCTION("""COMPUTED_VALUE"""),6.0)</f>
        <v>6</v>
      </c>
      <c r="F480" s="15"/>
      <c r="G480" s="16"/>
      <c r="H480" s="227">
        <f>IFERROR(__xludf.DUMMYFUNCTION("""COMPUTED_VALUE"""),166.0)</f>
        <v>166</v>
      </c>
      <c r="I480" s="21" t="str">
        <f>IFERROR(__xludf.DUMMYFUNCTION("""COMPUTED_VALUE"""),"NUBANK")</f>
        <v>NUBANK</v>
      </c>
      <c r="J480" s="21" t="str">
        <f>IFERROR(__xludf.DUMMYFUNCTION("""COMPUTED_VALUE"""),"#Roberta #Aluguel #Itaquera #Extra")</f>
        <v>#Roberta #Aluguel #Itaquera #Extra</v>
      </c>
      <c r="K480" s="216"/>
      <c r="L480" s="216"/>
      <c r="M480" s="216"/>
      <c r="N480" s="216"/>
      <c r="O480" s="216"/>
      <c r="P480" s="216"/>
      <c r="Q480" s="216"/>
    </row>
    <row r="481">
      <c r="A481" s="11" t="str">
        <f>IFERROR(__xludf.DUMMYFUNCTION("""COMPUTED_VALUE"""),"PAGO")</f>
        <v>PAGO</v>
      </c>
      <c r="B481" s="98" t="str">
        <f>IFERROR(__xludf.DUMMYFUNCTION("""COMPUTED_VALUE"""),"Coaching / Psicologa - Candice Oliveira")</f>
        <v>Coaching / Psicologa - Candice Oliveira</v>
      </c>
      <c r="C481" s="13">
        <f>IFERROR(__xludf.DUMMYFUNCTION("""COMPUTED_VALUE"""),7.0)</f>
        <v>7</v>
      </c>
      <c r="D481" s="13" t="str">
        <f>IFERROR(__xludf.DUMMYFUNCTION("""COMPUTED_VALUE"""),"SEG.")</f>
        <v>SEG.</v>
      </c>
      <c r="E481" s="13">
        <f>IFERROR(__xludf.DUMMYFUNCTION("""COMPUTED_VALUE"""),6.0)</f>
        <v>6</v>
      </c>
      <c r="F481" s="15"/>
      <c r="G481" s="16"/>
      <c r="H481" s="227">
        <f>IFERROR(__xludf.DUMMYFUNCTION("""COMPUTED_VALUE"""),100.0)</f>
        <v>100</v>
      </c>
      <c r="I481" s="21" t="str">
        <f>IFERROR(__xludf.DUMMYFUNCTION("""COMPUTED_VALUE"""),"NUBANK")</f>
        <v>NUBANK</v>
      </c>
      <c r="J481" s="21" t="str">
        <f>IFERROR(__xludf.DUMMYFUNCTION("""COMPUTED_VALUE"""),"#Coaching #Fixo")</f>
        <v>#Coaching #Fixo</v>
      </c>
      <c r="K481" s="216"/>
      <c r="L481" s="216"/>
      <c r="M481" s="216"/>
      <c r="N481" s="216"/>
      <c r="O481" s="216"/>
      <c r="P481" s="216"/>
      <c r="Q481" s="216"/>
    </row>
    <row r="482">
      <c r="A482" s="11" t="str">
        <f>IFERROR(__xludf.DUMMYFUNCTION("""COMPUTED_VALUE"""),"CONTAS")</f>
        <v>CONTAS</v>
      </c>
      <c r="B482" s="98" t="str">
        <f>IFERROR(__xludf.DUMMYFUNCTION("""COMPUTED_VALUE"""),"Transferencia via PIX")</f>
        <v>Transferencia via PIX</v>
      </c>
      <c r="C482" s="13">
        <f>IFERROR(__xludf.DUMMYFUNCTION("""COMPUTED_VALUE"""),7.0)</f>
        <v>7</v>
      </c>
      <c r="D482" s="13" t="str">
        <f>IFERROR(__xludf.DUMMYFUNCTION("""COMPUTED_VALUE"""),"SEG.")</f>
        <v>SEG.</v>
      </c>
      <c r="E482" s="13">
        <f>IFERROR(__xludf.DUMMYFUNCTION("""COMPUTED_VALUE"""),6.0)</f>
        <v>6</v>
      </c>
      <c r="F482" s="15"/>
      <c r="G482" s="16"/>
      <c r="H482" s="227">
        <f>IFERROR(__xludf.DUMMYFUNCTION("""COMPUTED_VALUE"""),50.0)</f>
        <v>50</v>
      </c>
      <c r="I482" s="21" t="str">
        <f>IFERROR(__xludf.DUMMYFUNCTION("""COMPUTED_VALUE"""),"INTER-PJ")</f>
        <v>INTER-PJ</v>
      </c>
      <c r="J482" s="21"/>
      <c r="K482" s="216"/>
      <c r="L482" s="216"/>
      <c r="M482" s="216"/>
      <c r="N482" s="216"/>
      <c r="O482" s="216"/>
      <c r="P482" s="216"/>
      <c r="Q482" s="216"/>
    </row>
    <row r="483">
      <c r="A483" s="11" t="str">
        <f>IFERROR(__xludf.DUMMYFUNCTION("""COMPUTED_VALUE"""),"CONTAS")</f>
        <v>CONTAS</v>
      </c>
      <c r="B483" s="98" t="str">
        <f>IFERROR(__xludf.DUMMYFUNCTION("""COMPUTED_VALUE"""),"Recebimento via PIX")</f>
        <v>Recebimento via PIX</v>
      </c>
      <c r="C483" s="13">
        <f>IFERROR(__xludf.DUMMYFUNCTION("""COMPUTED_VALUE"""),7.0)</f>
        <v>7</v>
      </c>
      <c r="D483" s="13" t="str">
        <f>IFERROR(__xludf.DUMMYFUNCTION("""COMPUTED_VALUE"""),"SEG.")</f>
        <v>SEG.</v>
      </c>
      <c r="E483" s="13">
        <f>IFERROR(__xludf.DUMMYFUNCTION("""COMPUTED_VALUE"""),6.0)</f>
        <v>6</v>
      </c>
      <c r="F483" s="15"/>
      <c r="G483" s="16">
        <f>IFERROR(__xludf.DUMMYFUNCTION("""COMPUTED_VALUE"""),50.0)</f>
        <v>50</v>
      </c>
      <c r="H483" s="227"/>
      <c r="I483" s="21" t="str">
        <f>IFERROR(__xludf.DUMMYFUNCTION("""COMPUTED_VALUE"""),"NUBANK")</f>
        <v>NUBANK</v>
      </c>
      <c r="J483" s="21"/>
      <c r="K483" s="216"/>
      <c r="L483" s="216"/>
      <c r="M483" s="216"/>
      <c r="N483" s="216"/>
      <c r="O483" s="216"/>
      <c r="P483" s="216"/>
      <c r="Q483" s="216"/>
    </row>
    <row r="484">
      <c r="A484" s="11" t="str">
        <f>IFERROR(__xludf.DUMMYFUNCTION("""COMPUTED_VALUE"""),"CONTAS")</f>
        <v>CONTAS</v>
      </c>
      <c r="B484" s="98" t="str">
        <f>IFERROR(__xludf.DUMMYFUNCTION("""COMPUTED_VALUE"""),"Transferencia via PIX")</f>
        <v>Transferencia via PIX</v>
      </c>
      <c r="C484" s="13">
        <f>IFERROR(__xludf.DUMMYFUNCTION("""COMPUTED_VALUE"""),7.0)</f>
        <v>7</v>
      </c>
      <c r="D484" s="13" t="str">
        <f>IFERROR(__xludf.DUMMYFUNCTION("""COMPUTED_VALUE"""),"SEG.")</f>
        <v>SEG.</v>
      </c>
      <c r="E484" s="13">
        <f>IFERROR(__xludf.DUMMYFUNCTION("""COMPUTED_VALUE"""),6.0)</f>
        <v>6</v>
      </c>
      <c r="F484" s="15"/>
      <c r="G484" s="16"/>
      <c r="H484" s="227">
        <f>IFERROR(__xludf.DUMMYFUNCTION("""COMPUTED_VALUE"""),260.0)</f>
        <v>260</v>
      </c>
      <c r="I484" s="21" t="str">
        <f>IFERROR(__xludf.DUMMYFUNCTION("""COMPUTED_VALUE"""),"ITAU")</f>
        <v>ITAU</v>
      </c>
      <c r="J484" s="21"/>
      <c r="K484" s="216"/>
      <c r="L484" s="216"/>
      <c r="M484" s="216"/>
      <c r="N484" s="216"/>
      <c r="O484" s="216"/>
      <c r="P484" s="216"/>
      <c r="Q484" s="216"/>
    </row>
    <row r="485">
      <c r="A485" s="11" t="str">
        <f>IFERROR(__xludf.DUMMYFUNCTION("""COMPUTED_VALUE"""),"CONTAS")</f>
        <v>CONTAS</v>
      </c>
      <c r="B485" s="98" t="str">
        <f>IFERROR(__xludf.DUMMYFUNCTION("""COMPUTED_VALUE"""),"Recebimento via PIX")</f>
        <v>Recebimento via PIX</v>
      </c>
      <c r="C485" s="13">
        <f>IFERROR(__xludf.DUMMYFUNCTION("""COMPUTED_VALUE"""),7.0)</f>
        <v>7</v>
      </c>
      <c r="D485" s="13" t="str">
        <f>IFERROR(__xludf.DUMMYFUNCTION("""COMPUTED_VALUE"""),"SEG.")</f>
        <v>SEG.</v>
      </c>
      <c r="E485" s="13">
        <f>IFERROR(__xludf.DUMMYFUNCTION("""COMPUTED_VALUE"""),6.0)</f>
        <v>6</v>
      </c>
      <c r="F485" s="15"/>
      <c r="G485" s="16">
        <f>IFERROR(__xludf.DUMMYFUNCTION("""COMPUTED_VALUE"""),260.0)</f>
        <v>260</v>
      </c>
      <c r="H485" s="227"/>
      <c r="I485" s="21" t="str">
        <f>IFERROR(__xludf.DUMMYFUNCTION("""COMPUTED_VALUE"""),"NUBANK")</f>
        <v>NUBANK</v>
      </c>
      <c r="J485" s="21"/>
      <c r="K485" s="216"/>
      <c r="L485" s="216"/>
      <c r="M485" s="216"/>
      <c r="N485" s="216"/>
      <c r="O485" s="216"/>
      <c r="P485" s="216"/>
      <c r="Q485" s="216"/>
    </row>
    <row r="486">
      <c r="A486" s="11" t="str">
        <f>IFERROR(__xludf.DUMMYFUNCTION("""COMPUTED_VALUE"""),"PAGO")</f>
        <v>PAGO</v>
      </c>
      <c r="B486" s="98" t="str">
        <f>IFERROR(__xludf.DUMMYFUNCTION("""COMPUTED_VALUE"""),"Levitar SJC - sorvetes")</f>
        <v>Levitar SJC - sorvetes</v>
      </c>
      <c r="C486" s="13">
        <f>IFERROR(__xludf.DUMMYFUNCTION("""COMPUTED_VALUE"""),8.0)</f>
        <v>8</v>
      </c>
      <c r="D486" s="13" t="str">
        <f>IFERROR(__xludf.DUMMYFUNCTION("""COMPUTED_VALUE"""),"TER.")</f>
        <v>TER.</v>
      </c>
      <c r="E486" s="13">
        <f>IFERROR(__xludf.DUMMYFUNCTION("""COMPUTED_VALUE"""),6.0)</f>
        <v>6</v>
      </c>
      <c r="F486" s="15"/>
      <c r="G486" s="16"/>
      <c r="H486" s="227">
        <f>IFERROR(__xludf.DUMMYFUNCTION("""COMPUTED_VALUE"""),30.0)</f>
        <v>30</v>
      </c>
      <c r="I486" s="21" t="str">
        <f>IFERROR(__xludf.DUMMYFUNCTION("""COMPUTED_VALUE"""),"NUBANK")</f>
        <v>NUBANK</v>
      </c>
      <c r="J486" s="21" t="str">
        <f>IFERROR(__xludf.DUMMYFUNCTION("""COMPUTED_VALUE"""),"#Lazer #Comida #Variavel")</f>
        <v>#Lazer #Comida #Variavel</v>
      </c>
      <c r="K486" s="216"/>
      <c r="L486" s="216"/>
      <c r="M486" s="216"/>
      <c r="N486" s="216"/>
      <c r="O486" s="216"/>
      <c r="P486" s="216"/>
      <c r="Q486" s="216"/>
    </row>
    <row r="487">
      <c r="A487" s="11" t="str">
        <f>IFERROR(__xludf.DUMMYFUNCTION("""COMPUTED_VALUE"""),"PAGO")</f>
        <v>PAGO</v>
      </c>
      <c r="B487" s="98" t="str">
        <f>IFERROR(__xludf.DUMMYFUNCTION("""COMPUTED_VALUE"""),"Rendimento")</f>
        <v>Rendimento</v>
      </c>
      <c r="C487" s="13">
        <f>IFERROR(__xludf.DUMMYFUNCTION("""COMPUTED_VALUE"""),8.0)</f>
        <v>8</v>
      </c>
      <c r="D487" s="13" t="str">
        <f>IFERROR(__xludf.DUMMYFUNCTION("""COMPUTED_VALUE"""),"TER.")</f>
        <v>TER.</v>
      </c>
      <c r="E487" s="13">
        <f>IFERROR(__xludf.DUMMYFUNCTION("""COMPUTED_VALUE"""),6.0)</f>
        <v>6</v>
      </c>
      <c r="F487" s="15"/>
      <c r="G487" s="16">
        <f>IFERROR(__xludf.DUMMYFUNCTION("""COMPUTED_VALUE"""),2.26)</f>
        <v>2.26</v>
      </c>
      <c r="H487" s="227"/>
      <c r="I487" s="21" t="str">
        <f>IFERROR(__xludf.DUMMYFUNCTION("""COMPUTED_VALUE"""),"NUBANK")</f>
        <v>NUBANK</v>
      </c>
      <c r="J487" s="21" t="str">
        <f>IFERROR(__xludf.DUMMYFUNCTION("""COMPUTED_VALUE"""),"#Recebimentos #Rendimentos #Variavel")</f>
        <v>#Recebimentos #Rendimentos #Variavel</v>
      </c>
      <c r="K487" s="216"/>
      <c r="L487" s="216"/>
      <c r="M487" s="216"/>
      <c r="N487" s="216"/>
      <c r="O487" s="216"/>
      <c r="P487" s="216"/>
      <c r="Q487" s="216"/>
    </row>
    <row r="488">
      <c r="A488" s="11" t="str">
        <f>IFERROR(__xludf.DUMMYFUNCTION("""COMPUTED_VALUE"""),"PAGO")</f>
        <v>PAGO</v>
      </c>
      <c r="B488" s="98" t="str">
        <f>IFERROR(__xludf.DUMMYFUNCTION("""COMPUTED_VALUE"""),"Cartao Roberta")</f>
        <v>Cartao Roberta</v>
      </c>
      <c r="C488" s="13">
        <f>IFERROR(__xludf.DUMMYFUNCTION("""COMPUTED_VALUE"""),8.0)</f>
        <v>8</v>
      </c>
      <c r="D488" s="13" t="str">
        <f>IFERROR(__xludf.DUMMYFUNCTION("""COMPUTED_VALUE"""),"TER.")</f>
        <v>TER.</v>
      </c>
      <c r="E488" s="13">
        <f>IFERROR(__xludf.DUMMYFUNCTION("""COMPUTED_VALUE"""),6.0)</f>
        <v>6</v>
      </c>
      <c r="F488" s="15">
        <f>IFERROR(__xludf.DUMMYFUNCTION("""COMPUTED_VALUE"""),44348.0)</f>
        <v>44348</v>
      </c>
      <c r="G488" s="16"/>
      <c r="H488" s="227">
        <f>IFERROR(__xludf.DUMMYFUNCTION("""COMPUTED_VALUE"""),234.11999999999998)</f>
        <v>234.12</v>
      </c>
      <c r="I488" s="21" t="str">
        <f>IFERROR(__xludf.DUMMYFUNCTION("""COMPUTED_VALUE"""),"NUBANK")</f>
        <v>NUBANK</v>
      </c>
      <c r="J488" s="21"/>
      <c r="K488" s="216"/>
      <c r="L488" s="216"/>
      <c r="M488" s="216"/>
      <c r="N488" s="216"/>
      <c r="O488" s="216"/>
      <c r="P488" s="216"/>
      <c r="Q488" s="216"/>
    </row>
    <row r="489">
      <c r="A489" s="11" t="str">
        <f>IFERROR(__xludf.DUMMYFUNCTION("""COMPUTED_VALUE"""),"CREDITO")</f>
        <v>CREDITO</v>
      </c>
      <c r="B489" s="98" t="str">
        <f>IFERROR(__xludf.DUMMYFUNCTION("""COMPUTED_VALUE"""),"SERVICOS CLA*119949911 DIVERSOS .RIO DE JANEIR")</f>
        <v>SERVICOS CLA*119949911 DIVERSOS .RIO DE JANEIR</v>
      </c>
      <c r="C489" s="13"/>
      <c r="D489" s="13"/>
      <c r="E489" s="13">
        <f>IFERROR(__xludf.DUMMYFUNCTION("""COMPUTED_VALUE"""),6.0)</f>
        <v>6</v>
      </c>
      <c r="F489" s="15">
        <f>IFERROR(__xludf.DUMMYFUNCTION("""COMPUTED_VALUE"""),44315.0)</f>
        <v>44315</v>
      </c>
      <c r="G489" s="16"/>
      <c r="H489" s="227">
        <f>IFERROR(__xludf.DUMMYFUNCTION("""COMPUTED_VALUE"""),30.0)</f>
        <v>30</v>
      </c>
      <c r="I489" s="21"/>
      <c r="J489" s="21" t="str">
        <f>IFERROR(__xludf.DUMMYFUNCTION("""COMPUTED_VALUE"""),"#CartaoDeCredito #Roberta #Lazer #Variavel")</f>
        <v>#CartaoDeCredito #Roberta #Lazer #Variavel</v>
      </c>
      <c r="K489" s="216"/>
      <c r="L489" s="216"/>
      <c r="M489" s="216"/>
      <c r="N489" s="216"/>
      <c r="O489" s="216"/>
      <c r="P489" s="216"/>
      <c r="Q489" s="216"/>
    </row>
    <row r="490">
      <c r="A490" s="11" t="str">
        <f>IFERROR(__xludf.DUMMYFUNCTION("""COMPUTED_VALUE"""),"CREDITO")</f>
        <v>CREDITO</v>
      </c>
      <c r="B490" s="98" t="str">
        <f>IFERROR(__xludf.DUMMYFUNCTION("""COMPUTED_VALUE"""),"MARISA COM BR VESTUÁRIO .BARUERI")</f>
        <v>MARISA COM BR VESTUÁRIO .BARUERI</v>
      </c>
      <c r="C490" s="13"/>
      <c r="D490" s="13"/>
      <c r="E490" s="13">
        <f>IFERROR(__xludf.DUMMYFUNCTION("""COMPUTED_VALUE"""),6.0)</f>
        <v>6</v>
      </c>
      <c r="F490" s="15">
        <f>IFERROR(__xludf.DUMMYFUNCTION("""COMPUTED_VALUE"""),44317.0)</f>
        <v>44317</v>
      </c>
      <c r="G490" s="16"/>
      <c r="H490" s="227">
        <f>IFERROR(__xludf.DUMMYFUNCTION("""COMPUTED_VALUE"""),21.99)</f>
        <v>21.99</v>
      </c>
      <c r="I490" s="21"/>
      <c r="J490" s="21" t="str">
        <f>IFERROR(__xludf.DUMMYFUNCTION("""COMPUTED_VALUE"""),"#CartaoDeCredito #Roberta #Lazer #Variavel")</f>
        <v>#CartaoDeCredito #Roberta #Lazer #Variavel</v>
      </c>
      <c r="K490" s="216"/>
      <c r="L490" s="216"/>
      <c r="M490" s="216"/>
      <c r="N490" s="216"/>
      <c r="O490" s="216"/>
      <c r="P490" s="216"/>
      <c r="Q490" s="216"/>
    </row>
    <row r="491">
      <c r="A491" s="11" t="str">
        <f>IFERROR(__xludf.DUMMYFUNCTION("""COMPUTED_VALUE"""),"CREDITO")</f>
        <v>CREDITO</v>
      </c>
      <c r="B491" s="98" t="str">
        <f>IFERROR(__xludf.DUMMYFUNCTION("""COMPUTED_VALUE"""),"SPITI DIVERSOS .SAO PAULO")</f>
        <v>SPITI DIVERSOS .SAO PAULO</v>
      </c>
      <c r="C491" s="13"/>
      <c r="D491" s="13"/>
      <c r="E491" s="13">
        <f>IFERROR(__xludf.DUMMYFUNCTION("""COMPUTED_VALUE"""),6.0)</f>
        <v>6</v>
      </c>
      <c r="F491" s="15">
        <f>IFERROR(__xludf.DUMMYFUNCTION("""COMPUTED_VALUE"""),44317.0)</f>
        <v>44317</v>
      </c>
      <c r="G491" s="16"/>
      <c r="H491" s="227">
        <f>IFERROR(__xludf.DUMMYFUNCTION("""COMPUTED_VALUE"""),1.0)</f>
        <v>1</v>
      </c>
      <c r="I491" s="21"/>
      <c r="J491" s="21" t="str">
        <f>IFERROR(__xludf.DUMMYFUNCTION("""COMPUTED_VALUE"""),"#CartaoDeCredito #Roberta #Lazer #Variavel")</f>
        <v>#CartaoDeCredito #Roberta #Lazer #Variavel</v>
      </c>
      <c r="K491" s="216"/>
      <c r="L491" s="216"/>
      <c r="M491" s="216"/>
      <c r="N491" s="216"/>
      <c r="O491" s="216"/>
      <c r="P491" s="216"/>
      <c r="Q491" s="216"/>
    </row>
    <row r="492">
      <c r="A492" s="11" t="str">
        <f>IFERROR(__xludf.DUMMYFUNCTION("""COMPUTED_VALUE"""),"CREDITO")</f>
        <v>CREDITO</v>
      </c>
      <c r="B492" s="98" t="str">
        <f>IFERROR(__xludf.DUMMYFUNCTION("""COMPUTED_VALUE"""),"JEQUITI SAÚDE .OSASCO")</f>
        <v>JEQUITI SAÚDE .OSASCO</v>
      </c>
      <c r="C492" s="13"/>
      <c r="D492" s="13"/>
      <c r="E492" s="13">
        <f>IFERROR(__xludf.DUMMYFUNCTION("""COMPUTED_VALUE"""),6.0)</f>
        <v>6</v>
      </c>
      <c r="F492" s="15">
        <f>IFERROR(__xludf.DUMMYFUNCTION("""COMPUTED_VALUE"""),44321.0)</f>
        <v>44321</v>
      </c>
      <c r="G492" s="16"/>
      <c r="H492" s="227">
        <f>IFERROR(__xludf.DUMMYFUNCTION("""COMPUTED_VALUE"""),132.66)</f>
        <v>132.66</v>
      </c>
      <c r="I492" s="21"/>
      <c r="J492" s="21" t="str">
        <f>IFERROR(__xludf.DUMMYFUNCTION("""COMPUTED_VALUE"""),"#CartaoDeCredito #Roberta #Variavel")</f>
        <v>#CartaoDeCredito #Roberta #Variavel</v>
      </c>
      <c r="K492" s="216"/>
      <c r="L492" s="216"/>
      <c r="M492" s="216"/>
      <c r="N492" s="216"/>
      <c r="O492" s="216"/>
      <c r="P492" s="216"/>
      <c r="Q492" s="216"/>
    </row>
    <row r="493">
      <c r="A493" s="11" t="str">
        <f>IFERROR(__xludf.DUMMYFUNCTION("""COMPUTED_VALUE"""),"CREDITO")</f>
        <v>CREDITO</v>
      </c>
      <c r="B493" s="98" t="str">
        <f>IFERROR(__xludf.DUMMYFUNCTION("""COMPUTED_VALUE"""),"SEGURO RESIDENCIAL ITAU")</f>
        <v>SEGURO RESIDENCIAL ITAU</v>
      </c>
      <c r="C493" s="13"/>
      <c r="D493" s="13"/>
      <c r="E493" s="13">
        <f>IFERROR(__xludf.DUMMYFUNCTION("""COMPUTED_VALUE"""),6.0)</f>
        <v>6</v>
      </c>
      <c r="F493" s="15">
        <f>IFERROR(__xludf.DUMMYFUNCTION("""COMPUTED_VALUE"""),44334.0)</f>
        <v>44334</v>
      </c>
      <c r="G493" s="16"/>
      <c r="H493" s="227">
        <f>IFERROR(__xludf.DUMMYFUNCTION("""COMPUTED_VALUE"""),13.7)</f>
        <v>13.7</v>
      </c>
      <c r="I493" s="21"/>
      <c r="J493" s="21" t="str">
        <f>IFERROR(__xludf.DUMMYFUNCTION("""COMPUTED_VALUE"""),"#CartaoDeCredito #Roberta #Essencial #Fixo #Moradia")</f>
        <v>#CartaoDeCredito #Roberta #Essencial #Fixo #Moradia</v>
      </c>
      <c r="K493" s="216"/>
      <c r="L493" s="216"/>
      <c r="M493" s="216"/>
      <c r="N493" s="216"/>
      <c r="O493" s="216"/>
      <c r="P493" s="216"/>
      <c r="Q493" s="216"/>
    </row>
    <row r="494">
      <c r="A494" s="11" t="str">
        <f>IFERROR(__xludf.DUMMYFUNCTION("""COMPUTED_VALUE"""),"CREDITO")</f>
        <v>CREDITO</v>
      </c>
      <c r="B494" s="98" t="str">
        <f>IFERROR(__xludf.DUMMYFUNCTION("""COMPUTED_VALUE"""),"NETFLIX.COM DIVERSOS .SAO PAULO")</f>
        <v>NETFLIX.COM DIVERSOS .SAO PAULO</v>
      </c>
      <c r="C494" s="13"/>
      <c r="D494" s="13"/>
      <c r="E494" s="13">
        <f>IFERROR(__xludf.DUMMYFUNCTION("""COMPUTED_VALUE"""),6.0)</f>
        <v>6</v>
      </c>
      <c r="F494" s="15">
        <f>IFERROR(__xludf.DUMMYFUNCTION("""COMPUTED_VALUE"""),44337.0)</f>
        <v>44337</v>
      </c>
      <c r="G494" s="16"/>
      <c r="H494" s="227">
        <f>IFERROR(__xludf.DUMMYFUNCTION("""COMPUTED_VALUE"""),32.9)</f>
        <v>32.9</v>
      </c>
      <c r="I494" s="21"/>
      <c r="J494" s="21" t="str">
        <f>IFERROR(__xludf.DUMMYFUNCTION("""COMPUTED_VALUE"""),"#CartaoDeCredito #Roberta #Streaming #Fixo")</f>
        <v>#CartaoDeCredito #Roberta #Streaming #Fixo</v>
      </c>
      <c r="K494" s="216"/>
      <c r="L494" s="216"/>
      <c r="M494" s="216"/>
      <c r="N494" s="216"/>
      <c r="O494" s="216"/>
      <c r="P494" s="216"/>
      <c r="Q494" s="216"/>
    </row>
    <row r="495">
      <c r="A495" s="11" t="str">
        <f>IFERROR(__xludf.DUMMYFUNCTION("""COMPUTED_VALUE"""),"CREDITO")</f>
        <v>CREDITO</v>
      </c>
      <c r="B495" s="98" t="str">
        <f>IFERROR(__xludf.DUMMYFUNCTION("""COMPUTED_VALUE"""),"IOF de financiamento (0,38% + 0,0082% a.d.)")</f>
        <v>IOF de financiamento (0,38% + 0,0082% a.d.)</v>
      </c>
      <c r="C495" s="13"/>
      <c r="D495" s="13"/>
      <c r="E495" s="13">
        <f>IFERROR(__xludf.DUMMYFUNCTION("""COMPUTED_VALUE"""),6.0)</f>
        <v>6</v>
      </c>
      <c r="F495" s="15">
        <f>IFERROR(__xludf.DUMMYFUNCTION("""COMPUTED_VALUE"""),44337.0)</f>
        <v>44337</v>
      </c>
      <c r="G495" s="16"/>
      <c r="H495" s="227">
        <f>IFERROR(__xludf.DUMMYFUNCTION("""COMPUTED_VALUE"""),1.87)</f>
        <v>1.87</v>
      </c>
      <c r="I495" s="21"/>
      <c r="J495" s="21" t="str">
        <f>IFERROR(__xludf.DUMMYFUNCTION("""COMPUTED_VALUE"""),"#CartaoDeCredito #Roberta #Impostos #Variavel")</f>
        <v>#CartaoDeCredito #Roberta #Impostos #Variavel</v>
      </c>
      <c r="K495" s="216"/>
      <c r="L495" s="216"/>
      <c r="M495" s="216"/>
      <c r="N495" s="216"/>
      <c r="O495" s="216"/>
      <c r="P495" s="216"/>
      <c r="Q495" s="216"/>
    </row>
    <row r="496">
      <c r="A496" s="11"/>
      <c r="B496" s="98"/>
      <c r="C496" s="13"/>
      <c r="D496" s="13"/>
      <c r="E496" s="13">
        <f>IFERROR(__xludf.DUMMYFUNCTION("""COMPUTED_VALUE"""),6.0)</f>
        <v>6</v>
      </c>
      <c r="F496" s="15"/>
      <c r="G496" s="16"/>
      <c r="H496" s="227"/>
      <c r="I496" s="21"/>
      <c r="J496" s="21"/>
      <c r="K496" s="216"/>
      <c r="L496" s="216"/>
      <c r="M496" s="216"/>
      <c r="N496" s="216"/>
      <c r="O496" s="216"/>
      <c r="P496" s="216"/>
      <c r="Q496" s="216"/>
    </row>
    <row r="497">
      <c r="A497" s="11" t="str">
        <f>IFERROR(__xludf.DUMMYFUNCTION("""COMPUTED_VALUE"""),"PAGO")</f>
        <v>PAGO</v>
      </c>
      <c r="B497" s="98" t="str">
        <f>IFERROR(__xludf.DUMMYFUNCTION("""COMPUTED_VALUE"""),"Convenio Sr. Antonio - São Cristovão")</f>
        <v>Convenio Sr. Antonio - São Cristovão</v>
      </c>
      <c r="C497" s="13">
        <f>IFERROR(__xludf.DUMMYFUNCTION("""COMPUTED_VALUE"""),8.0)</f>
        <v>8</v>
      </c>
      <c r="D497" s="13" t="str">
        <f>IFERROR(__xludf.DUMMYFUNCTION("""COMPUTED_VALUE"""),"TER.")</f>
        <v>TER.</v>
      </c>
      <c r="E497" s="13">
        <f>IFERROR(__xludf.DUMMYFUNCTION("""COMPUTED_VALUE"""),6.0)</f>
        <v>6</v>
      </c>
      <c r="F497" s="15">
        <f>IFERROR(__xludf.DUMMYFUNCTION("""COMPUTED_VALUE"""),44348.0)</f>
        <v>44348</v>
      </c>
      <c r="G497" s="16"/>
      <c r="H497" s="227">
        <f>IFERROR(__xludf.DUMMYFUNCTION("""COMPUTED_VALUE"""),539.99)</f>
        <v>539.99</v>
      </c>
      <c r="I497" s="21" t="str">
        <f>IFERROR(__xludf.DUMMYFUNCTION("""COMPUTED_VALUE"""),"NUBANK")</f>
        <v>NUBANK</v>
      </c>
      <c r="J497" s="21" t="str">
        <f>IFERROR(__xludf.DUMMYFUNCTION("""COMPUTED_VALUE"""),"#Essencial #Saude #Convenio #Papai #Fixo")</f>
        <v>#Essencial #Saude #Convenio #Papai #Fixo</v>
      </c>
      <c r="K497" s="216"/>
      <c r="L497" s="216"/>
      <c r="M497" s="216"/>
      <c r="N497" s="216"/>
      <c r="O497" s="216"/>
      <c r="P497" s="216"/>
      <c r="Q497" s="216"/>
    </row>
    <row r="498">
      <c r="A498" s="11" t="str">
        <f>IFERROR(__xludf.DUMMYFUNCTION("""COMPUTED_VALUE"""),"PAGO")</f>
        <v>PAGO</v>
      </c>
      <c r="B498" s="98" t="str">
        <f>IFERROR(__xludf.DUMMYFUNCTION("""COMPUTED_VALUE"""),"Fatura VIVOFIBRA INTERNET")</f>
        <v>Fatura VIVOFIBRA INTERNET</v>
      </c>
      <c r="C498" s="13">
        <f>IFERROR(__xludf.DUMMYFUNCTION("""COMPUTED_VALUE"""),8.0)</f>
        <v>8</v>
      </c>
      <c r="D498" s="13" t="str">
        <f>IFERROR(__xludf.DUMMYFUNCTION("""COMPUTED_VALUE"""),"TER.")</f>
        <v>TER.</v>
      </c>
      <c r="E498" s="13">
        <f>IFERROR(__xludf.DUMMYFUNCTION("""COMPUTED_VALUE"""),6.0)</f>
        <v>6</v>
      </c>
      <c r="F498" s="15">
        <f>IFERROR(__xludf.DUMMYFUNCTION("""COMPUTED_VALUE"""),44351.0)</f>
        <v>44351</v>
      </c>
      <c r="G498" s="16"/>
      <c r="H498" s="227">
        <f>IFERROR(__xludf.DUMMYFUNCTION("""COMPUTED_VALUE"""),179.27)</f>
        <v>179.27</v>
      </c>
      <c r="I498" s="21" t="str">
        <f>IFERROR(__xludf.DUMMYFUNCTION("""COMPUTED_VALUE"""),"NUBANK")</f>
        <v>NUBANK</v>
      </c>
      <c r="J498" s="21" t="str">
        <f>IFERROR(__xludf.DUMMYFUNCTION("""COMPUTED_VALUE"""),"#Essencial #Internet #Fixo ")</f>
        <v>#Essencial #Internet #Fixo </v>
      </c>
      <c r="K498" s="216"/>
      <c r="L498" s="216"/>
      <c r="M498" s="216"/>
      <c r="N498" s="216"/>
      <c r="O498" s="216"/>
      <c r="P498" s="216"/>
      <c r="Q498" s="216"/>
    </row>
    <row r="499">
      <c r="A499" s="11" t="str">
        <f>IFERROR(__xludf.DUMMYFUNCTION("""COMPUTED_VALUE"""),"PAGO")</f>
        <v>PAGO</v>
      </c>
      <c r="B499" s="98" t="str">
        <f>IFERROR(__xludf.DUMMYFUNCTION("""COMPUTED_VALUE"""),"Shibata")</f>
        <v>Shibata</v>
      </c>
      <c r="C499" s="13">
        <f>IFERROR(__xludf.DUMMYFUNCTION("""COMPUTED_VALUE"""),8.0)</f>
        <v>8</v>
      </c>
      <c r="D499" s="13" t="str">
        <f>IFERROR(__xludf.DUMMYFUNCTION("""COMPUTED_VALUE"""),"TER.")</f>
        <v>TER.</v>
      </c>
      <c r="E499" s="13">
        <f>IFERROR(__xludf.DUMMYFUNCTION("""COMPUTED_VALUE"""),6.0)</f>
        <v>6</v>
      </c>
      <c r="F499" s="15"/>
      <c r="G499" s="16"/>
      <c r="H499" s="227">
        <f>IFERROR(__xludf.DUMMYFUNCTION("""COMPUTED_VALUE"""),321.66)</f>
        <v>321.66</v>
      </c>
      <c r="I499" s="21" t="str">
        <f>IFERROR(__xludf.DUMMYFUNCTION("""COMPUTED_VALUE"""),"SODEXO-REF-IBM")</f>
        <v>SODEXO-REF-IBM</v>
      </c>
      <c r="J499" s="21" t="str">
        <f>IFERROR(__xludf.DUMMYFUNCTION("""COMPUTED_VALUE"""),"#Moradia #Essencial #Mercado #Variavel #Alimentação ")</f>
        <v>#Moradia #Essencial #Mercado #Variavel #Alimentação </v>
      </c>
      <c r="K499" s="216"/>
      <c r="L499" s="216"/>
      <c r="M499" s="216"/>
      <c r="N499" s="216"/>
      <c r="O499" s="216"/>
      <c r="P499" s="216"/>
      <c r="Q499" s="216"/>
    </row>
    <row r="500">
      <c r="A500" s="11" t="str">
        <f>IFERROR(__xludf.DUMMYFUNCTION("""COMPUTED_VALUE"""),"PAGO")</f>
        <v>PAGO</v>
      </c>
      <c r="B500" s="98" t="str">
        <f>IFERROR(__xludf.DUMMYFUNCTION("""COMPUTED_VALUE"""),"Transferi para investimento - Clear")</f>
        <v>Transferi para investimento - Clear</v>
      </c>
      <c r="C500" s="13">
        <f>IFERROR(__xludf.DUMMYFUNCTION("""COMPUTED_VALUE"""),9.0)</f>
        <v>9</v>
      </c>
      <c r="D500" s="13" t="str">
        <f>IFERROR(__xludf.DUMMYFUNCTION("""COMPUTED_VALUE"""),"QUA.")</f>
        <v>QUA.</v>
      </c>
      <c r="E500" s="13">
        <f>IFERROR(__xludf.DUMMYFUNCTION("""COMPUTED_VALUE"""),6.0)</f>
        <v>6</v>
      </c>
      <c r="F500" s="15"/>
      <c r="G500" s="16"/>
      <c r="H500" s="227">
        <f>IFERROR(__xludf.DUMMYFUNCTION("""COMPUTED_VALUE"""),2500.0)</f>
        <v>2500</v>
      </c>
      <c r="I500" s="21" t="str">
        <f>IFERROR(__xludf.DUMMYFUNCTION("""COMPUTED_VALUE"""),"INTER")</f>
        <v>INTER</v>
      </c>
      <c r="J500" s="21" t="str">
        <f>IFERROR(__xludf.DUMMYFUNCTION("""COMPUTED_VALUE"""),"#Transferencia #Investimento #Extra #Clear")</f>
        <v>#Transferencia #Investimento #Extra #Clear</v>
      </c>
      <c r="K500" s="216"/>
      <c r="L500" s="216"/>
      <c r="M500" s="216"/>
      <c r="N500" s="216"/>
      <c r="O500" s="216"/>
      <c r="P500" s="216"/>
      <c r="Q500" s="216"/>
    </row>
    <row r="501">
      <c r="A501" s="11" t="str">
        <f>IFERROR(__xludf.DUMMYFUNCTION("""COMPUTED_VALUE"""),"PAGO")</f>
        <v>PAGO</v>
      </c>
      <c r="B501" s="98" t="str">
        <f>IFERROR(__xludf.DUMMYFUNCTION("""COMPUTED_VALUE"""),"Elo Educacional: mensalidade(598,00) + material(137,00)")</f>
        <v>Elo Educacional: mensalidade(598,00) + material(137,00)</v>
      </c>
      <c r="C501" s="13">
        <f>IFERROR(__xludf.DUMMYFUNCTION("""COMPUTED_VALUE"""),9.0)</f>
        <v>9</v>
      </c>
      <c r="D501" s="13" t="str">
        <f>IFERROR(__xludf.DUMMYFUNCTION("""COMPUTED_VALUE"""),"QUA.")</f>
        <v>QUA.</v>
      </c>
      <c r="E501" s="13">
        <f>IFERROR(__xludf.DUMMYFUNCTION("""COMPUTED_VALUE"""),6.0)</f>
        <v>6</v>
      </c>
      <c r="F501" s="15">
        <f>IFERROR(__xludf.DUMMYFUNCTION("""COMPUTED_VALUE"""),44351.0)</f>
        <v>44351</v>
      </c>
      <c r="G501" s="16"/>
      <c r="H501" s="227">
        <f>IFERROR(__xludf.DUMMYFUNCTION("""COMPUTED_VALUE"""),735.0)</f>
        <v>735</v>
      </c>
      <c r="I501" s="21" t="str">
        <f>IFERROR(__xludf.DUMMYFUNCTION("""COMPUTED_VALUE"""),"NUBANK")</f>
        <v>NUBANK</v>
      </c>
      <c r="J501" s="21" t="str">
        <f>IFERROR(__xludf.DUMMYFUNCTION("""COMPUTED_VALUE"""),"#Essencial #Escola #Eduardo #Fixo")</f>
        <v>#Essencial #Escola #Eduardo #Fixo</v>
      </c>
      <c r="K501" s="216"/>
      <c r="L501" s="216"/>
      <c r="M501" s="216"/>
      <c r="N501" s="216"/>
      <c r="O501" s="216"/>
      <c r="P501" s="216"/>
      <c r="Q501" s="216"/>
    </row>
    <row r="502">
      <c r="A502" s="11" t="str">
        <f>IFERROR(__xludf.DUMMYFUNCTION("""COMPUTED_VALUE"""),"PAGO")</f>
        <v>PAGO</v>
      </c>
      <c r="B502" s="98" t="str">
        <f>IFERROR(__xludf.DUMMYFUNCTION("""COMPUTED_VALUE"""),"Convenio Uniodonto")</f>
        <v>Convenio Uniodonto</v>
      </c>
      <c r="C502" s="13">
        <f>IFERROR(__xludf.DUMMYFUNCTION("""COMPUTED_VALUE"""),10.0)</f>
        <v>10</v>
      </c>
      <c r="D502" s="13" t="str">
        <f>IFERROR(__xludf.DUMMYFUNCTION("""COMPUTED_VALUE"""),"QUI.")</f>
        <v>QUI.</v>
      </c>
      <c r="E502" s="13">
        <f>IFERROR(__xludf.DUMMYFUNCTION("""COMPUTED_VALUE"""),6.0)</f>
        <v>6</v>
      </c>
      <c r="F502" s="15">
        <f>IFERROR(__xludf.DUMMYFUNCTION("""COMPUTED_VALUE"""),44351.0)</f>
        <v>44351</v>
      </c>
      <c r="G502" s="16"/>
      <c r="H502" s="227">
        <f>IFERROR(__xludf.DUMMYFUNCTION("""COMPUTED_VALUE"""),102.0)</f>
        <v>102</v>
      </c>
      <c r="I502" s="21" t="str">
        <f>IFERROR(__xludf.DUMMYFUNCTION("""COMPUTED_VALUE"""),"NUBANK")</f>
        <v>NUBANK</v>
      </c>
      <c r="J502" s="21" t="str">
        <f>IFERROR(__xludf.DUMMYFUNCTION("""COMPUTED_VALUE"""),"#Essencial #Saude #Convenio #Familia #Fixo ")</f>
        <v>#Essencial #Saude #Convenio #Familia #Fixo </v>
      </c>
      <c r="K502" s="216"/>
      <c r="L502" s="216"/>
      <c r="M502" s="216"/>
      <c r="N502" s="216"/>
      <c r="O502" s="216"/>
      <c r="P502" s="216"/>
      <c r="Q502" s="216"/>
    </row>
    <row r="503">
      <c r="A503" s="11" t="str">
        <f>IFERROR(__xludf.DUMMYFUNCTION("""COMPUTED_VALUE"""),"PAGO")</f>
        <v>PAGO</v>
      </c>
      <c r="B503" s="98" t="str">
        <f>IFERROR(__xludf.DUMMYFUNCTION("""COMPUTED_VALUE"""),"Cartao NuBank")</f>
        <v>Cartao NuBank</v>
      </c>
      <c r="C503" s="13">
        <f>IFERROR(__xludf.DUMMYFUNCTION("""COMPUTED_VALUE"""),11.0)</f>
        <v>11</v>
      </c>
      <c r="D503" s="13" t="str">
        <f>IFERROR(__xludf.DUMMYFUNCTION("""COMPUTED_VALUE"""),"SEX.")</f>
        <v>SEX.</v>
      </c>
      <c r="E503" s="13">
        <f>IFERROR(__xludf.DUMMYFUNCTION("""COMPUTED_VALUE"""),6.0)</f>
        <v>6</v>
      </c>
      <c r="F503" s="15">
        <f>IFERROR(__xludf.DUMMYFUNCTION("""COMPUTED_VALUE"""),44354.0)</f>
        <v>44354</v>
      </c>
      <c r="G503" s="16"/>
      <c r="H503" s="227">
        <f>IFERROR(__xludf.DUMMYFUNCTION("""COMPUTED_VALUE"""),1260.7700000000002)</f>
        <v>1260.77</v>
      </c>
      <c r="I503" s="21" t="str">
        <f>IFERROR(__xludf.DUMMYFUNCTION("""COMPUTED_VALUE"""),"NUBANK")</f>
        <v>NUBANK</v>
      </c>
      <c r="J503" s="21"/>
      <c r="K503" s="216"/>
      <c r="L503" s="216"/>
      <c r="M503" s="216"/>
      <c r="N503" s="216"/>
      <c r="O503" s="216"/>
      <c r="P503" s="216"/>
      <c r="Q503" s="216"/>
    </row>
    <row r="504">
      <c r="A504" s="11" t="str">
        <f>IFERROR(__xludf.DUMMYFUNCTION("""COMPUTED_VALUE"""),"CREDITO")</f>
        <v>CREDITO</v>
      </c>
      <c r="B504" s="98" t="str">
        <f>IFERROR(__xludf.DUMMYFUNCTION("""COMPUTED_VALUE"""),"Elshaday SJC - Campos dos Alemães - Dia das Mães")</f>
        <v>Elshaday SJC - Campos dos Alemães - Dia das Mães</v>
      </c>
      <c r="C504" s="13"/>
      <c r="D504" s="13"/>
      <c r="E504" s="13">
        <f>IFERROR(__xludf.DUMMYFUNCTION("""COMPUTED_VALUE"""),6.0)</f>
        <v>6</v>
      </c>
      <c r="F504" s="15">
        <f>IFERROR(__xludf.DUMMYFUNCTION("""COMPUTED_VALUE"""),44324.0)</f>
        <v>44324</v>
      </c>
      <c r="G504" s="16"/>
      <c r="H504" s="227">
        <f>IFERROR(__xludf.DUMMYFUNCTION("""COMPUTED_VALUE"""),103.9)</f>
        <v>103.9</v>
      </c>
      <c r="I504" s="21"/>
      <c r="J504" s="21" t="str">
        <f>IFERROR(__xludf.DUMMYFUNCTION("""COMPUTED_VALUE"""),"#CartaoDeCredito #Cicero #Lazer #Roberta #Presentes #Variavel")</f>
        <v>#CartaoDeCredito #Cicero #Lazer #Roberta #Presentes #Variavel</v>
      </c>
      <c r="K504" s="216"/>
      <c r="L504" s="216"/>
      <c r="M504" s="216"/>
      <c r="N504" s="216"/>
      <c r="O504" s="216"/>
      <c r="P504" s="216"/>
      <c r="Q504" s="216"/>
    </row>
    <row r="505">
      <c r="A505" s="11" t="str">
        <f>IFERROR(__xludf.DUMMYFUNCTION("""COMPUTED_VALUE"""),"CREDITO")</f>
        <v>CREDITO</v>
      </c>
      <c r="B505" s="98" t="str">
        <f>IFERROR(__xludf.DUMMYFUNCTION("""COMPUTED_VALUE"""),"Disco Rígido Interno Seagate Barracuda St2000dm008 2tb")</f>
        <v>Disco Rígido Interno Seagate Barracuda St2000dm008 2tb</v>
      </c>
      <c r="C505" s="13"/>
      <c r="D505" s="13"/>
      <c r="E505" s="13">
        <f>IFERROR(__xludf.DUMMYFUNCTION("""COMPUTED_VALUE"""),6.0)</f>
        <v>6</v>
      </c>
      <c r="F505" s="15">
        <f>IFERROR(__xludf.DUMMYFUNCTION("""COMPUTED_VALUE"""),44328.0)</f>
        <v>44328</v>
      </c>
      <c r="G505" s="16"/>
      <c r="H505" s="227">
        <f>IFERROR(__xludf.DUMMYFUNCTION("""COMPUTED_VALUE"""),451.0)</f>
        <v>451</v>
      </c>
      <c r="I505" s="21"/>
      <c r="J505" s="21" t="str">
        <f>IFERROR(__xludf.DUMMYFUNCTION("""COMPUTED_VALUE"""),"#CartaoDeCredito #Cicero #Lazer #Mineração #CriptoMoedas #Variavel #Desktop")</f>
        <v>#CartaoDeCredito #Cicero #Lazer #Mineração #CriptoMoedas #Variavel #Desktop</v>
      </c>
      <c r="K505" s="216"/>
      <c r="L505" s="216"/>
      <c r="M505" s="216"/>
      <c r="N505" s="216"/>
      <c r="O505" s="216"/>
      <c r="P505" s="216"/>
      <c r="Q505" s="216"/>
    </row>
    <row r="506">
      <c r="A506" s="11" t="str">
        <f>IFERROR(__xludf.DUMMYFUNCTION("""COMPUTED_VALUE"""),"CREDITO")</f>
        <v>CREDITO</v>
      </c>
      <c r="B506" s="98" t="str">
        <f>IFERROR(__xludf.DUMMYFUNCTION("""COMPUTED_VALUE"""),"Disco Sólido Interno Western Digital Wds500g2b0a 500gb Azul")</f>
        <v>Disco Sólido Interno Western Digital Wds500g2b0a 500gb Azul</v>
      </c>
      <c r="C506" s="13"/>
      <c r="D506" s="13"/>
      <c r="E506" s="13">
        <f>IFERROR(__xludf.DUMMYFUNCTION("""COMPUTED_VALUE"""),6.0)</f>
        <v>6</v>
      </c>
      <c r="F506" s="15">
        <f>IFERROR(__xludf.DUMMYFUNCTION("""COMPUTED_VALUE"""),44328.0)</f>
        <v>44328</v>
      </c>
      <c r="G506" s="16"/>
      <c r="H506" s="227">
        <f>IFERROR(__xludf.DUMMYFUNCTION("""COMPUTED_VALUE"""),558.0)</f>
        <v>558</v>
      </c>
      <c r="I506" s="21"/>
      <c r="J506" s="21" t="str">
        <f>IFERROR(__xludf.DUMMYFUNCTION("""COMPUTED_VALUE"""),"#CartaoDeCredito #Cicero #Lazer #Mineração #CriptoMoedas #Variavel #Desktop")</f>
        <v>#CartaoDeCredito #Cicero #Lazer #Mineração #CriptoMoedas #Variavel #Desktop</v>
      </c>
      <c r="K506" s="216"/>
      <c r="L506" s="216"/>
      <c r="M506" s="216"/>
      <c r="N506" s="216"/>
      <c r="O506" s="216"/>
      <c r="P506" s="216"/>
      <c r="Q506" s="216"/>
    </row>
    <row r="507">
      <c r="A507" s="11" t="str">
        <f>IFERROR(__xludf.DUMMYFUNCTION("""COMPUTED_VALUE"""),"CREDITO")</f>
        <v>CREDITO</v>
      </c>
      <c r="B507" s="98" t="str">
        <f>IFERROR(__xludf.DUMMYFUNCTION("""COMPUTED_VALUE"""),"2 Filtros De Linha 5 Tomadas Iclamper Energia 5 Preto Dps")</f>
        <v>2 Filtros De Linha 5 Tomadas Iclamper Energia 5 Preto Dps</v>
      </c>
      <c r="C507" s="13"/>
      <c r="D507" s="13"/>
      <c r="E507" s="13">
        <f>IFERROR(__xludf.DUMMYFUNCTION("""COMPUTED_VALUE"""),6.0)</f>
        <v>6</v>
      </c>
      <c r="F507" s="15">
        <f>IFERROR(__xludf.DUMMYFUNCTION("""COMPUTED_VALUE"""),44328.0)</f>
        <v>44328</v>
      </c>
      <c r="G507" s="16"/>
      <c r="H507" s="227">
        <f>IFERROR(__xludf.DUMMYFUNCTION("""COMPUTED_VALUE"""),129.98)</f>
        <v>129.98</v>
      </c>
      <c r="I507" s="21"/>
      <c r="J507" s="21" t="str">
        <f>IFERROR(__xludf.DUMMYFUNCTION("""COMPUTED_VALUE"""),"#CartaoDeCredito #Cicero #Lazer #Mineração #CriptoMoedas #Variavel")</f>
        <v>#CartaoDeCredito #Cicero #Lazer #Mineração #CriptoMoedas #Variavel</v>
      </c>
      <c r="K507" s="216"/>
      <c r="L507" s="216"/>
      <c r="M507" s="216"/>
      <c r="N507" s="216"/>
      <c r="O507" s="216"/>
      <c r="P507" s="216"/>
      <c r="Q507" s="216"/>
    </row>
    <row r="508">
      <c r="A508" s="11" t="str">
        <f>IFERROR(__xludf.DUMMYFUNCTION("""COMPUTED_VALUE"""),"CREDITO")</f>
        <v>CREDITO</v>
      </c>
      <c r="B508" s="98" t="str">
        <f>IFERROR(__xludf.DUMMYFUNCTION("""COMPUTED_VALUE"""),"Youtube Member - Denny Torres - Mineração de CriptoMoedas")</f>
        <v>Youtube Member - Denny Torres - Mineração de CriptoMoedas</v>
      </c>
      <c r="C508" s="13"/>
      <c r="D508" s="13"/>
      <c r="E508" s="13">
        <f>IFERROR(__xludf.DUMMYFUNCTION("""COMPUTED_VALUE"""),6.0)</f>
        <v>6</v>
      </c>
      <c r="F508" s="15">
        <f>IFERROR(__xludf.DUMMYFUNCTION("""COMPUTED_VALUE"""),44331.0)</f>
        <v>44331</v>
      </c>
      <c r="G508" s="16"/>
      <c r="H508" s="227">
        <f>IFERROR(__xludf.DUMMYFUNCTION("""COMPUTED_VALUE"""),7.99)</f>
        <v>7.99</v>
      </c>
      <c r="I508" s="21"/>
      <c r="J508" s="21" t="str">
        <f>IFERROR(__xludf.DUMMYFUNCTION("""COMPUTED_VALUE"""),"#CartaoDeCredito #Cicero #Lazer #Fixo ")</f>
        <v>#CartaoDeCredito #Cicero #Lazer #Fixo </v>
      </c>
      <c r="K508" s="216"/>
      <c r="L508" s="216"/>
      <c r="M508" s="216"/>
      <c r="N508" s="216"/>
      <c r="O508" s="216"/>
      <c r="P508" s="216"/>
      <c r="Q508" s="216"/>
    </row>
    <row r="509">
      <c r="A509" s="11" t="str">
        <f>IFERROR(__xludf.DUMMYFUNCTION("""COMPUTED_VALUE"""),"CREDITO")</f>
        <v>CREDITO</v>
      </c>
      <c r="B509" s="98" t="str">
        <f>IFERROR(__xludf.DUMMYFUNCTION("""COMPUTED_VALUE"""),"Amazonprimebr")</f>
        <v>Amazonprimebr</v>
      </c>
      <c r="C509" s="13"/>
      <c r="D509" s="13"/>
      <c r="E509" s="13">
        <f>IFERROR(__xludf.DUMMYFUNCTION("""COMPUTED_VALUE"""),6.0)</f>
        <v>6</v>
      </c>
      <c r="F509" s="15">
        <f>IFERROR(__xludf.DUMMYFUNCTION("""COMPUTED_VALUE"""),44342.0)</f>
        <v>44342</v>
      </c>
      <c r="G509" s="16"/>
      <c r="H509" s="227">
        <f>IFERROR(__xludf.DUMMYFUNCTION("""COMPUTED_VALUE"""),9.9)</f>
        <v>9.9</v>
      </c>
      <c r="I509" s="21"/>
      <c r="J509" s="21" t="str">
        <f>IFERROR(__xludf.DUMMYFUNCTION("""COMPUTED_VALUE"""),"#CartaoDeCredito #Cicero #Streaming #Fixo ")</f>
        <v>#CartaoDeCredito #Cicero #Streaming #Fixo </v>
      </c>
      <c r="K509" s="216"/>
      <c r="L509" s="216"/>
      <c r="M509" s="216"/>
      <c r="N509" s="216"/>
      <c r="O509" s="216"/>
      <c r="P509" s="216"/>
      <c r="Q509" s="216"/>
    </row>
    <row r="510">
      <c r="A510" s="11" t="str">
        <f>IFERROR(__xludf.DUMMYFUNCTION("""COMPUTED_VALUE"""),"PAGO")</f>
        <v>PAGO</v>
      </c>
      <c r="B510" s="98" t="str">
        <f>IFERROR(__xludf.DUMMYFUNCTION("""COMPUTED_VALUE"""),"Resgate reserva de emergencia")</f>
        <v>Resgate reserva de emergencia</v>
      </c>
      <c r="C510" s="13">
        <f>IFERROR(__xludf.DUMMYFUNCTION("""COMPUTED_VALUE"""),11.0)</f>
        <v>11</v>
      </c>
      <c r="D510" s="13" t="str">
        <f>IFERROR(__xludf.DUMMYFUNCTION("""COMPUTED_VALUE"""),"SEX.")</f>
        <v>SEX.</v>
      </c>
      <c r="E510" s="13">
        <f>IFERROR(__xludf.DUMMYFUNCTION("""COMPUTED_VALUE"""),6.0)</f>
        <v>6</v>
      </c>
      <c r="F510" s="15"/>
      <c r="G510" s="16">
        <f>IFERROR(__xludf.DUMMYFUNCTION("""COMPUTED_VALUE"""),1000.0)</f>
        <v>1000</v>
      </c>
      <c r="H510" s="227"/>
      <c r="I510" s="21" t="str">
        <f>IFERROR(__xludf.DUMMYFUNCTION("""COMPUTED_VALUE"""),"NUBANK")</f>
        <v>NUBANK</v>
      </c>
      <c r="J510" s="21" t="str">
        <f>IFERROR(__xludf.DUMMYFUNCTION("""COMPUTED_VALUE"""),"#Resgate #Nubank #Variavel #AjudaAlmir")</f>
        <v>#Resgate #Nubank #Variavel #AjudaAlmir</v>
      </c>
      <c r="K510" s="216"/>
      <c r="L510" s="216"/>
      <c r="M510" s="216"/>
      <c r="N510" s="216"/>
      <c r="O510" s="216"/>
      <c r="P510" s="216"/>
      <c r="Q510" s="216"/>
    </row>
    <row r="511">
      <c r="A511" s="11" t="str">
        <f>IFERROR(__xludf.DUMMYFUNCTION("""COMPUTED_VALUE"""),"PAGO")</f>
        <v>PAGO</v>
      </c>
      <c r="B511" s="98" t="str">
        <f>IFERROR(__xludf.DUMMYFUNCTION("""COMPUTED_VALUE"""),"Transferencia via PIX - Ajuda Almir")</f>
        <v>Transferencia via PIX - Ajuda Almir</v>
      </c>
      <c r="C511" s="13">
        <f>IFERROR(__xludf.DUMMYFUNCTION("""COMPUTED_VALUE"""),11.0)</f>
        <v>11</v>
      </c>
      <c r="D511" s="13" t="str">
        <f>IFERROR(__xludf.DUMMYFUNCTION("""COMPUTED_VALUE"""),"SEX.")</f>
        <v>SEX.</v>
      </c>
      <c r="E511" s="13">
        <f>IFERROR(__xludf.DUMMYFUNCTION("""COMPUTED_VALUE"""),6.0)</f>
        <v>6</v>
      </c>
      <c r="F511" s="15"/>
      <c r="G511" s="16"/>
      <c r="H511" s="227">
        <f>IFERROR(__xludf.DUMMYFUNCTION("""COMPUTED_VALUE"""),1000.0)</f>
        <v>1000</v>
      </c>
      <c r="I511" s="21" t="str">
        <f>IFERROR(__xludf.DUMMYFUNCTION("""COMPUTED_VALUE"""),"NUBANK")</f>
        <v>NUBANK</v>
      </c>
      <c r="J511" s="21" t="str">
        <f>IFERROR(__xludf.DUMMYFUNCTION("""COMPUTED_VALUE"""),"#Nubank #Variavel #AjudaAlmir")</f>
        <v>#Nubank #Variavel #AjudaAlmir</v>
      </c>
      <c r="K511" s="216"/>
      <c r="L511" s="216"/>
      <c r="M511" s="216"/>
      <c r="N511" s="216"/>
      <c r="O511" s="216"/>
      <c r="P511" s="216"/>
      <c r="Q511" s="216"/>
    </row>
    <row r="512">
      <c r="A512" s="11" t="str">
        <f>IFERROR(__xludf.DUMMYFUNCTION("""COMPUTED_VALUE"""),"PAGO")</f>
        <v>PAGO</v>
      </c>
      <c r="B512" s="98" t="str">
        <f>IFERROR(__xludf.DUMMYFUNCTION("""COMPUTED_VALUE"""),"Coaching / Psicologa - Candice Oliveira")</f>
        <v>Coaching / Psicologa - Candice Oliveira</v>
      </c>
      <c r="C512" s="13">
        <f>IFERROR(__xludf.DUMMYFUNCTION("""COMPUTED_VALUE"""),15.0)</f>
        <v>15</v>
      </c>
      <c r="D512" s="13" t="str">
        <f>IFERROR(__xludf.DUMMYFUNCTION("""COMPUTED_VALUE"""),"TER.")</f>
        <v>TER.</v>
      </c>
      <c r="E512" s="13">
        <f>IFERROR(__xludf.DUMMYFUNCTION("""COMPUTED_VALUE"""),6.0)</f>
        <v>6</v>
      </c>
      <c r="F512" s="15"/>
      <c r="G512" s="16"/>
      <c r="H512" s="227">
        <f>IFERROR(__xludf.DUMMYFUNCTION("""COMPUTED_VALUE"""),100.0)</f>
        <v>100</v>
      </c>
      <c r="I512" s="21" t="str">
        <f>IFERROR(__xludf.DUMMYFUNCTION("""COMPUTED_VALUE"""),"NUBANK")</f>
        <v>NUBANK</v>
      </c>
      <c r="J512" s="21" t="str">
        <f>IFERROR(__xludf.DUMMYFUNCTION("""COMPUTED_VALUE"""),"#Coaching #Fixo")</f>
        <v>#Coaching #Fixo</v>
      </c>
      <c r="K512" s="216"/>
      <c r="L512" s="216"/>
      <c r="M512" s="216"/>
      <c r="N512" s="216"/>
      <c r="O512" s="216"/>
      <c r="P512" s="216"/>
      <c r="Q512" s="216"/>
    </row>
    <row r="513">
      <c r="A513" s="11" t="str">
        <f>IFERROR(__xludf.DUMMYFUNCTION("""COMPUTED_VALUE"""),"PAGO")</f>
        <v>PAGO</v>
      </c>
      <c r="B513" s="98" t="str">
        <f>IFERROR(__xludf.DUMMYFUNCTION("""COMPUTED_VALUE"""),"Salario - IBM")</f>
        <v>Salario - IBM</v>
      </c>
      <c r="C513" s="13">
        <f>IFERROR(__xludf.DUMMYFUNCTION("""COMPUTED_VALUE"""),15.0)</f>
        <v>15</v>
      </c>
      <c r="D513" s="13" t="str">
        <f>IFERROR(__xludf.DUMMYFUNCTION("""COMPUTED_VALUE"""),"TER.")</f>
        <v>TER.</v>
      </c>
      <c r="E513" s="13">
        <f>IFERROR(__xludf.DUMMYFUNCTION("""COMPUTED_VALUE"""),6.0)</f>
        <v>6</v>
      </c>
      <c r="F513" s="15"/>
      <c r="G513" s="16">
        <f>IFERROR(__xludf.DUMMYFUNCTION("""COMPUTED_VALUE"""),5000.0)</f>
        <v>5000</v>
      </c>
      <c r="H513" s="227"/>
      <c r="I513" s="21" t="str">
        <f>IFERROR(__xludf.DUMMYFUNCTION("""COMPUTED_VALUE"""),"SANTANDER")</f>
        <v>SANTANDER</v>
      </c>
      <c r="J513" s="21" t="str">
        <f>IFERROR(__xludf.DUMMYFUNCTION("""COMPUTED_VALUE"""),"#Recebimentos #Salario #Fixo")</f>
        <v>#Recebimentos #Salario #Fixo</v>
      </c>
      <c r="K513" s="216"/>
      <c r="L513" s="216"/>
      <c r="M513" s="216"/>
      <c r="N513" s="216"/>
      <c r="O513" s="216"/>
      <c r="P513" s="216"/>
      <c r="Q513" s="216"/>
    </row>
    <row r="514">
      <c r="A514" s="11" t="str">
        <f>IFERROR(__xludf.DUMMYFUNCTION("""COMPUTED_VALUE"""),"PAGO")</f>
        <v>PAGO</v>
      </c>
      <c r="B514" s="98" t="str">
        <f>IFERROR(__xludf.DUMMYFUNCTION("""COMPUTED_VALUE"""),"Transferencia via PIX")</f>
        <v>Transferencia via PIX</v>
      </c>
      <c r="C514" s="13">
        <f>IFERROR(__xludf.DUMMYFUNCTION("""COMPUTED_VALUE"""),15.0)</f>
        <v>15</v>
      </c>
      <c r="D514" s="13" t="str">
        <f>IFERROR(__xludf.DUMMYFUNCTION("""COMPUTED_VALUE"""),"TER.")</f>
        <v>TER.</v>
      </c>
      <c r="E514" s="13">
        <f>IFERROR(__xludf.DUMMYFUNCTION("""COMPUTED_VALUE"""),6.0)</f>
        <v>6</v>
      </c>
      <c r="F514" s="15"/>
      <c r="G514" s="16"/>
      <c r="H514" s="227">
        <f>IFERROR(__xludf.DUMMYFUNCTION("""COMPUTED_VALUE"""),5000.0)</f>
        <v>5000</v>
      </c>
      <c r="I514" s="21" t="str">
        <f>IFERROR(__xludf.DUMMYFUNCTION("""COMPUTED_VALUE"""),"SANTANDER")</f>
        <v>SANTANDER</v>
      </c>
      <c r="J514" s="21" t="str">
        <f>IFERROR(__xludf.DUMMYFUNCTION("""COMPUTED_VALUE"""),"#Transferencia #PIX #Nubank #Santander")</f>
        <v>#Transferencia #PIX #Nubank #Santander</v>
      </c>
      <c r="K514" s="216"/>
      <c r="L514" s="216"/>
      <c r="M514" s="216"/>
      <c r="N514" s="216"/>
      <c r="O514" s="216"/>
      <c r="P514" s="216"/>
      <c r="Q514" s="216"/>
    </row>
    <row r="515">
      <c r="A515" s="11" t="str">
        <f>IFERROR(__xludf.DUMMYFUNCTION("""COMPUTED_VALUE"""),"PAGO")</f>
        <v>PAGO</v>
      </c>
      <c r="B515" s="98" t="str">
        <f>IFERROR(__xludf.DUMMYFUNCTION("""COMPUTED_VALUE"""),"Recebimento via PIX")</f>
        <v>Recebimento via PIX</v>
      </c>
      <c r="C515" s="13">
        <f>IFERROR(__xludf.DUMMYFUNCTION("""COMPUTED_VALUE"""),15.0)</f>
        <v>15</v>
      </c>
      <c r="D515" s="13" t="str">
        <f>IFERROR(__xludf.DUMMYFUNCTION("""COMPUTED_VALUE"""),"TER.")</f>
        <v>TER.</v>
      </c>
      <c r="E515" s="13">
        <f>IFERROR(__xludf.DUMMYFUNCTION("""COMPUTED_VALUE"""),6.0)</f>
        <v>6</v>
      </c>
      <c r="F515" s="15"/>
      <c r="G515" s="16">
        <f>IFERROR(__xludf.DUMMYFUNCTION("""COMPUTED_VALUE"""),5000.0)</f>
        <v>5000</v>
      </c>
      <c r="H515" s="227"/>
      <c r="I515" s="21" t="str">
        <f>IFERROR(__xludf.DUMMYFUNCTION("""COMPUTED_VALUE"""),"NUBANK")</f>
        <v>NUBANK</v>
      </c>
      <c r="J515" s="21" t="str">
        <f>IFERROR(__xludf.DUMMYFUNCTION("""COMPUTED_VALUE"""),"#Recebimentos #PIX #Nubank #Santander")</f>
        <v>#Recebimentos #PIX #Nubank #Santander</v>
      </c>
      <c r="K515" s="216"/>
      <c r="L515" s="216"/>
      <c r="M515" s="216"/>
      <c r="N515" s="216"/>
      <c r="O515" s="216"/>
      <c r="P515" s="216"/>
      <c r="Q515" s="216"/>
    </row>
    <row r="516">
      <c r="A516" s="11" t="str">
        <f>IFERROR(__xludf.DUMMYFUNCTION("""COMPUTED_VALUE"""),"PAGO")</f>
        <v>PAGO</v>
      </c>
      <c r="B516" s="98" t="str">
        <f>IFERROR(__xludf.DUMMYFUNCTION("""COMPUTED_VALUE"""),"Convenio Carlos")</f>
        <v>Convenio Carlos</v>
      </c>
      <c r="C516" s="13">
        <f>IFERROR(__xludf.DUMMYFUNCTION("""COMPUTED_VALUE"""),15.0)</f>
        <v>15</v>
      </c>
      <c r="D516" s="13" t="str">
        <f>IFERROR(__xludf.DUMMYFUNCTION("""COMPUTED_VALUE"""),"TER.")</f>
        <v>TER.</v>
      </c>
      <c r="E516" s="13">
        <f>IFERROR(__xludf.DUMMYFUNCTION("""COMPUTED_VALUE"""),6.0)</f>
        <v>6</v>
      </c>
      <c r="F516" s="15"/>
      <c r="G516" s="16"/>
      <c r="H516" s="227">
        <f>IFERROR(__xludf.DUMMYFUNCTION("""COMPUTED_VALUE"""),208.7)</f>
        <v>208.7</v>
      </c>
      <c r="I516" s="21" t="str">
        <f>IFERROR(__xludf.DUMMYFUNCTION("""COMPUTED_VALUE"""),"NUBANK")</f>
        <v>NUBANK</v>
      </c>
      <c r="J516" s="21" t="str">
        <f>IFERROR(__xludf.DUMMYFUNCTION("""COMPUTED_VALUE"""),"#Essencial #Saude #Convenio #Familia #Fixo ")</f>
        <v>#Essencial #Saude #Convenio #Familia #Fixo </v>
      </c>
      <c r="K516" s="216"/>
      <c r="L516" s="216"/>
      <c r="M516" s="216"/>
      <c r="N516" s="216"/>
      <c r="O516" s="216"/>
      <c r="P516" s="216"/>
      <c r="Q516" s="216"/>
    </row>
    <row r="517">
      <c r="A517" s="11" t="str">
        <f>IFERROR(__xludf.DUMMYFUNCTION("""COMPUTED_VALUE"""),"PAGO")</f>
        <v>PAGO</v>
      </c>
      <c r="B517" s="98" t="str">
        <f>IFERROR(__xludf.DUMMYFUNCTION("""COMPUTED_VALUE"""),"Convenio Eduardo")</f>
        <v>Convenio Eduardo</v>
      </c>
      <c r="C517" s="13">
        <f>IFERROR(__xludf.DUMMYFUNCTION("""COMPUTED_VALUE"""),15.0)</f>
        <v>15</v>
      </c>
      <c r="D517" s="13" t="str">
        <f>IFERROR(__xludf.DUMMYFUNCTION("""COMPUTED_VALUE"""),"TER.")</f>
        <v>TER.</v>
      </c>
      <c r="E517" s="13">
        <f>IFERROR(__xludf.DUMMYFUNCTION("""COMPUTED_VALUE"""),6.0)</f>
        <v>6</v>
      </c>
      <c r="F517" s="15"/>
      <c r="G517" s="16"/>
      <c r="H517" s="227">
        <f>IFERROR(__xludf.DUMMYFUNCTION("""COMPUTED_VALUE"""),208.7)</f>
        <v>208.7</v>
      </c>
      <c r="I517" s="21" t="str">
        <f>IFERROR(__xludf.DUMMYFUNCTION("""COMPUTED_VALUE"""),"NUBANK")</f>
        <v>NUBANK</v>
      </c>
      <c r="J517" s="21" t="str">
        <f>IFERROR(__xludf.DUMMYFUNCTION("""COMPUTED_VALUE"""),"#Essencial #Saude #Convenio #Familia #Fixo ")</f>
        <v>#Essencial #Saude #Convenio #Familia #Fixo </v>
      </c>
      <c r="K517" s="216"/>
      <c r="L517" s="216"/>
      <c r="M517" s="216"/>
      <c r="N517" s="216"/>
      <c r="O517" s="216"/>
      <c r="P517" s="216"/>
      <c r="Q517" s="216"/>
    </row>
    <row r="518">
      <c r="A518" s="11" t="str">
        <f>IFERROR(__xludf.DUMMYFUNCTION("""COMPUTED_VALUE"""),"PAGO")</f>
        <v>PAGO</v>
      </c>
      <c r="B518" s="98" t="str">
        <f>IFERROR(__xludf.DUMMYFUNCTION("""COMPUTED_VALUE"""),"Convenio Roberta")</f>
        <v>Convenio Roberta</v>
      </c>
      <c r="C518" s="13">
        <f>IFERROR(__xludf.DUMMYFUNCTION("""COMPUTED_VALUE"""),15.0)</f>
        <v>15</v>
      </c>
      <c r="D518" s="13" t="str">
        <f>IFERROR(__xludf.DUMMYFUNCTION("""COMPUTED_VALUE"""),"TER.")</f>
        <v>TER.</v>
      </c>
      <c r="E518" s="13">
        <f>IFERROR(__xludf.DUMMYFUNCTION("""COMPUTED_VALUE"""),6.0)</f>
        <v>6</v>
      </c>
      <c r="F518" s="15"/>
      <c r="G518" s="16"/>
      <c r="H518" s="227">
        <f>IFERROR(__xludf.DUMMYFUNCTION("""COMPUTED_VALUE"""),263.88)</f>
        <v>263.88</v>
      </c>
      <c r="I518" s="21" t="str">
        <f>IFERROR(__xludf.DUMMYFUNCTION("""COMPUTED_VALUE"""),"NUBANK")</f>
        <v>NUBANK</v>
      </c>
      <c r="J518" s="21" t="str">
        <f>IFERROR(__xludf.DUMMYFUNCTION("""COMPUTED_VALUE"""),"#Essencial #Saude #Convenio #Familia #Fixo ")</f>
        <v>#Essencial #Saude #Convenio #Familia #Fixo </v>
      </c>
      <c r="K518" s="216"/>
      <c r="L518" s="216"/>
      <c r="M518" s="216"/>
      <c r="N518" s="216"/>
      <c r="O518" s="216"/>
      <c r="P518" s="216"/>
      <c r="Q518" s="216"/>
    </row>
    <row r="519">
      <c r="A519" s="11" t="str">
        <f>IFERROR(__xludf.DUMMYFUNCTION("""COMPUTED_VALUE"""),"CONTAS")</f>
        <v>CONTAS</v>
      </c>
      <c r="B519" s="98" t="str">
        <f>IFERROR(__xludf.DUMMYFUNCTION("""COMPUTED_VALUE"""),"Transferencia via PIX")</f>
        <v>Transferencia via PIX</v>
      </c>
      <c r="C519" s="13">
        <f>IFERROR(__xludf.DUMMYFUNCTION("""COMPUTED_VALUE"""),15.0)</f>
        <v>15</v>
      </c>
      <c r="D519" s="13" t="str">
        <f>IFERROR(__xludf.DUMMYFUNCTION("""COMPUTED_VALUE"""),"TER.")</f>
        <v>TER.</v>
      </c>
      <c r="E519" s="13">
        <f>IFERROR(__xludf.DUMMYFUNCTION("""COMPUTED_VALUE"""),6.0)</f>
        <v>6</v>
      </c>
      <c r="F519" s="15"/>
      <c r="G519" s="16"/>
      <c r="H519" s="227">
        <f>IFERROR(__xludf.DUMMYFUNCTION("""COMPUTED_VALUE"""),200.0)</f>
        <v>200</v>
      </c>
      <c r="I519" s="21" t="str">
        <f>IFERROR(__xludf.DUMMYFUNCTION("""COMPUTED_VALUE"""),"NUBANK")</f>
        <v>NUBANK</v>
      </c>
      <c r="J519" s="21"/>
      <c r="K519" s="216"/>
      <c r="L519" s="216"/>
      <c r="M519" s="216"/>
      <c r="N519" s="216"/>
      <c r="O519" s="216"/>
      <c r="P519" s="216"/>
      <c r="Q519" s="216"/>
    </row>
    <row r="520">
      <c r="A520" s="11" t="str">
        <f>IFERROR(__xludf.DUMMYFUNCTION("""COMPUTED_VALUE"""),"CONTAS")</f>
        <v>CONTAS</v>
      </c>
      <c r="B520" s="98" t="str">
        <f>IFERROR(__xludf.DUMMYFUNCTION("""COMPUTED_VALUE"""),"Recebimento via PIX")</f>
        <v>Recebimento via PIX</v>
      </c>
      <c r="C520" s="13">
        <f>IFERROR(__xludf.DUMMYFUNCTION("""COMPUTED_VALUE"""),15.0)</f>
        <v>15</v>
      </c>
      <c r="D520" s="13" t="str">
        <f>IFERROR(__xludf.DUMMYFUNCTION("""COMPUTED_VALUE"""),"TER.")</f>
        <v>TER.</v>
      </c>
      <c r="E520" s="13">
        <f>IFERROR(__xludf.DUMMYFUNCTION("""COMPUTED_VALUE"""),6.0)</f>
        <v>6</v>
      </c>
      <c r="F520" s="15"/>
      <c r="G520" s="16">
        <f>IFERROR(__xludf.DUMMYFUNCTION("""COMPUTED_VALUE"""),200.0)</f>
        <v>200</v>
      </c>
      <c r="H520" s="227"/>
      <c r="I520" s="21" t="str">
        <f>IFERROR(__xludf.DUMMYFUNCTION("""COMPUTED_VALUE"""),"ITAU")</f>
        <v>ITAU</v>
      </c>
      <c r="J520" s="21"/>
      <c r="K520" s="216"/>
      <c r="L520" s="216"/>
      <c r="M520" s="216"/>
      <c r="N520" s="216"/>
      <c r="O520" s="216"/>
      <c r="P520" s="216"/>
      <c r="Q520" s="216"/>
    </row>
    <row r="521">
      <c r="A521" s="11" t="str">
        <f>IFERROR(__xludf.DUMMYFUNCTION("""COMPUTED_VALUE"""),"PAGO")</f>
        <v>PAGO</v>
      </c>
      <c r="B521" s="98" t="str">
        <f>IFERROR(__xludf.DUMMYFUNCTION("""COMPUTED_VALUE"""),"Devolução/Transferência Resgate reserva de emergencia")</f>
        <v>Devolução/Transferência Resgate reserva de emergencia</v>
      </c>
      <c r="C521" s="13">
        <f>IFERROR(__xludf.DUMMYFUNCTION("""COMPUTED_VALUE"""),11.0)</f>
        <v>11</v>
      </c>
      <c r="D521" s="13" t="str">
        <f>IFERROR(__xludf.DUMMYFUNCTION("""COMPUTED_VALUE"""),"SEX.")</f>
        <v>SEX.</v>
      </c>
      <c r="E521" s="13">
        <f>IFERROR(__xludf.DUMMYFUNCTION("""COMPUTED_VALUE"""),6.0)</f>
        <v>6</v>
      </c>
      <c r="F521" s="15"/>
      <c r="G521" s="16"/>
      <c r="H521" s="227">
        <f>IFERROR(__xludf.DUMMYFUNCTION("""COMPUTED_VALUE"""),2000.0)</f>
        <v>2000</v>
      </c>
      <c r="I521" s="21" t="str">
        <f>IFERROR(__xludf.DUMMYFUNCTION("""COMPUTED_VALUE"""),"NUBANK")</f>
        <v>NUBANK</v>
      </c>
      <c r="J521" s="21" t="str">
        <f>IFERROR(__xludf.DUMMYFUNCTION("""COMPUTED_VALUE"""),"#Resgate #Nubank #Variavel #AjudaAlmir")</f>
        <v>#Resgate #Nubank #Variavel #AjudaAlmir</v>
      </c>
      <c r="K521" s="216"/>
      <c r="L521" s="216"/>
      <c r="M521" s="216"/>
      <c r="N521" s="216"/>
      <c r="O521" s="216"/>
      <c r="P521" s="216"/>
      <c r="Q521" s="216"/>
    </row>
    <row r="522">
      <c r="A522" s="11" t="str">
        <f>IFERROR(__xludf.DUMMYFUNCTION("""COMPUTED_VALUE"""),"PAGO")</f>
        <v>PAGO</v>
      </c>
      <c r="B522" s="98" t="str">
        <f>IFERROR(__xludf.DUMMYFUNCTION("""COMPUTED_VALUE"""),"Recarga TIM Cicero 11 948825242")</f>
        <v>Recarga TIM Cicero 11 948825242</v>
      </c>
      <c r="C522" s="13">
        <f>IFERROR(__xludf.DUMMYFUNCTION("""COMPUTED_VALUE"""),17.0)</f>
        <v>17</v>
      </c>
      <c r="D522" s="13" t="str">
        <f>IFERROR(__xludf.DUMMYFUNCTION("""COMPUTED_VALUE"""),"QUI.")</f>
        <v>QUI.</v>
      </c>
      <c r="E522" s="13">
        <f>IFERROR(__xludf.DUMMYFUNCTION("""COMPUTED_VALUE"""),6.0)</f>
        <v>6</v>
      </c>
      <c r="F522" s="15"/>
      <c r="G522" s="16"/>
      <c r="H522" s="227">
        <f>IFERROR(__xludf.DUMMYFUNCTION("""COMPUTED_VALUE"""),20.0)</f>
        <v>20</v>
      </c>
      <c r="I522" s="21" t="str">
        <f>IFERROR(__xludf.DUMMYFUNCTION("""COMPUTED_VALUE"""),"NUBANK")</f>
        <v>NUBANK</v>
      </c>
      <c r="J522" s="21" t="str">
        <f>IFERROR(__xludf.DUMMYFUNCTION("""COMPUTED_VALUE"""),"#Variavel #Recarga #TIM ")</f>
        <v>#Variavel #Recarga #TIM </v>
      </c>
      <c r="K522" s="216"/>
      <c r="L522" s="216"/>
      <c r="M522" s="216"/>
      <c r="N522" s="216"/>
      <c r="O522" s="216"/>
      <c r="P522" s="216"/>
      <c r="Q522" s="216"/>
    </row>
    <row r="523">
      <c r="A523" s="11" t="str">
        <f>IFERROR(__xludf.DUMMYFUNCTION("""COMPUTED_VALUE"""),"PAGO")</f>
        <v>PAGO</v>
      </c>
      <c r="B523" s="98" t="str">
        <f>IFERROR(__xludf.DUMMYFUNCTION("""COMPUTED_VALUE"""),"Farmácia Pague Menos")</f>
        <v>Farmácia Pague Menos</v>
      </c>
      <c r="C523" s="13">
        <f>IFERROR(__xludf.DUMMYFUNCTION("""COMPUTED_VALUE"""),17.0)</f>
        <v>17</v>
      </c>
      <c r="D523" s="13" t="str">
        <f>IFERROR(__xludf.DUMMYFUNCTION("""COMPUTED_VALUE"""),"QUI.")</f>
        <v>QUI.</v>
      </c>
      <c r="E523" s="13">
        <f>IFERROR(__xludf.DUMMYFUNCTION("""COMPUTED_VALUE"""),6.0)</f>
        <v>6</v>
      </c>
      <c r="F523" s="15"/>
      <c r="G523" s="16"/>
      <c r="H523" s="227">
        <f>IFERROR(__xludf.DUMMYFUNCTION("""COMPUTED_VALUE"""),37.02)</f>
        <v>37.02</v>
      </c>
      <c r="I523" s="21" t="str">
        <f>IFERROR(__xludf.DUMMYFUNCTION("""COMPUTED_VALUE"""),"NUBANK")</f>
        <v>NUBANK</v>
      </c>
      <c r="J523" s="21" t="str">
        <f>IFERROR(__xludf.DUMMYFUNCTION("""COMPUTED_VALUE"""),"#Remedios #Carlos #Roberta #Variavel ")</f>
        <v>#Remedios #Carlos #Roberta #Variavel </v>
      </c>
      <c r="K523" s="216"/>
      <c r="L523" s="216"/>
      <c r="M523" s="216"/>
      <c r="N523" s="216"/>
      <c r="O523" s="216"/>
      <c r="P523" s="216"/>
      <c r="Q523" s="216"/>
    </row>
    <row r="524">
      <c r="A524" s="11" t="str">
        <f>IFERROR(__xludf.DUMMYFUNCTION("""COMPUTED_VALUE"""),"PAGO")</f>
        <v>PAGO</v>
      </c>
      <c r="B524" s="98" t="str">
        <f>IFERROR(__xludf.DUMMYFUNCTION("""COMPUTED_VALUE"""),"Transferencia via PIX - Roberta (hambúrgueres)")</f>
        <v>Transferencia via PIX - Roberta (hambúrgueres)</v>
      </c>
      <c r="C524" s="13">
        <f>IFERROR(__xludf.DUMMYFUNCTION("""COMPUTED_VALUE"""),18.0)</f>
        <v>18</v>
      </c>
      <c r="D524" s="13" t="str">
        <f>IFERROR(__xludf.DUMMYFUNCTION("""COMPUTED_VALUE"""),"SEX.")</f>
        <v>SEX.</v>
      </c>
      <c r="E524" s="13">
        <f>IFERROR(__xludf.DUMMYFUNCTION("""COMPUTED_VALUE"""),6.0)</f>
        <v>6</v>
      </c>
      <c r="F524" s="15"/>
      <c r="G524" s="16"/>
      <c r="H524" s="227">
        <f>IFERROR(__xludf.DUMMYFUNCTION("""COMPUTED_VALUE"""),100.0)</f>
        <v>100</v>
      </c>
      <c r="I524" s="21" t="str">
        <f>IFERROR(__xludf.DUMMYFUNCTION("""COMPUTED_VALUE"""),"NUBANK")</f>
        <v>NUBANK</v>
      </c>
      <c r="J524" s="21" t="str">
        <f>IFERROR(__xludf.DUMMYFUNCTION("""COMPUTED_VALUE"""),"#Roberta #Lazer #Comida #Variavel")</f>
        <v>#Roberta #Lazer #Comida #Variavel</v>
      </c>
      <c r="K524" s="216"/>
      <c r="L524" s="216"/>
      <c r="M524" s="216"/>
      <c r="N524" s="216"/>
      <c r="O524" s="216"/>
      <c r="P524" s="216"/>
      <c r="Q524" s="216"/>
    </row>
    <row r="525">
      <c r="A525" s="11" t="str">
        <f>IFERROR(__xludf.DUMMYFUNCTION("""COMPUTED_VALUE"""),"PAGO")</f>
        <v>PAGO</v>
      </c>
      <c r="B525" s="98" t="str">
        <f>IFERROR(__xludf.DUMMYFUNCTION("""COMPUTED_VALUE"""),"iFood - Krueger Lanchonete")</f>
        <v>iFood - Krueger Lanchonete</v>
      </c>
      <c r="C525" s="13">
        <f>IFERROR(__xludf.DUMMYFUNCTION("""COMPUTED_VALUE"""),20.0)</f>
        <v>20</v>
      </c>
      <c r="D525" s="13" t="str">
        <f>IFERROR(__xludf.DUMMYFUNCTION("""COMPUTED_VALUE"""),"DOM.")</f>
        <v>DOM.</v>
      </c>
      <c r="E525" s="13">
        <f>IFERROR(__xludf.DUMMYFUNCTION("""COMPUTED_VALUE"""),6.0)</f>
        <v>6</v>
      </c>
      <c r="F525" s="15"/>
      <c r="G525" s="16"/>
      <c r="H525" s="227">
        <f>IFERROR(__xludf.DUMMYFUNCTION("""COMPUTED_VALUE"""),62.8)</f>
        <v>62.8</v>
      </c>
      <c r="I525" s="21" t="str">
        <f>IFERROR(__xludf.DUMMYFUNCTION("""COMPUTED_VALUE"""),"SODEXO-REF-IBM")</f>
        <v>SODEXO-REF-IBM</v>
      </c>
      <c r="J525" s="21" t="str">
        <f>IFERROR(__xludf.DUMMYFUNCTION("""COMPUTED_VALUE"""),"#Lazer #Comida #Variavel")</f>
        <v>#Lazer #Comida #Variavel</v>
      </c>
      <c r="K525" s="216"/>
      <c r="L525" s="216"/>
      <c r="M525" s="216"/>
      <c r="N525" s="216"/>
      <c r="O525" s="216"/>
      <c r="P525" s="216"/>
      <c r="Q525" s="216"/>
    </row>
    <row r="526">
      <c r="A526" s="11" t="str">
        <f>IFERROR(__xludf.DUMMYFUNCTION("""COMPUTED_VALUE"""),"PAGO")</f>
        <v>PAGO</v>
      </c>
      <c r="B526" s="98" t="str">
        <f>IFERROR(__xludf.DUMMYFUNCTION("""COMPUTED_VALUE"""),"NOBILIS CONTABILIDADE")</f>
        <v>NOBILIS CONTABILIDADE</v>
      </c>
      <c r="C526" s="13">
        <f>IFERROR(__xludf.DUMMYFUNCTION("""COMPUTED_VALUE"""),21.0)</f>
        <v>21</v>
      </c>
      <c r="D526" s="13" t="str">
        <f>IFERROR(__xludf.DUMMYFUNCTION("""COMPUTED_VALUE"""),"SEG.")</f>
        <v>SEG.</v>
      </c>
      <c r="E526" s="13">
        <f>IFERROR(__xludf.DUMMYFUNCTION("""COMPUTED_VALUE"""),6.0)</f>
        <v>6</v>
      </c>
      <c r="F526" s="15"/>
      <c r="G526" s="16"/>
      <c r="H526" s="227">
        <f>IFERROR(__xludf.DUMMYFUNCTION("""COMPUTED_VALUE"""),140.0)</f>
        <v>140</v>
      </c>
      <c r="I526" s="21" t="str">
        <f>IFERROR(__xludf.DUMMYFUNCTION("""COMPUTED_VALUE"""),"ITAU")</f>
        <v>ITAU</v>
      </c>
      <c r="J526" s="21" t="str">
        <f>IFERROR(__xludf.DUMMYFUNCTION("""COMPUTED_VALUE"""),"#Fixo #Contador ")</f>
        <v>#Fixo #Contador </v>
      </c>
      <c r="K526" s="216"/>
      <c r="L526" s="216"/>
      <c r="M526" s="216"/>
      <c r="N526" s="216"/>
      <c r="O526" s="216"/>
      <c r="P526" s="216"/>
      <c r="Q526" s="216"/>
    </row>
    <row r="527">
      <c r="A527" s="11" t="str">
        <f>IFERROR(__xludf.DUMMYFUNCTION("""COMPUTED_VALUE"""),"PAGO")</f>
        <v>PAGO</v>
      </c>
      <c r="B527" s="98" t="str">
        <f>IFERROR(__xludf.DUMMYFUNCTION("""COMPUTED_VALUE"""),"DAS - Simples Nacional - nenhuma nota fiscal emitida no periodo")</f>
        <v>DAS - Simples Nacional - nenhuma nota fiscal emitida no periodo</v>
      </c>
      <c r="C527" s="13">
        <f>IFERROR(__xludf.DUMMYFUNCTION("""COMPUTED_VALUE"""),21.0)</f>
        <v>21</v>
      </c>
      <c r="D527" s="13" t="str">
        <f>IFERROR(__xludf.DUMMYFUNCTION("""COMPUTED_VALUE"""),"SEG.")</f>
        <v>SEG.</v>
      </c>
      <c r="E527" s="13">
        <f>IFERROR(__xludf.DUMMYFUNCTION("""COMPUTED_VALUE"""),6.0)</f>
        <v>6</v>
      </c>
      <c r="F527" s="15"/>
      <c r="G527" s="16"/>
      <c r="H527" s="227">
        <f>IFERROR(__xludf.DUMMYFUNCTION("""COMPUTED_VALUE"""),0.0)</f>
        <v>0</v>
      </c>
      <c r="I527" s="21" t="str">
        <f>IFERROR(__xludf.DUMMYFUNCTION("""COMPUTED_VALUE"""),"NUBANK")</f>
        <v>NUBANK</v>
      </c>
      <c r="J527" s="21" t="str">
        <f>IFERROR(__xludf.DUMMYFUNCTION("""COMPUTED_VALUE"""),"#Impostos #Fixo ")</f>
        <v>#Impostos #Fixo </v>
      </c>
      <c r="K527" s="216"/>
      <c r="L527" s="216"/>
      <c r="M527" s="216"/>
      <c r="N527" s="216"/>
      <c r="O527" s="216"/>
      <c r="P527" s="216"/>
      <c r="Q527" s="216"/>
    </row>
    <row r="528">
      <c r="A528" s="11" t="str">
        <f>IFERROR(__xludf.DUMMYFUNCTION("""COMPUTED_VALUE"""),"PAGO")</f>
        <v>PAGO</v>
      </c>
      <c r="B528" s="98" t="str">
        <f>IFERROR(__xludf.DUMMYFUNCTION("""COMPUTED_VALUE"""),"Convenio Cicero")</f>
        <v>Convenio Cicero</v>
      </c>
      <c r="C528" s="13">
        <f>IFERROR(__xludf.DUMMYFUNCTION("""COMPUTED_VALUE"""),20.0)</f>
        <v>20</v>
      </c>
      <c r="D528" s="13" t="str">
        <f>IFERROR(__xludf.DUMMYFUNCTION("""COMPUTED_VALUE"""),"DOM.")</f>
        <v>DOM.</v>
      </c>
      <c r="E528" s="13">
        <f>IFERROR(__xludf.DUMMYFUNCTION("""COMPUTED_VALUE"""),6.0)</f>
        <v>6</v>
      </c>
      <c r="F528" s="15">
        <f>IFERROR(__xludf.DUMMYFUNCTION("""COMPUTED_VALUE"""),44362.0)</f>
        <v>44362</v>
      </c>
      <c r="G528" s="16"/>
      <c r="H528" s="227">
        <f>IFERROR(__xludf.DUMMYFUNCTION("""COMPUTED_VALUE"""),373.41)</f>
        <v>373.41</v>
      </c>
      <c r="I528" s="21" t="str">
        <f>IFERROR(__xludf.DUMMYFUNCTION("""COMPUTED_VALUE"""),"NUBANK")</f>
        <v>NUBANK</v>
      </c>
      <c r="J528" s="21" t="str">
        <f>IFERROR(__xludf.DUMMYFUNCTION("""COMPUTED_VALUE"""),"#Essencial #Saude #Convenio #Familia #Cicero #Fixo ")</f>
        <v>#Essencial #Saude #Convenio #Familia #Cicero #Fixo </v>
      </c>
      <c r="K528" s="216"/>
      <c r="L528" s="216"/>
      <c r="M528" s="216"/>
      <c r="N528" s="216"/>
      <c r="O528" s="216"/>
      <c r="P528" s="216"/>
      <c r="Q528" s="216"/>
    </row>
    <row r="529">
      <c r="A529" s="11" t="str">
        <f>IFERROR(__xludf.DUMMYFUNCTION("""COMPUTED_VALUE"""),"CONTAS")</f>
        <v>CONTAS</v>
      </c>
      <c r="B529" s="98" t="str">
        <f>IFERROR(__xludf.DUMMYFUNCTION("""COMPUTED_VALUE"""),"Transferencia via PIX")</f>
        <v>Transferencia via PIX</v>
      </c>
      <c r="C529" s="13">
        <f>IFERROR(__xludf.DUMMYFUNCTION("""COMPUTED_VALUE"""),21.0)</f>
        <v>21</v>
      </c>
      <c r="D529" s="13" t="str">
        <f>IFERROR(__xludf.DUMMYFUNCTION("""COMPUTED_VALUE"""),"SEG.")</f>
        <v>SEG.</v>
      </c>
      <c r="E529" s="13">
        <f>IFERROR(__xludf.DUMMYFUNCTION("""COMPUTED_VALUE"""),6.0)</f>
        <v>6</v>
      </c>
      <c r="F529" s="15"/>
      <c r="G529" s="16"/>
      <c r="H529" s="227">
        <f>IFERROR(__xludf.DUMMYFUNCTION("""COMPUTED_VALUE"""),140.0)</f>
        <v>140</v>
      </c>
      <c r="I529" s="21" t="str">
        <f>IFERROR(__xludf.DUMMYFUNCTION("""COMPUTED_VALUE"""),"NUBANK")</f>
        <v>NUBANK</v>
      </c>
      <c r="J529" s="21"/>
      <c r="K529" s="216"/>
      <c r="L529" s="216"/>
      <c r="M529" s="216"/>
      <c r="N529" s="216"/>
      <c r="O529" s="216"/>
      <c r="P529" s="216"/>
      <c r="Q529" s="216"/>
    </row>
    <row r="530">
      <c r="A530" s="11" t="str">
        <f>IFERROR(__xludf.DUMMYFUNCTION("""COMPUTED_VALUE"""),"CONTAS")</f>
        <v>CONTAS</v>
      </c>
      <c r="B530" s="98" t="str">
        <f>IFERROR(__xludf.DUMMYFUNCTION("""COMPUTED_VALUE"""),"Recebimento via PIX")</f>
        <v>Recebimento via PIX</v>
      </c>
      <c r="C530" s="13">
        <f>IFERROR(__xludf.DUMMYFUNCTION("""COMPUTED_VALUE"""),21.0)</f>
        <v>21</v>
      </c>
      <c r="D530" s="13" t="str">
        <f>IFERROR(__xludf.DUMMYFUNCTION("""COMPUTED_VALUE"""),"SEG.")</f>
        <v>SEG.</v>
      </c>
      <c r="E530" s="13">
        <f>IFERROR(__xludf.DUMMYFUNCTION("""COMPUTED_VALUE"""),6.0)</f>
        <v>6</v>
      </c>
      <c r="F530" s="15"/>
      <c r="G530" s="16">
        <f>IFERROR(__xludf.DUMMYFUNCTION("""COMPUTED_VALUE"""),140.0)</f>
        <v>140</v>
      </c>
      <c r="H530" s="227"/>
      <c r="I530" s="21" t="str">
        <f>IFERROR(__xludf.DUMMYFUNCTION("""COMPUTED_VALUE"""),"ITAU")</f>
        <v>ITAU</v>
      </c>
      <c r="J530" s="21"/>
      <c r="K530" s="216"/>
      <c r="L530" s="216"/>
      <c r="M530" s="216"/>
      <c r="N530" s="216"/>
      <c r="O530" s="216"/>
      <c r="P530" s="216"/>
      <c r="Q530" s="216"/>
    </row>
    <row r="531">
      <c r="A531" s="11" t="str">
        <f>IFERROR(__xludf.DUMMYFUNCTION("""COMPUTED_VALUE"""),"PAGO")</f>
        <v>PAGO</v>
      </c>
      <c r="B531" s="98" t="str">
        <f>IFERROR(__xludf.DUMMYFUNCTION("""COMPUTED_VALUE"""),"Shibata")</f>
        <v>Shibata</v>
      </c>
      <c r="C531" s="13">
        <f>IFERROR(__xludf.DUMMYFUNCTION("""COMPUTED_VALUE"""),21.0)</f>
        <v>21</v>
      </c>
      <c r="D531" s="13" t="str">
        <f>IFERROR(__xludf.DUMMYFUNCTION("""COMPUTED_VALUE"""),"SEG.")</f>
        <v>SEG.</v>
      </c>
      <c r="E531" s="13">
        <f>IFERROR(__xludf.DUMMYFUNCTION("""COMPUTED_VALUE"""),6.0)</f>
        <v>6</v>
      </c>
      <c r="F531" s="15"/>
      <c r="G531" s="16"/>
      <c r="H531" s="227">
        <f>IFERROR(__xludf.DUMMYFUNCTION("""COMPUTED_VALUE"""),332.86)</f>
        <v>332.86</v>
      </c>
      <c r="I531" s="21" t="str">
        <f>IFERROR(__xludf.DUMMYFUNCTION("""COMPUTED_VALUE"""),"SODEXO-ALI-IBM")</f>
        <v>SODEXO-ALI-IBM</v>
      </c>
      <c r="J531" s="21" t="str">
        <f>IFERROR(__xludf.DUMMYFUNCTION("""COMPUTED_VALUE"""),"#Moradia #Essencial #Mercado #Variavel #Alimentação ")</f>
        <v>#Moradia #Essencial #Mercado #Variavel #Alimentação </v>
      </c>
      <c r="K531" s="216"/>
      <c r="L531" s="216"/>
      <c r="M531" s="216"/>
      <c r="N531" s="216"/>
      <c r="O531" s="216"/>
      <c r="P531" s="216"/>
      <c r="Q531" s="216"/>
    </row>
    <row r="532">
      <c r="A532" s="11" t="str">
        <f>IFERROR(__xludf.DUMMYFUNCTION("""COMPUTED_VALUE"""),"PAGO")</f>
        <v>PAGO</v>
      </c>
      <c r="B532" s="98" t="str">
        <f>IFERROR(__xludf.DUMMYFUNCTION("""COMPUTED_VALUE"""),"Shibata")</f>
        <v>Shibata</v>
      </c>
      <c r="C532" s="13">
        <f>IFERROR(__xludf.DUMMYFUNCTION("""COMPUTED_VALUE"""),21.0)</f>
        <v>21</v>
      </c>
      <c r="D532" s="13" t="str">
        <f>IFERROR(__xludf.DUMMYFUNCTION("""COMPUTED_VALUE"""),"SEG.")</f>
        <v>SEG.</v>
      </c>
      <c r="E532" s="13">
        <f>IFERROR(__xludf.DUMMYFUNCTION("""COMPUTED_VALUE"""),6.0)</f>
        <v>6</v>
      </c>
      <c r="F532" s="15"/>
      <c r="G532" s="16"/>
      <c r="H532" s="227">
        <f>IFERROR(__xludf.DUMMYFUNCTION("""COMPUTED_VALUE"""),8.65)</f>
        <v>8.65</v>
      </c>
      <c r="I532" s="21" t="str">
        <f>IFERROR(__xludf.DUMMYFUNCTION("""COMPUTED_VALUE"""),"SODEXO-REF-IBM")</f>
        <v>SODEXO-REF-IBM</v>
      </c>
      <c r="J532" s="21" t="str">
        <f>IFERROR(__xludf.DUMMYFUNCTION("""COMPUTED_VALUE"""),"#Moradia #Essencial #Mercado #Variavel #Alimentação ")</f>
        <v>#Moradia #Essencial #Mercado #Variavel #Alimentação </v>
      </c>
      <c r="K532" s="216"/>
      <c r="L532" s="216"/>
      <c r="M532" s="216"/>
      <c r="N532" s="216"/>
      <c r="O532" s="216"/>
      <c r="P532" s="216"/>
      <c r="Q532" s="216"/>
    </row>
    <row r="533">
      <c r="A533" s="11" t="str">
        <f>IFERROR(__xludf.DUMMYFUNCTION("""COMPUTED_VALUE"""),"PAGO")</f>
        <v>PAGO</v>
      </c>
      <c r="B533" s="98" t="str">
        <f>IFERROR(__xludf.DUMMYFUNCTION("""COMPUTED_VALUE"""),"Coaching / Psicologa - Candice Oliveira")</f>
        <v>Coaching / Psicologa - Candice Oliveira</v>
      </c>
      <c r="C533" s="13">
        <f>IFERROR(__xludf.DUMMYFUNCTION("""COMPUTED_VALUE"""),23.0)</f>
        <v>23</v>
      </c>
      <c r="D533" s="13" t="str">
        <f>IFERROR(__xludf.DUMMYFUNCTION("""COMPUTED_VALUE"""),"QUA.")</f>
        <v>QUA.</v>
      </c>
      <c r="E533" s="13">
        <f>IFERROR(__xludf.DUMMYFUNCTION("""COMPUTED_VALUE"""),6.0)</f>
        <v>6</v>
      </c>
      <c r="F533" s="15"/>
      <c r="G533" s="16"/>
      <c r="H533" s="227">
        <f>IFERROR(__xludf.DUMMYFUNCTION("""COMPUTED_VALUE"""),100.0)</f>
        <v>100</v>
      </c>
      <c r="I533" s="21" t="str">
        <f>IFERROR(__xludf.DUMMYFUNCTION("""COMPUTED_VALUE"""),"NUBANK")</f>
        <v>NUBANK</v>
      </c>
      <c r="J533" s="21" t="str">
        <f>IFERROR(__xludf.DUMMYFUNCTION("""COMPUTED_VALUE"""),"#Coaching #Fixo")</f>
        <v>#Coaching #Fixo</v>
      </c>
      <c r="K533" s="216"/>
      <c r="L533" s="216"/>
      <c r="M533" s="216"/>
      <c r="N533" s="216"/>
      <c r="O533" s="216"/>
      <c r="P533" s="216"/>
      <c r="Q533" s="216"/>
    </row>
    <row r="534">
      <c r="A534" s="11" t="str">
        <f>IFERROR(__xludf.DUMMYFUNCTION("""COMPUTED_VALUE"""),"PAGO")</f>
        <v>PAGO</v>
      </c>
      <c r="B534" s="98" t="str">
        <f>IFERROR(__xludf.DUMMYFUNCTION("""COMPUTED_VALUE"""),"Agua - ITAQUERA - SERÁ PAGO PELA JOICE (CASA ALUGADA)")</f>
        <v>Agua - ITAQUERA - SERÁ PAGO PELA JOICE (CASA ALUGADA)</v>
      </c>
      <c r="C534" s="13">
        <f>IFERROR(__xludf.DUMMYFUNCTION("""COMPUTED_VALUE"""),23.0)</f>
        <v>23</v>
      </c>
      <c r="D534" s="13" t="str">
        <f>IFERROR(__xludf.DUMMYFUNCTION("""COMPUTED_VALUE"""),"QUA.")</f>
        <v>QUA.</v>
      </c>
      <c r="E534" s="13">
        <f>IFERROR(__xludf.DUMMYFUNCTION("""COMPUTED_VALUE"""),6.0)</f>
        <v>6</v>
      </c>
      <c r="F534" s="15"/>
      <c r="G534" s="16"/>
      <c r="H534" s="227">
        <f>IFERROR(__xludf.DUMMYFUNCTION("""COMPUTED_VALUE"""),0.0)</f>
        <v>0</v>
      </c>
      <c r="I534" s="21" t="str">
        <f>IFERROR(__xludf.DUMMYFUNCTION("""COMPUTED_VALUE"""),"NUBANK")</f>
        <v>NUBANK</v>
      </c>
      <c r="J534" s="21" t="str">
        <f>IFERROR(__xludf.DUMMYFUNCTION("""COMPUTED_VALUE"""),"#Itaquera #Essencial #AjudaAlmir #Fixo")</f>
        <v>#Itaquera #Essencial #AjudaAlmir #Fixo</v>
      </c>
      <c r="K534" s="216"/>
      <c r="L534" s="216"/>
      <c r="M534" s="216"/>
      <c r="N534" s="216"/>
      <c r="O534" s="216"/>
      <c r="P534" s="216"/>
      <c r="Q534" s="216"/>
    </row>
    <row r="535">
      <c r="A535" s="11" t="str">
        <f>IFERROR(__xludf.DUMMYFUNCTION("""COMPUTED_VALUE"""),"PAGO")</f>
        <v>PAGO</v>
      </c>
      <c r="B535" s="98" t="str">
        <f>IFERROR(__xludf.DUMMYFUNCTION("""COMPUTED_VALUE"""),"Luz - DEBITO AUTO")</f>
        <v>Luz - DEBITO AUTO</v>
      </c>
      <c r="C535" s="13">
        <f>IFERROR(__xludf.DUMMYFUNCTION("""COMPUTED_VALUE"""),23.0)</f>
        <v>23</v>
      </c>
      <c r="D535" s="13" t="str">
        <f>IFERROR(__xludf.DUMMYFUNCTION("""COMPUTED_VALUE"""),"QUA.")</f>
        <v>QUA.</v>
      </c>
      <c r="E535" s="13">
        <f>IFERROR(__xludf.DUMMYFUNCTION("""COMPUTED_VALUE"""),6.0)</f>
        <v>6</v>
      </c>
      <c r="F535" s="15"/>
      <c r="G535" s="16"/>
      <c r="H535" s="227">
        <f>IFERROR(__xludf.DUMMYFUNCTION("""COMPUTED_VALUE"""),269.32)</f>
        <v>269.32</v>
      </c>
      <c r="I535" s="21" t="str">
        <f>IFERROR(__xludf.DUMMYFUNCTION("""COMPUTED_VALUE"""),"ITAU")</f>
        <v>ITAU</v>
      </c>
      <c r="J535" s="21" t="str">
        <f>IFERROR(__xludf.DUMMYFUNCTION("""COMPUTED_VALUE"""),"#Moradia #Essencial #Luz #Fixo")</f>
        <v>#Moradia #Essencial #Luz #Fixo</v>
      </c>
      <c r="K535" s="216"/>
      <c r="L535" s="216"/>
      <c r="M535" s="216"/>
      <c r="N535" s="216"/>
      <c r="O535" s="216"/>
      <c r="P535" s="216"/>
      <c r="Q535" s="216"/>
    </row>
    <row r="536">
      <c r="A536" s="11" t="str">
        <f>IFERROR(__xludf.DUMMYFUNCTION("""COMPUTED_VALUE"""),"CONTAS")</f>
        <v>CONTAS</v>
      </c>
      <c r="B536" s="98" t="str">
        <f>IFERROR(__xludf.DUMMYFUNCTION("""COMPUTED_VALUE"""),"Transferencia via PIX")</f>
        <v>Transferencia via PIX</v>
      </c>
      <c r="C536" s="13">
        <f>IFERROR(__xludf.DUMMYFUNCTION("""COMPUTED_VALUE"""),24.0)</f>
        <v>24</v>
      </c>
      <c r="D536" s="13" t="str">
        <f>IFERROR(__xludf.DUMMYFUNCTION("""COMPUTED_VALUE"""),"QUI.")</f>
        <v>QUI.</v>
      </c>
      <c r="E536" s="13">
        <f>IFERROR(__xludf.DUMMYFUNCTION("""COMPUTED_VALUE"""),6.0)</f>
        <v>6</v>
      </c>
      <c r="F536" s="15"/>
      <c r="G536" s="16"/>
      <c r="H536" s="227">
        <f>IFERROR(__xludf.DUMMYFUNCTION("""COMPUTED_VALUE"""),100.0)</f>
        <v>100</v>
      </c>
      <c r="I536" s="21" t="str">
        <f>IFERROR(__xludf.DUMMYFUNCTION("""COMPUTED_VALUE"""),"NUBANK")</f>
        <v>NUBANK</v>
      </c>
      <c r="J536" s="21"/>
      <c r="K536" s="216"/>
      <c r="L536" s="216"/>
      <c r="M536" s="216"/>
      <c r="N536" s="216"/>
      <c r="O536" s="216"/>
      <c r="P536" s="216"/>
      <c r="Q536" s="216"/>
    </row>
    <row r="537">
      <c r="A537" s="11" t="str">
        <f>IFERROR(__xludf.DUMMYFUNCTION("""COMPUTED_VALUE"""),"CONTAS")</f>
        <v>CONTAS</v>
      </c>
      <c r="B537" s="98" t="str">
        <f>IFERROR(__xludf.DUMMYFUNCTION("""COMPUTED_VALUE"""),"Recebimento via PIX")</f>
        <v>Recebimento via PIX</v>
      </c>
      <c r="C537" s="13">
        <f>IFERROR(__xludf.DUMMYFUNCTION("""COMPUTED_VALUE"""),24.0)</f>
        <v>24</v>
      </c>
      <c r="D537" s="13" t="str">
        <f>IFERROR(__xludf.DUMMYFUNCTION("""COMPUTED_VALUE"""),"QUI.")</f>
        <v>QUI.</v>
      </c>
      <c r="E537" s="13">
        <f>IFERROR(__xludf.DUMMYFUNCTION("""COMPUTED_VALUE"""),6.0)</f>
        <v>6</v>
      </c>
      <c r="F537" s="15"/>
      <c r="G537" s="16">
        <f>IFERROR(__xludf.DUMMYFUNCTION("""COMPUTED_VALUE"""),100.0)</f>
        <v>100</v>
      </c>
      <c r="H537" s="227"/>
      <c r="I537" s="21" t="str">
        <f>IFERROR(__xludf.DUMMYFUNCTION("""COMPUTED_VALUE"""),"ITAU")</f>
        <v>ITAU</v>
      </c>
      <c r="J537" s="21"/>
      <c r="K537" s="216"/>
      <c r="L537" s="216"/>
      <c r="M537" s="216"/>
      <c r="N537" s="216"/>
      <c r="O537" s="216"/>
      <c r="P537" s="216"/>
      <c r="Q537" s="216"/>
    </row>
    <row r="538">
      <c r="A538" s="11" t="str">
        <f>IFERROR(__xludf.DUMMYFUNCTION("""COMPUTED_VALUE"""),"PAGO")</f>
        <v>PAGO</v>
      </c>
      <c r="B538" s="98" t="str">
        <f>IFERROR(__xludf.DUMMYFUNCTION("""COMPUTED_VALUE"""),"Levitar SJC - sorvetes")</f>
        <v>Levitar SJC - sorvetes</v>
      </c>
      <c r="C538" s="13">
        <f>IFERROR(__xludf.DUMMYFUNCTION("""COMPUTED_VALUE"""),26.0)</f>
        <v>26</v>
      </c>
      <c r="D538" s="13" t="str">
        <f>IFERROR(__xludf.DUMMYFUNCTION("""COMPUTED_VALUE"""),"SÁB.")</f>
        <v>SÁB.</v>
      </c>
      <c r="E538" s="13">
        <f>IFERROR(__xludf.DUMMYFUNCTION("""COMPUTED_VALUE"""),6.0)</f>
        <v>6</v>
      </c>
      <c r="F538" s="15"/>
      <c r="G538" s="16"/>
      <c r="H538" s="227">
        <f>IFERROR(__xludf.DUMMYFUNCTION("""COMPUTED_VALUE"""),21.0)</f>
        <v>21</v>
      </c>
      <c r="I538" s="21" t="str">
        <f>IFERROR(__xludf.DUMMYFUNCTION("""COMPUTED_VALUE"""),"NUBANK")</f>
        <v>NUBANK</v>
      </c>
      <c r="J538" s="21" t="str">
        <f>IFERROR(__xludf.DUMMYFUNCTION("""COMPUTED_VALUE"""),"#Lazer #Comida #Variavel")</f>
        <v>#Lazer #Comida #Variavel</v>
      </c>
      <c r="K538" s="216"/>
      <c r="L538" s="216"/>
      <c r="M538" s="216"/>
      <c r="N538" s="216"/>
      <c r="O538" s="216"/>
      <c r="P538" s="216"/>
      <c r="Q538" s="216"/>
    </row>
    <row r="539">
      <c r="A539" s="11" t="str">
        <f>IFERROR(__xludf.DUMMYFUNCTION("""COMPUTED_VALUE"""),"PAGO")</f>
        <v>PAGO</v>
      </c>
      <c r="B539" s="98" t="str">
        <f>IFERROR(__xludf.DUMMYFUNCTION("""COMPUTED_VALUE"""),"Assaí Atacadista")</f>
        <v>Assaí Atacadista</v>
      </c>
      <c r="C539" s="13">
        <f>IFERROR(__xludf.DUMMYFUNCTION("""COMPUTED_VALUE"""),27.0)</f>
        <v>27</v>
      </c>
      <c r="D539" s="13" t="str">
        <f>IFERROR(__xludf.DUMMYFUNCTION("""COMPUTED_VALUE"""),"DOM.")</f>
        <v>DOM.</v>
      </c>
      <c r="E539" s="13">
        <f>IFERROR(__xludf.DUMMYFUNCTION("""COMPUTED_VALUE"""),6.0)</f>
        <v>6</v>
      </c>
      <c r="F539" s="15"/>
      <c r="G539" s="16"/>
      <c r="H539" s="227">
        <f>IFERROR(__xludf.DUMMYFUNCTION("""COMPUTED_VALUE"""),802.75)</f>
        <v>802.75</v>
      </c>
      <c r="I539" s="21" t="str">
        <f>IFERROR(__xludf.DUMMYFUNCTION("""COMPUTED_VALUE"""),"NUBANK")</f>
        <v>NUBANK</v>
      </c>
      <c r="J539" s="21" t="str">
        <f>IFERROR(__xludf.DUMMYFUNCTION("""COMPUTED_VALUE"""),"#Moradia #Essencial #Mercado #Fixo #Alimentação ")</f>
        <v>#Moradia #Essencial #Mercado #Fixo #Alimentação </v>
      </c>
      <c r="K539" s="216"/>
      <c r="L539" s="216"/>
      <c r="M539" s="216"/>
      <c r="N539" s="216"/>
      <c r="O539" s="216"/>
      <c r="P539" s="216"/>
      <c r="Q539" s="216"/>
    </row>
    <row r="540">
      <c r="A540" s="11" t="str">
        <f>IFERROR(__xludf.DUMMYFUNCTION("""COMPUTED_VALUE"""),"PAGO")</f>
        <v>PAGO</v>
      </c>
      <c r="B540" s="98" t="str">
        <f>IFERROR(__xludf.DUMMYFUNCTION("""COMPUTED_VALUE"""),"Coaching / Psicologa - Candice Oliveira")</f>
        <v>Coaching / Psicologa - Candice Oliveira</v>
      </c>
      <c r="C540" s="13">
        <f>IFERROR(__xludf.DUMMYFUNCTION("""COMPUTED_VALUE"""),28.0)</f>
        <v>28</v>
      </c>
      <c r="D540" s="13" t="str">
        <f>IFERROR(__xludf.DUMMYFUNCTION("""COMPUTED_VALUE"""),"SEG.")</f>
        <v>SEG.</v>
      </c>
      <c r="E540" s="13">
        <f>IFERROR(__xludf.DUMMYFUNCTION("""COMPUTED_VALUE"""),6.0)</f>
        <v>6</v>
      </c>
      <c r="F540" s="15"/>
      <c r="G540" s="16"/>
      <c r="H540" s="227">
        <f>IFERROR(__xludf.DUMMYFUNCTION("""COMPUTED_VALUE"""),100.0)</f>
        <v>100</v>
      </c>
      <c r="I540" s="21" t="str">
        <f>IFERROR(__xludf.DUMMYFUNCTION("""COMPUTED_VALUE"""),"NUBANK")</f>
        <v>NUBANK</v>
      </c>
      <c r="J540" s="21" t="str">
        <f>IFERROR(__xludf.DUMMYFUNCTION("""COMPUTED_VALUE"""),"#Coaching #Fixo")</f>
        <v>#Coaching #Fixo</v>
      </c>
      <c r="K540" s="216"/>
      <c r="L540" s="216"/>
      <c r="M540" s="216"/>
      <c r="N540" s="216"/>
      <c r="O540" s="216"/>
      <c r="P540" s="216"/>
      <c r="Q540" s="216"/>
    </row>
    <row r="541">
      <c r="A541" s="11" t="str">
        <f>IFERROR(__xludf.DUMMYFUNCTION("""COMPUTED_VALUE"""),"PAGO")</f>
        <v>PAGO</v>
      </c>
      <c r="B541" s="98" t="str">
        <f>IFERROR(__xludf.DUMMYFUNCTION("""COMPUTED_VALUE"""),"Transferencia via PIX - Roberta (hambúrgueres, pedido do Eduardo)")</f>
        <v>Transferencia via PIX - Roberta (hambúrgueres, pedido do Eduardo)</v>
      </c>
      <c r="C541" s="13">
        <f>IFERROR(__xludf.DUMMYFUNCTION("""COMPUTED_VALUE"""),29.0)</f>
        <v>29</v>
      </c>
      <c r="D541" s="13" t="str">
        <f>IFERROR(__xludf.DUMMYFUNCTION("""COMPUTED_VALUE"""),"TER.")</f>
        <v>TER.</v>
      </c>
      <c r="E541" s="13">
        <f>IFERROR(__xludf.DUMMYFUNCTION("""COMPUTED_VALUE"""),6.0)</f>
        <v>6</v>
      </c>
      <c r="F541" s="15"/>
      <c r="G541" s="16"/>
      <c r="H541" s="227">
        <f>IFERROR(__xludf.DUMMYFUNCTION("""COMPUTED_VALUE"""),62.0)</f>
        <v>62</v>
      </c>
      <c r="I541" s="21" t="str">
        <f>IFERROR(__xludf.DUMMYFUNCTION("""COMPUTED_VALUE"""),"NUBANK")</f>
        <v>NUBANK</v>
      </c>
      <c r="J541" s="21" t="str">
        <f>IFERROR(__xludf.DUMMYFUNCTION("""COMPUTED_VALUE"""),"#Eduardo #Roberta #Lazer #Comida #Variavel")</f>
        <v>#Eduardo #Roberta #Lazer #Comida #Variavel</v>
      </c>
      <c r="K541" s="216"/>
      <c r="L541" s="216"/>
      <c r="M541" s="216"/>
      <c r="N541" s="216"/>
      <c r="O541" s="216"/>
      <c r="P541" s="216"/>
      <c r="Q541" s="216"/>
    </row>
    <row r="542">
      <c r="A542" s="11" t="str">
        <f>IFERROR(__xludf.DUMMYFUNCTION("""COMPUTED_VALUE"""),"PAGO")</f>
        <v>PAGO</v>
      </c>
      <c r="B542" s="98" t="str">
        <f>IFERROR(__xludf.DUMMYFUNCTION("""COMPUTED_VALUE"""),"Recarga Sodexo Alimentação IBM")</f>
        <v>Recarga Sodexo Alimentação IBM</v>
      </c>
      <c r="C542" s="13">
        <f>IFERROR(__xludf.DUMMYFUNCTION("""COMPUTED_VALUE"""),30.0)</f>
        <v>30</v>
      </c>
      <c r="D542" s="13" t="str">
        <f>IFERROR(__xludf.DUMMYFUNCTION("""COMPUTED_VALUE"""),"QUA.")</f>
        <v>QUA.</v>
      </c>
      <c r="E542" s="13">
        <f>IFERROR(__xludf.DUMMYFUNCTION("""COMPUTED_VALUE"""),6.0)</f>
        <v>6</v>
      </c>
      <c r="F542" s="15"/>
      <c r="G542" s="16">
        <f>IFERROR(__xludf.DUMMYFUNCTION("""COMPUTED_VALUE"""),295.0)</f>
        <v>295</v>
      </c>
      <c r="H542" s="227"/>
      <c r="I542" s="21" t="str">
        <f>IFERROR(__xludf.DUMMYFUNCTION("""COMPUTED_VALUE"""),"SODEXO-ALI-IBM")</f>
        <v>SODEXO-ALI-IBM</v>
      </c>
      <c r="J542" s="21" t="str">
        <f>IFERROR(__xludf.DUMMYFUNCTION("""COMPUTED_VALUE""")," #Recebimentos #Alimentação #Fixo")</f>
        <v> #Recebimentos #Alimentação #Fixo</v>
      </c>
      <c r="K542" s="216"/>
      <c r="L542" s="216"/>
      <c r="M542" s="216"/>
      <c r="N542" s="216"/>
      <c r="O542" s="216"/>
      <c r="P542" s="216"/>
      <c r="Q542" s="216"/>
    </row>
    <row r="543">
      <c r="A543" s="11" t="str">
        <f>IFERROR(__xludf.DUMMYFUNCTION("""COMPUTED_VALUE"""),"PAGO")</f>
        <v>PAGO</v>
      </c>
      <c r="B543" s="98" t="str">
        <f>IFERROR(__xludf.DUMMYFUNCTION("""COMPUTED_VALUE"""),"Recarga Sodexo Refeição IBM")</f>
        <v>Recarga Sodexo Refeição IBM</v>
      </c>
      <c r="C543" s="13">
        <f>IFERROR(__xludf.DUMMYFUNCTION("""COMPUTED_VALUE"""),30.0)</f>
        <v>30</v>
      </c>
      <c r="D543" s="13" t="str">
        <f>IFERROR(__xludf.DUMMYFUNCTION("""COMPUTED_VALUE"""),"QUA.")</f>
        <v>QUA.</v>
      </c>
      <c r="E543" s="13">
        <f>IFERROR(__xludf.DUMMYFUNCTION("""COMPUTED_VALUE"""),6.0)</f>
        <v>6</v>
      </c>
      <c r="F543" s="15"/>
      <c r="G543" s="16">
        <f>IFERROR(__xludf.DUMMYFUNCTION("""COMPUTED_VALUE"""),635.0)</f>
        <v>635</v>
      </c>
      <c r="H543" s="227"/>
      <c r="I543" s="21" t="str">
        <f>IFERROR(__xludf.DUMMYFUNCTION("""COMPUTED_VALUE"""),"SODEXO-REF-IBM")</f>
        <v>SODEXO-REF-IBM</v>
      </c>
      <c r="J543" s="21" t="str">
        <f>IFERROR(__xludf.DUMMYFUNCTION("""COMPUTED_VALUE"""),"#Recebimentos #Alimentação #Fixo")</f>
        <v>#Recebimentos #Alimentação #Fixo</v>
      </c>
      <c r="K543" s="216"/>
      <c r="L543" s="216"/>
      <c r="M543" s="216"/>
      <c r="N543" s="216"/>
      <c r="O543" s="216"/>
      <c r="P543" s="216"/>
      <c r="Q543" s="216"/>
    </row>
    <row r="544">
      <c r="A544" s="11" t="str">
        <f>IFERROR(__xludf.DUMMYFUNCTION("""COMPUTED_VALUE"""),"PAGO")</f>
        <v>PAGO</v>
      </c>
      <c r="B544" s="98" t="str">
        <f>IFERROR(__xludf.DUMMYFUNCTION("""COMPUTED_VALUE"""),"Salario - IBM (com horas extras - trabalhos de fim de semana)")</f>
        <v>Salario - IBM (com horas extras - trabalhos de fim de semana)</v>
      </c>
      <c r="C544" s="13">
        <f>IFERROR(__xludf.DUMMYFUNCTION("""COMPUTED_VALUE"""),30.0)</f>
        <v>30</v>
      </c>
      <c r="D544" s="13" t="str">
        <f>IFERROR(__xludf.DUMMYFUNCTION("""COMPUTED_VALUE"""),"QUA.")</f>
        <v>QUA.</v>
      </c>
      <c r="E544" s="13">
        <f>IFERROR(__xludf.DUMMYFUNCTION("""COMPUTED_VALUE"""),6.0)</f>
        <v>6</v>
      </c>
      <c r="F544" s="15"/>
      <c r="G544" s="16">
        <f>IFERROR(__xludf.DUMMYFUNCTION("""COMPUTED_VALUE"""),3206.9)</f>
        <v>3206.9</v>
      </c>
      <c r="H544" s="227"/>
      <c r="I544" s="21" t="str">
        <f>IFERROR(__xludf.DUMMYFUNCTION("""COMPUTED_VALUE"""),"SANTANDER")</f>
        <v>SANTANDER</v>
      </c>
      <c r="J544" s="21" t="str">
        <f>IFERROR(__xludf.DUMMYFUNCTION("""COMPUTED_VALUE"""),"#Recebimentos #Salario #Fixo")</f>
        <v>#Recebimentos #Salario #Fixo</v>
      </c>
      <c r="K544" s="216"/>
      <c r="L544" s="216"/>
      <c r="M544" s="216"/>
      <c r="N544" s="216"/>
      <c r="O544" s="216"/>
      <c r="P544" s="216"/>
      <c r="Q544" s="216"/>
    </row>
    <row r="545">
      <c r="A545" s="11" t="str">
        <f>IFERROR(__xludf.DUMMYFUNCTION("""COMPUTED_VALUE"""),"PAGO")</f>
        <v>PAGO</v>
      </c>
      <c r="B545" s="98" t="str">
        <f>IFERROR(__xludf.DUMMYFUNCTION("""COMPUTED_VALUE"""),"Transferencia via PIX")</f>
        <v>Transferencia via PIX</v>
      </c>
      <c r="C545" s="13">
        <f>IFERROR(__xludf.DUMMYFUNCTION("""COMPUTED_VALUE"""),30.0)</f>
        <v>30</v>
      </c>
      <c r="D545" s="13" t="str">
        <f>IFERROR(__xludf.DUMMYFUNCTION("""COMPUTED_VALUE"""),"QUA.")</f>
        <v>QUA.</v>
      </c>
      <c r="E545" s="13">
        <f>IFERROR(__xludf.DUMMYFUNCTION("""COMPUTED_VALUE"""),6.0)</f>
        <v>6</v>
      </c>
      <c r="F545" s="15"/>
      <c r="G545" s="16"/>
      <c r="H545" s="227">
        <f>IFERROR(__xludf.DUMMYFUNCTION("""COMPUTED_VALUE"""),3206.9)</f>
        <v>3206.9</v>
      </c>
      <c r="I545" s="21" t="str">
        <f>IFERROR(__xludf.DUMMYFUNCTION("""COMPUTED_VALUE"""),"SANTANDER")</f>
        <v>SANTANDER</v>
      </c>
      <c r="J545" s="21" t="str">
        <f>IFERROR(__xludf.DUMMYFUNCTION("""COMPUTED_VALUE"""),"#Transferencia #PIX #Nubank #Santander")</f>
        <v>#Transferencia #PIX #Nubank #Santander</v>
      </c>
      <c r="K545" s="216"/>
      <c r="L545" s="216"/>
      <c r="M545" s="216"/>
      <c r="N545" s="216"/>
      <c r="O545" s="216"/>
      <c r="P545" s="216"/>
      <c r="Q545" s="216"/>
    </row>
    <row r="546">
      <c r="A546" s="11" t="str">
        <f>IFERROR(__xludf.DUMMYFUNCTION("""COMPUTED_VALUE"""),"PAGO")</f>
        <v>PAGO</v>
      </c>
      <c r="B546" s="98" t="str">
        <f>IFERROR(__xludf.DUMMYFUNCTION("""COMPUTED_VALUE"""),"Recebimento via PIX")</f>
        <v>Recebimento via PIX</v>
      </c>
      <c r="C546" s="13">
        <f>IFERROR(__xludf.DUMMYFUNCTION("""COMPUTED_VALUE"""),30.0)</f>
        <v>30</v>
      </c>
      <c r="D546" s="13" t="str">
        <f>IFERROR(__xludf.DUMMYFUNCTION("""COMPUTED_VALUE"""),"QUA.")</f>
        <v>QUA.</v>
      </c>
      <c r="E546" s="13">
        <f>IFERROR(__xludf.DUMMYFUNCTION("""COMPUTED_VALUE"""),6.0)</f>
        <v>6</v>
      </c>
      <c r="F546" s="15"/>
      <c r="G546" s="16">
        <f>IFERROR(__xludf.DUMMYFUNCTION("""COMPUTED_VALUE"""),3206.9)</f>
        <v>3206.9</v>
      </c>
      <c r="H546" s="227"/>
      <c r="I546" s="21" t="str">
        <f>IFERROR(__xludf.DUMMYFUNCTION("""COMPUTED_VALUE"""),"NUBANK")</f>
        <v>NUBANK</v>
      </c>
      <c r="J546" s="21" t="str">
        <f>IFERROR(__xludf.DUMMYFUNCTION("""COMPUTED_VALUE"""),"#Recebimentos #PIX #Nubank #Santander")</f>
        <v>#Recebimentos #PIX #Nubank #Santander</v>
      </c>
      <c r="K546" s="216"/>
      <c r="L546" s="216"/>
      <c r="M546" s="216"/>
      <c r="N546" s="216"/>
      <c r="O546" s="216"/>
      <c r="P546" s="216"/>
      <c r="Q546" s="216"/>
    </row>
    <row r="547">
      <c r="A547" s="11" t="str">
        <f>IFERROR(__xludf.DUMMYFUNCTION("""COMPUTED_VALUE"""),"PAGO")</f>
        <v>PAGO</v>
      </c>
      <c r="B547" s="98" t="str">
        <f>IFERROR(__xludf.DUMMYFUNCTION("""COMPUTED_VALUE"""),"Entrada mes anterior")</f>
        <v>Entrada mes anterior</v>
      </c>
      <c r="C547" s="13">
        <f>IFERROR(__xludf.DUMMYFUNCTION("""COMPUTED_VALUE"""),1.0)</f>
        <v>1</v>
      </c>
      <c r="D547" s="13" t="str">
        <f>IFERROR(__xludf.DUMMYFUNCTION("""COMPUTED_VALUE"""),"QUI.")</f>
        <v>QUI.</v>
      </c>
      <c r="E547" s="13">
        <f>IFERROR(__xludf.DUMMYFUNCTION("""COMPUTED_VALUE"""),7.0)</f>
        <v>7</v>
      </c>
      <c r="F547" s="15"/>
      <c r="G547" s="16">
        <f>IFERROR(__xludf.DUMMYFUNCTION("""COMPUTED_VALUE"""),39.57000000000107)</f>
        <v>39.57</v>
      </c>
      <c r="H547" s="227"/>
      <c r="I547" s="21" t="str">
        <f>IFERROR(__xludf.DUMMYFUNCTION("""COMPUTED_VALUE"""),"ITAU")</f>
        <v>ITAU</v>
      </c>
      <c r="J547" s="21" t="str">
        <f>IFERROR(__xludf.DUMMYFUNCTION("""COMPUTED_VALUE"""),"#Recebimentos #Ajuste #Variavel")</f>
        <v>#Recebimentos #Ajuste #Variavel</v>
      </c>
      <c r="K547" s="216"/>
      <c r="L547" s="216"/>
      <c r="M547" s="216"/>
      <c r="N547" s="216"/>
      <c r="O547" s="216"/>
      <c r="P547" s="216"/>
      <c r="Q547" s="216"/>
    </row>
    <row r="548">
      <c r="A548" s="11" t="str">
        <f>IFERROR(__xludf.DUMMYFUNCTION("""COMPUTED_VALUE"""),"PAGO")</f>
        <v>PAGO</v>
      </c>
      <c r="B548" s="98" t="str">
        <f>IFERROR(__xludf.DUMMYFUNCTION("""COMPUTED_VALUE"""),"Entrada mes anterior")</f>
        <v>Entrada mes anterior</v>
      </c>
      <c r="C548" s="13">
        <f>IFERROR(__xludf.DUMMYFUNCTION("""COMPUTED_VALUE"""),1.0)</f>
        <v>1</v>
      </c>
      <c r="D548" s="13" t="str">
        <f>IFERROR(__xludf.DUMMYFUNCTION("""COMPUTED_VALUE"""),"QUI.")</f>
        <v>QUI.</v>
      </c>
      <c r="E548" s="13">
        <f>IFERROR(__xludf.DUMMYFUNCTION("""COMPUTED_VALUE"""),7.0)</f>
        <v>7</v>
      </c>
      <c r="F548" s="15"/>
      <c r="G548" s="16">
        <f>IFERROR(__xludf.DUMMYFUNCTION("""COMPUTED_VALUE"""),2.849999999999909)</f>
        <v>2.85</v>
      </c>
      <c r="H548" s="227"/>
      <c r="I548" s="21" t="str">
        <f>IFERROR(__xludf.DUMMYFUNCTION("""COMPUTED_VALUE"""),"INTER")</f>
        <v>INTER</v>
      </c>
      <c r="J548" s="21" t="str">
        <f>IFERROR(__xludf.DUMMYFUNCTION("""COMPUTED_VALUE"""),"#Recebimentos #Ajuste #Variavel")</f>
        <v>#Recebimentos #Ajuste #Variavel</v>
      </c>
      <c r="K548" s="216"/>
      <c r="L548" s="216"/>
      <c r="M548" s="216"/>
      <c r="N548" s="216"/>
      <c r="O548" s="216"/>
      <c r="P548" s="216"/>
      <c r="Q548" s="216"/>
    </row>
    <row r="549">
      <c r="A549" s="11" t="str">
        <f>IFERROR(__xludf.DUMMYFUNCTION("""COMPUTED_VALUE"""),"PAGO")</f>
        <v>PAGO</v>
      </c>
      <c r="B549" s="98" t="str">
        <f>IFERROR(__xludf.DUMMYFUNCTION("""COMPUTED_VALUE"""),"Entrada mes anterior")</f>
        <v>Entrada mes anterior</v>
      </c>
      <c r="C549" s="13">
        <f>IFERROR(__xludf.DUMMYFUNCTION("""COMPUTED_VALUE"""),1.0)</f>
        <v>1</v>
      </c>
      <c r="D549" s="13" t="str">
        <f>IFERROR(__xludf.DUMMYFUNCTION("""COMPUTED_VALUE"""),"QUI.")</f>
        <v>QUI.</v>
      </c>
      <c r="E549" s="13">
        <f>IFERROR(__xludf.DUMMYFUNCTION("""COMPUTED_VALUE"""),7.0)</f>
        <v>7</v>
      </c>
      <c r="F549" s="15"/>
      <c r="G549" s="16">
        <f>IFERROR(__xludf.DUMMYFUNCTION("""COMPUTED_VALUE"""),2.729999999999336)</f>
        <v>2.73</v>
      </c>
      <c r="H549" s="227"/>
      <c r="I549" s="21" t="str">
        <f>IFERROR(__xludf.DUMMYFUNCTION("""COMPUTED_VALUE"""),"INTER-PJ")</f>
        <v>INTER-PJ</v>
      </c>
      <c r="J549" s="21" t="str">
        <f>IFERROR(__xludf.DUMMYFUNCTION("""COMPUTED_VALUE"""),"#Recebimentos #Ajuste #Variavel")</f>
        <v>#Recebimentos #Ajuste #Variavel</v>
      </c>
      <c r="K549" s="216"/>
      <c r="L549" s="216"/>
      <c r="M549" s="216"/>
      <c r="N549" s="216"/>
      <c r="O549" s="216"/>
      <c r="P549" s="216"/>
      <c r="Q549" s="216"/>
    </row>
    <row r="550">
      <c r="A550" s="11" t="str">
        <f>IFERROR(__xludf.DUMMYFUNCTION("""COMPUTED_VALUE"""),"PAGO")</f>
        <v>PAGO</v>
      </c>
      <c r="B550" s="98" t="str">
        <f>IFERROR(__xludf.DUMMYFUNCTION("""COMPUTED_VALUE"""),"Entrada mes anterior")</f>
        <v>Entrada mes anterior</v>
      </c>
      <c r="C550" s="13">
        <f>IFERROR(__xludf.DUMMYFUNCTION("""COMPUTED_VALUE"""),1.0)</f>
        <v>1</v>
      </c>
      <c r="D550" s="13" t="str">
        <f>IFERROR(__xludf.DUMMYFUNCTION("""COMPUTED_VALUE"""),"QUI.")</f>
        <v>QUI.</v>
      </c>
      <c r="E550" s="13">
        <f>IFERROR(__xludf.DUMMYFUNCTION("""COMPUTED_VALUE"""),7.0)</f>
        <v>7</v>
      </c>
      <c r="F550" s="15"/>
      <c r="G550" s="16">
        <f>IFERROR(__xludf.DUMMYFUNCTION("""COMPUTED_VALUE"""),3389.470000000003)</f>
        <v>3389.47</v>
      </c>
      <c r="H550" s="227"/>
      <c r="I550" s="21" t="str">
        <f>IFERROR(__xludf.DUMMYFUNCTION("""COMPUTED_VALUE"""),"NUBANK")</f>
        <v>NUBANK</v>
      </c>
      <c r="J550" s="21" t="str">
        <f>IFERROR(__xludf.DUMMYFUNCTION("""COMPUTED_VALUE"""),"#Recebimentos #Ajuste #Variavel")</f>
        <v>#Recebimentos #Ajuste #Variavel</v>
      </c>
      <c r="K550" s="216"/>
      <c r="L550" s="216"/>
      <c r="M550" s="216"/>
      <c r="N550" s="216"/>
      <c r="O550" s="216"/>
      <c r="P550" s="216"/>
      <c r="Q550" s="216"/>
    </row>
    <row r="551">
      <c r="A551" s="11" t="str">
        <f>IFERROR(__xludf.DUMMYFUNCTION("""COMPUTED_VALUE"""),"PAGO")</f>
        <v>PAGO</v>
      </c>
      <c r="B551" s="98" t="str">
        <f>IFERROR(__xludf.DUMMYFUNCTION("""COMPUTED_VALUE"""),"Entrada mes anterior")</f>
        <v>Entrada mes anterior</v>
      </c>
      <c r="C551" s="13">
        <f>IFERROR(__xludf.DUMMYFUNCTION("""COMPUTED_VALUE"""),1.0)</f>
        <v>1</v>
      </c>
      <c r="D551" s="13" t="str">
        <f>IFERROR(__xludf.DUMMYFUNCTION("""COMPUTED_VALUE"""),"QUI.")</f>
        <v>QUI.</v>
      </c>
      <c r="E551" s="13">
        <f>IFERROR(__xludf.DUMMYFUNCTION("""COMPUTED_VALUE"""),7.0)</f>
        <v>7</v>
      </c>
      <c r="F551" s="15"/>
      <c r="G551" s="16">
        <f>IFERROR(__xludf.DUMMYFUNCTION("""COMPUTED_VALUE"""),9.52)</f>
        <v>9.52</v>
      </c>
      <c r="H551" s="227"/>
      <c r="I551" s="21" t="str">
        <f>IFERROR(__xludf.DUMMYFUNCTION("""COMPUTED_VALUE"""),"C6BANK")</f>
        <v>C6BANK</v>
      </c>
      <c r="J551" s="21" t="str">
        <f>IFERROR(__xludf.DUMMYFUNCTION("""COMPUTED_VALUE"""),"#Recebimentos #Ajuste #Variavel")</f>
        <v>#Recebimentos #Ajuste #Variavel</v>
      </c>
      <c r="K551" s="216"/>
      <c r="L551" s="216"/>
      <c r="M551" s="216"/>
      <c r="N551" s="216"/>
      <c r="O551" s="216"/>
      <c r="P551" s="216"/>
      <c r="Q551" s="216"/>
    </row>
    <row r="552">
      <c r="A552" s="11" t="str">
        <f>IFERROR(__xludf.DUMMYFUNCTION("""COMPUTED_VALUE"""),"PAGO")</f>
        <v>PAGO</v>
      </c>
      <c r="B552" s="98" t="str">
        <f>IFERROR(__xludf.DUMMYFUNCTION("""COMPUTED_VALUE"""),"Entrada mes anterior")</f>
        <v>Entrada mes anterior</v>
      </c>
      <c r="C552" s="13">
        <f>IFERROR(__xludf.DUMMYFUNCTION("""COMPUTED_VALUE"""),1.0)</f>
        <v>1</v>
      </c>
      <c r="D552" s="13" t="str">
        <f>IFERROR(__xludf.DUMMYFUNCTION("""COMPUTED_VALUE"""),"QUI.")</f>
        <v>QUI.</v>
      </c>
      <c r="E552" s="13">
        <f>IFERROR(__xludf.DUMMYFUNCTION("""COMPUTED_VALUE"""),7.0)</f>
        <v>7</v>
      </c>
      <c r="F552" s="15"/>
      <c r="G552" s="16">
        <f>IFERROR(__xludf.DUMMYFUNCTION("""COMPUTED_VALUE"""),0.0)</f>
        <v>0</v>
      </c>
      <c r="H552" s="227"/>
      <c r="I552" s="21" t="str">
        <f>IFERROR(__xludf.DUMMYFUNCTION("""COMPUTED_VALUE"""),"SANTANDER")</f>
        <v>SANTANDER</v>
      </c>
      <c r="J552" s="21" t="str">
        <f>IFERROR(__xludf.DUMMYFUNCTION("""COMPUTED_VALUE"""),"#Recebimentos #Ajuste #Variavel")</f>
        <v>#Recebimentos #Ajuste #Variavel</v>
      </c>
      <c r="K552" s="216"/>
      <c r="L552" s="216"/>
      <c r="M552" s="216"/>
      <c r="N552" s="216"/>
      <c r="O552" s="216"/>
      <c r="P552" s="216"/>
      <c r="Q552" s="216"/>
    </row>
    <row r="553">
      <c r="A553" s="11" t="str">
        <f>IFERROR(__xludf.DUMMYFUNCTION("""COMPUTED_VALUE"""),"PAGO")</f>
        <v>PAGO</v>
      </c>
      <c r="B553" s="98" t="str">
        <f>IFERROR(__xludf.DUMMYFUNCTION("""COMPUTED_VALUE"""),"Entrada mes anterior")</f>
        <v>Entrada mes anterior</v>
      </c>
      <c r="C553" s="13">
        <f>IFERROR(__xludf.DUMMYFUNCTION("""COMPUTED_VALUE"""),1.0)</f>
        <v>1</v>
      </c>
      <c r="D553" s="13" t="str">
        <f>IFERROR(__xludf.DUMMYFUNCTION("""COMPUTED_VALUE"""),"QUI.")</f>
        <v>QUI.</v>
      </c>
      <c r="E553" s="13">
        <f>IFERROR(__xludf.DUMMYFUNCTION("""COMPUTED_VALUE"""),7.0)</f>
        <v>7</v>
      </c>
      <c r="F553" s="15"/>
      <c r="G553" s="16">
        <f>IFERROR(__xludf.DUMMYFUNCTION("""COMPUTED_VALUE"""),704.29)</f>
        <v>704.29</v>
      </c>
      <c r="H553" s="227"/>
      <c r="I553" s="21" t="str">
        <f>IFERROR(__xludf.DUMMYFUNCTION("""COMPUTED_VALUE"""),"SODEXO-REF-IBM")</f>
        <v>SODEXO-REF-IBM</v>
      </c>
      <c r="J553" s="21" t="str">
        <f>IFERROR(__xludf.DUMMYFUNCTION("""COMPUTED_VALUE"""),"#Recebimentos #Ajuste #Variavel")</f>
        <v>#Recebimentos #Ajuste #Variavel</v>
      </c>
      <c r="K553" s="216"/>
      <c r="L553" s="216"/>
      <c r="M553" s="216"/>
      <c r="N553" s="216"/>
      <c r="O553" s="216"/>
      <c r="P553" s="216"/>
      <c r="Q553" s="216"/>
    </row>
    <row r="554">
      <c r="A554" s="11" t="str">
        <f>IFERROR(__xludf.DUMMYFUNCTION("""COMPUTED_VALUE"""),"PAGO")</f>
        <v>PAGO</v>
      </c>
      <c r="B554" s="98" t="str">
        <f>IFERROR(__xludf.DUMMYFUNCTION("""COMPUTED_VALUE"""),"Entrada mes anterior")</f>
        <v>Entrada mes anterior</v>
      </c>
      <c r="C554" s="13">
        <f>IFERROR(__xludf.DUMMYFUNCTION("""COMPUTED_VALUE"""),1.0)</f>
        <v>1</v>
      </c>
      <c r="D554" s="13" t="str">
        <f>IFERROR(__xludf.DUMMYFUNCTION("""COMPUTED_VALUE"""),"QUI.")</f>
        <v>QUI.</v>
      </c>
      <c r="E554" s="13">
        <f>IFERROR(__xludf.DUMMYFUNCTION("""COMPUTED_VALUE"""),7.0)</f>
        <v>7</v>
      </c>
      <c r="F554" s="15"/>
      <c r="G554" s="16">
        <f>IFERROR(__xludf.DUMMYFUNCTION("""COMPUTED_VALUE"""),295.0)</f>
        <v>295</v>
      </c>
      <c r="H554" s="227"/>
      <c r="I554" s="21" t="str">
        <f>IFERROR(__xludf.DUMMYFUNCTION("""COMPUTED_VALUE"""),"SODEXO-ALI-IBM")</f>
        <v>SODEXO-ALI-IBM</v>
      </c>
      <c r="J554" s="21" t="str">
        <f>IFERROR(__xludf.DUMMYFUNCTION("""COMPUTED_VALUE"""),"#Recebimentos #Ajuste #Variavel")</f>
        <v>#Recebimentos #Ajuste #Variavel</v>
      </c>
      <c r="K554" s="216"/>
      <c r="L554" s="216"/>
      <c r="M554" s="216"/>
      <c r="N554" s="216"/>
      <c r="O554" s="216"/>
      <c r="P554" s="216"/>
      <c r="Q554" s="216"/>
    </row>
    <row r="555">
      <c r="A555" s="11" t="str">
        <f>IFERROR(__xludf.DUMMYFUNCTION("""COMPUTED_VALUE"""),"PAGO")</f>
        <v>PAGO</v>
      </c>
      <c r="B555" s="98" t="str">
        <f>IFERROR(__xludf.DUMMYFUNCTION("""COMPUTED_VALUE"""),"TFE: Taxa de Fiscalização de Estabelecimento ")</f>
        <v>TFE: Taxa de Fiscalização de Estabelecimento </v>
      </c>
      <c r="C555" s="13">
        <f>IFERROR(__xludf.DUMMYFUNCTION("""COMPUTED_VALUE"""),1.0)</f>
        <v>1</v>
      </c>
      <c r="D555" s="13" t="str">
        <f>IFERROR(__xludf.DUMMYFUNCTION("""COMPUTED_VALUE"""),"QUI.")</f>
        <v>QUI.</v>
      </c>
      <c r="E555" s="13">
        <f>IFERROR(__xludf.DUMMYFUNCTION("""COMPUTED_VALUE"""),7.0)</f>
        <v>7</v>
      </c>
      <c r="F555" s="15"/>
      <c r="G555" s="16"/>
      <c r="H555" s="227">
        <f>IFERROR(__xludf.DUMMYFUNCTION("""COMPUTED_VALUE"""),177.52)</f>
        <v>177.52</v>
      </c>
      <c r="I555" s="21" t="str">
        <f>IFERROR(__xludf.DUMMYFUNCTION("""COMPUTED_VALUE"""),"ITAU")</f>
        <v>ITAU</v>
      </c>
      <c r="J555" s="21" t="str">
        <f>IFERROR(__xludf.DUMMYFUNCTION("""COMPUTED_VALUE"""),"#Variavel  #PJ")</f>
        <v>#Variavel  #PJ</v>
      </c>
      <c r="K555" s="216"/>
      <c r="L555" s="216"/>
      <c r="M555" s="216"/>
      <c r="N555" s="216"/>
      <c r="O555" s="216"/>
      <c r="P555" s="216"/>
      <c r="Q555" s="216"/>
    </row>
    <row r="556">
      <c r="A556" s="11" t="str">
        <f>IFERROR(__xludf.DUMMYFUNCTION("""COMPUTED_VALUE"""),"CONTAS")</f>
        <v>CONTAS</v>
      </c>
      <c r="B556" s="98" t="str">
        <f>IFERROR(__xludf.DUMMYFUNCTION("""COMPUTED_VALUE"""),"Transferencia via TED Agendada")</f>
        <v>Transferencia via TED Agendada</v>
      </c>
      <c r="C556" s="13">
        <f>IFERROR(__xludf.DUMMYFUNCTION("""COMPUTED_VALUE"""),1.0)</f>
        <v>1</v>
      </c>
      <c r="D556" s="13" t="str">
        <f>IFERROR(__xludf.DUMMYFUNCTION("""COMPUTED_VALUE"""),"QUI.")</f>
        <v>QUI.</v>
      </c>
      <c r="E556" s="13">
        <f>IFERROR(__xludf.DUMMYFUNCTION("""COMPUTED_VALUE"""),7.0)</f>
        <v>7</v>
      </c>
      <c r="F556" s="15"/>
      <c r="G556" s="16"/>
      <c r="H556" s="227">
        <f>IFERROR(__xludf.DUMMYFUNCTION("""COMPUTED_VALUE"""),250.0)</f>
        <v>250</v>
      </c>
      <c r="I556" s="21" t="str">
        <f>IFERROR(__xludf.DUMMYFUNCTION("""COMPUTED_VALUE"""),"NUBANK")</f>
        <v>NUBANK</v>
      </c>
      <c r="J556" s="21"/>
      <c r="K556" s="216"/>
      <c r="L556" s="216"/>
      <c r="M556" s="216"/>
      <c r="N556" s="216"/>
      <c r="O556" s="216"/>
      <c r="P556" s="216"/>
      <c r="Q556" s="216"/>
    </row>
    <row r="557">
      <c r="A557" s="11" t="str">
        <f>IFERROR(__xludf.DUMMYFUNCTION("""COMPUTED_VALUE"""),"CONTAS")</f>
        <v>CONTAS</v>
      </c>
      <c r="B557" s="98" t="str">
        <f>IFERROR(__xludf.DUMMYFUNCTION("""COMPUTED_VALUE"""),"Recebimento via TED Agendada")</f>
        <v>Recebimento via TED Agendada</v>
      </c>
      <c r="C557" s="13">
        <f>IFERROR(__xludf.DUMMYFUNCTION("""COMPUTED_VALUE"""),1.0)</f>
        <v>1</v>
      </c>
      <c r="D557" s="13" t="str">
        <f>IFERROR(__xludf.DUMMYFUNCTION("""COMPUTED_VALUE"""),"QUI.")</f>
        <v>QUI.</v>
      </c>
      <c r="E557" s="13">
        <f>IFERROR(__xludf.DUMMYFUNCTION("""COMPUTED_VALUE"""),7.0)</f>
        <v>7</v>
      </c>
      <c r="F557" s="15"/>
      <c r="G557" s="16">
        <f>IFERROR(__xludf.DUMMYFUNCTION("""COMPUTED_VALUE"""),250.0)</f>
        <v>250</v>
      </c>
      <c r="H557" s="227"/>
      <c r="I557" s="21" t="str">
        <f>IFERROR(__xludf.DUMMYFUNCTION("""COMPUTED_VALUE"""),"ITAU")</f>
        <v>ITAU</v>
      </c>
      <c r="J557" s="21"/>
      <c r="K557" s="216"/>
      <c r="L557" s="216"/>
      <c r="M557" s="216"/>
      <c r="N557" s="216"/>
      <c r="O557" s="216"/>
      <c r="P557" s="216"/>
      <c r="Q557" s="216"/>
    </row>
    <row r="558">
      <c r="A558" s="11" t="str">
        <f>IFERROR(__xludf.DUMMYFUNCTION("""COMPUTED_VALUE"""),"PAGO")</f>
        <v>PAGO</v>
      </c>
      <c r="B558" s="98" t="str">
        <f>IFERROR(__xludf.DUMMYFUNCTION("""COMPUTED_VALUE"""),"Recebimento via TED Caixa Economica Federal - FGTS Aniversário")</f>
        <v>Recebimento via TED Caixa Economica Federal - FGTS Aniversário</v>
      </c>
      <c r="C558" s="13">
        <f>IFERROR(__xludf.DUMMYFUNCTION("""COMPUTED_VALUE"""),1.0)</f>
        <v>1</v>
      </c>
      <c r="D558" s="13" t="str">
        <f>IFERROR(__xludf.DUMMYFUNCTION("""COMPUTED_VALUE"""),"QUI.")</f>
        <v>QUI.</v>
      </c>
      <c r="E558" s="13">
        <f>IFERROR(__xludf.DUMMYFUNCTION("""COMPUTED_VALUE"""),7.0)</f>
        <v>7</v>
      </c>
      <c r="F558" s="15"/>
      <c r="G558" s="16">
        <f>IFERROR(__xludf.DUMMYFUNCTION("""COMPUTED_VALUE"""),1775.16)</f>
        <v>1775.16</v>
      </c>
      <c r="H558" s="227"/>
      <c r="I558" s="21" t="str">
        <f>IFERROR(__xludf.DUMMYFUNCTION("""COMPUTED_VALUE"""),"INTER")</f>
        <v>INTER</v>
      </c>
      <c r="J558" s="21" t="str">
        <f>IFERROR(__xludf.DUMMYFUNCTION("""COMPUTED_VALUE"""),"#Recebimentos #TED #Inter #Extra")</f>
        <v>#Recebimentos #TED #Inter #Extra</v>
      </c>
      <c r="K558" s="216"/>
      <c r="L558" s="216"/>
      <c r="M558" s="216"/>
      <c r="N558" s="216"/>
      <c r="O558" s="216"/>
      <c r="P558" s="216"/>
      <c r="Q558" s="216"/>
    </row>
    <row r="559">
      <c r="A559" s="11" t="str">
        <f>IFERROR(__xludf.DUMMYFUNCTION("""COMPUTED_VALUE"""),"CONTAS")</f>
        <v>CONTAS</v>
      </c>
      <c r="B559" s="98" t="str">
        <f>IFERROR(__xludf.DUMMYFUNCTION("""COMPUTED_VALUE"""),"Transferencia via PIX")</f>
        <v>Transferencia via PIX</v>
      </c>
      <c r="C559" s="13">
        <f>IFERROR(__xludf.DUMMYFUNCTION("""COMPUTED_VALUE"""),1.0)</f>
        <v>1</v>
      </c>
      <c r="D559" s="13" t="str">
        <f>IFERROR(__xludf.DUMMYFUNCTION("""COMPUTED_VALUE"""),"QUI.")</f>
        <v>QUI.</v>
      </c>
      <c r="E559" s="13">
        <f>IFERROR(__xludf.DUMMYFUNCTION("""COMPUTED_VALUE"""),7.0)</f>
        <v>7</v>
      </c>
      <c r="F559" s="15"/>
      <c r="G559" s="16"/>
      <c r="H559" s="227">
        <f>IFERROR(__xludf.DUMMYFUNCTION("""COMPUTED_VALUE"""),1775.16)</f>
        <v>1775.16</v>
      </c>
      <c r="I559" s="21" t="str">
        <f>IFERROR(__xludf.DUMMYFUNCTION("""COMPUTED_VALUE"""),"INTER")</f>
        <v>INTER</v>
      </c>
      <c r="J559" s="21"/>
      <c r="K559" s="216"/>
      <c r="L559" s="216"/>
      <c r="M559" s="216"/>
      <c r="N559" s="216"/>
      <c r="O559" s="216"/>
      <c r="P559" s="216"/>
      <c r="Q559" s="216"/>
    </row>
    <row r="560">
      <c r="A560" s="11" t="str">
        <f>IFERROR(__xludf.DUMMYFUNCTION("""COMPUTED_VALUE"""),"CONTAS")</f>
        <v>CONTAS</v>
      </c>
      <c r="B560" s="98" t="str">
        <f>IFERROR(__xludf.DUMMYFUNCTION("""COMPUTED_VALUE"""),"Recebimento via PIX")</f>
        <v>Recebimento via PIX</v>
      </c>
      <c r="C560" s="13">
        <f>IFERROR(__xludf.DUMMYFUNCTION("""COMPUTED_VALUE"""),1.0)</f>
        <v>1</v>
      </c>
      <c r="D560" s="13" t="str">
        <f>IFERROR(__xludf.DUMMYFUNCTION("""COMPUTED_VALUE"""),"QUI.")</f>
        <v>QUI.</v>
      </c>
      <c r="E560" s="13">
        <f>IFERROR(__xludf.DUMMYFUNCTION("""COMPUTED_VALUE"""),7.0)</f>
        <v>7</v>
      </c>
      <c r="F560" s="15"/>
      <c r="G560" s="16">
        <f>IFERROR(__xludf.DUMMYFUNCTION("""COMPUTED_VALUE"""),1775.16)</f>
        <v>1775.16</v>
      </c>
      <c r="H560" s="227"/>
      <c r="I560" s="21" t="str">
        <f>IFERROR(__xludf.DUMMYFUNCTION("""COMPUTED_VALUE"""),"NUBANK")</f>
        <v>NUBANK</v>
      </c>
      <c r="J560" s="21"/>
      <c r="K560" s="216"/>
      <c r="L560" s="216"/>
      <c r="M560" s="216"/>
      <c r="N560" s="216"/>
      <c r="O560" s="216"/>
      <c r="P560" s="216"/>
      <c r="Q560" s="216"/>
    </row>
    <row r="561">
      <c r="A561" s="11" t="str">
        <f>IFERROR(__xludf.DUMMYFUNCTION("""COMPUTED_VALUE"""),"PAGO")</f>
        <v>PAGO</v>
      </c>
      <c r="B561" s="98" t="str">
        <f>IFERROR(__xludf.DUMMYFUNCTION("""COMPUTED_VALUE"""),"Transferi para investimento - Nubank")</f>
        <v>Transferi para investimento - Nubank</v>
      </c>
      <c r="C561" s="13">
        <f>IFERROR(__xludf.DUMMYFUNCTION("""COMPUTED_VALUE"""),1.0)</f>
        <v>1</v>
      </c>
      <c r="D561" s="13" t="str">
        <f>IFERROR(__xludf.DUMMYFUNCTION("""COMPUTED_VALUE"""),"QUI.")</f>
        <v>QUI.</v>
      </c>
      <c r="E561" s="13">
        <f>IFERROR(__xludf.DUMMYFUNCTION("""COMPUTED_VALUE"""),7.0)</f>
        <v>7</v>
      </c>
      <c r="F561" s="15"/>
      <c r="G561" s="16"/>
      <c r="H561" s="227">
        <f>IFERROR(__xludf.DUMMYFUNCTION("""COMPUTED_VALUE"""),1775.16)</f>
        <v>1775.16</v>
      </c>
      <c r="I561" s="21" t="str">
        <f>IFERROR(__xludf.DUMMYFUNCTION("""COMPUTED_VALUE"""),"NUBANK")</f>
        <v>NUBANK</v>
      </c>
      <c r="J561" s="21" t="str">
        <f>IFERROR(__xludf.DUMMYFUNCTION("""COMPUTED_VALUE"""),"#Transferencia #Investimento #Extra #Nubank")</f>
        <v>#Transferencia #Investimento #Extra #Nubank</v>
      </c>
      <c r="K561" s="216"/>
      <c r="L561" s="216"/>
      <c r="M561" s="216"/>
      <c r="N561" s="216"/>
      <c r="O561" s="216"/>
      <c r="P561" s="216"/>
      <c r="Q561" s="216"/>
    </row>
    <row r="562">
      <c r="A562" s="11" t="str">
        <f>IFERROR(__xludf.DUMMYFUNCTION("""COMPUTED_VALUE"""),"PAGO")</f>
        <v>PAGO</v>
      </c>
      <c r="B562" s="98" t="str">
        <f>IFERROR(__xludf.DUMMYFUNCTION("""COMPUTED_VALUE"""),"Levitar SJC - sorvetes")</f>
        <v>Levitar SJC - sorvetes</v>
      </c>
      <c r="C562" s="13">
        <f>IFERROR(__xludf.DUMMYFUNCTION("""COMPUTED_VALUE"""),2.0)</f>
        <v>2</v>
      </c>
      <c r="D562" s="13" t="str">
        <f>IFERROR(__xludf.DUMMYFUNCTION("""COMPUTED_VALUE"""),"SEX.")</f>
        <v>SEX.</v>
      </c>
      <c r="E562" s="13">
        <f>IFERROR(__xludf.DUMMYFUNCTION("""COMPUTED_VALUE"""),7.0)</f>
        <v>7</v>
      </c>
      <c r="F562" s="15"/>
      <c r="G562" s="16"/>
      <c r="H562" s="227">
        <f>IFERROR(__xludf.DUMMYFUNCTION("""COMPUTED_VALUE"""),33.0)</f>
        <v>33</v>
      </c>
      <c r="I562" s="21" t="str">
        <f>IFERROR(__xludf.DUMMYFUNCTION("""COMPUTED_VALUE"""),"NUBANK")</f>
        <v>NUBANK</v>
      </c>
      <c r="J562" s="21" t="str">
        <f>IFERROR(__xludf.DUMMYFUNCTION("""COMPUTED_VALUE"""),"#Lazer #Comida #Variavel")</f>
        <v>#Lazer #Comida #Variavel</v>
      </c>
      <c r="K562" s="216"/>
      <c r="L562" s="216"/>
      <c r="M562" s="216"/>
      <c r="N562" s="216"/>
      <c r="O562" s="216"/>
      <c r="P562" s="216"/>
      <c r="Q562" s="216"/>
    </row>
    <row r="563">
      <c r="A563" s="11" t="str">
        <f>IFERROR(__xludf.DUMMYFUNCTION("""COMPUTED_VALUE"""),"PAGO")</f>
        <v>PAGO</v>
      </c>
      <c r="B563" s="98" t="str">
        <f>IFERROR(__xludf.DUMMYFUNCTION("""COMPUTED_VALUE"""),"Agua - DEBITO AUTO")</f>
        <v>Agua - DEBITO AUTO</v>
      </c>
      <c r="C563" s="13">
        <f>IFERROR(__xludf.DUMMYFUNCTION("""COMPUTED_VALUE"""),2.0)</f>
        <v>2</v>
      </c>
      <c r="D563" s="13" t="str">
        <f>IFERROR(__xludf.DUMMYFUNCTION("""COMPUTED_VALUE"""),"SEX.")</f>
        <v>SEX.</v>
      </c>
      <c r="E563" s="13">
        <f>IFERROR(__xludf.DUMMYFUNCTION("""COMPUTED_VALUE"""),7.0)</f>
        <v>7</v>
      </c>
      <c r="F563" s="15"/>
      <c r="G563" s="16"/>
      <c r="H563" s="227">
        <f>IFERROR(__xludf.DUMMYFUNCTION("""COMPUTED_VALUE"""),67.05)</f>
        <v>67.05</v>
      </c>
      <c r="I563" s="21" t="str">
        <f>IFERROR(__xludf.DUMMYFUNCTION("""COMPUTED_VALUE"""),"ITAU")</f>
        <v>ITAU</v>
      </c>
      <c r="J563" s="21" t="str">
        <f>IFERROR(__xludf.DUMMYFUNCTION("""COMPUTED_VALUE"""),"#Moradia #Essencial #Agua #Fixo")</f>
        <v>#Moradia #Essencial #Agua #Fixo</v>
      </c>
      <c r="K563" s="216"/>
      <c r="L563" s="216"/>
      <c r="M563" s="216"/>
      <c r="N563" s="216"/>
      <c r="O563" s="216"/>
      <c r="P563" s="216"/>
      <c r="Q563" s="216"/>
    </row>
    <row r="564">
      <c r="A564" s="11" t="str">
        <f>IFERROR(__xludf.DUMMYFUNCTION("""COMPUTED_VALUE"""),"PAGO")</f>
        <v>PAGO</v>
      </c>
      <c r="B564" s="98" t="str">
        <f>IFERROR(__xludf.DUMMYFUNCTION("""COMPUTED_VALUE"""),"IOF")</f>
        <v>IOF</v>
      </c>
      <c r="C564" s="13">
        <f>IFERROR(__xludf.DUMMYFUNCTION("""COMPUTED_VALUE"""),2.0)</f>
        <v>2</v>
      </c>
      <c r="D564" s="13" t="str">
        <f>IFERROR(__xludf.DUMMYFUNCTION("""COMPUTED_VALUE"""),"SEX.")</f>
        <v>SEX.</v>
      </c>
      <c r="E564" s="13">
        <f>IFERROR(__xludf.DUMMYFUNCTION("""COMPUTED_VALUE"""),7.0)</f>
        <v>7</v>
      </c>
      <c r="F564" s="15"/>
      <c r="G564" s="16"/>
      <c r="H564" s="227">
        <f>IFERROR(__xludf.DUMMYFUNCTION("""COMPUTED_VALUE"""),0.36)</f>
        <v>0.36</v>
      </c>
      <c r="I564" s="21" t="str">
        <f>IFERROR(__xludf.DUMMYFUNCTION("""COMPUTED_VALUE"""),"ITAU")</f>
        <v>ITAU</v>
      </c>
      <c r="J564" s="21" t="str">
        <f>IFERROR(__xludf.DUMMYFUNCTION("""COMPUTED_VALUE"""),"#Encargos #IOF #Variavel")</f>
        <v>#Encargos #IOF #Variavel</v>
      </c>
      <c r="K564" s="216"/>
      <c r="L564" s="216"/>
      <c r="M564" s="216"/>
      <c r="N564" s="216"/>
      <c r="O564" s="216"/>
      <c r="P564" s="216"/>
      <c r="Q564" s="216"/>
    </row>
    <row r="565">
      <c r="A565" s="11" t="str">
        <f>IFERROR(__xludf.DUMMYFUNCTION("""COMPUTED_VALUE"""),"PAGO")</f>
        <v>PAGO</v>
      </c>
      <c r="B565" s="98" t="str">
        <f>IFERROR(__xludf.DUMMYFUNCTION("""COMPUTED_VALUE"""),"Shibata - Pizza")</f>
        <v>Shibata - Pizza</v>
      </c>
      <c r="C565" s="13">
        <f>IFERROR(__xludf.DUMMYFUNCTION("""COMPUTED_VALUE"""),2.0)</f>
        <v>2</v>
      </c>
      <c r="D565" s="13" t="str">
        <f>IFERROR(__xludf.DUMMYFUNCTION("""COMPUTED_VALUE"""),"SEX.")</f>
        <v>SEX.</v>
      </c>
      <c r="E565" s="13">
        <f>IFERROR(__xludf.DUMMYFUNCTION("""COMPUTED_VALUE"""),7.0)</f>
        <v>7</v>
      </c>
      <c r="F565" s="15"/>
      <c r="G565" s="16"/>
      <c r="H565" s="227">
        <f>IFERROR(__xludf.DUMMYFUNCTION("""COMPUTED_VALUE"""),63.8)</f>
        <v>63.8</v>
      </c>
      <c r="I565" s="21" t="str">
        <f>IFERROR(__xludf.DUMMYFUNCTION("""COMPUTED_VALUE"""),"SODEXO-REF-IBM")</f>
        <v>SODEXO-REF-IBM</v>
      </c>
      <c r="J565" s="21" t="str">
        <f>IFERROR(__xludf.DUMMYFUNCTION("""COMPUTED_VALUE"""),"#Lazer #Comida #Variavel")</f>
        <v>#Lazer #Comida #Variavel</v>
      </c>
      <c r="K565" s="216"/>
      <c r="L565" s="216"/>
      <c r="M565" s="216"/>
      <c r="N565" s="216"/>
      <c r="O565" s="216"/>
      <c r="P565" s="216"/>
      <c r="Q565" s="216"/>
    </row>
    <row r="566">
      <c r="A566" s="11" t="str">
        <f>IFERROR(__xludf.DUMMYFUNCTION("""COMPUTED_VALUE"""),"PAGO")</f>
        <v>PAGO</v>
      </c>
      <c r="B566" s="98" t="str">
        <f>IFERROR(__xludf.DUMMYFUNCTION("""COMPUTED_VALUE"""),"Shibata")</f>
        <v>Shibata</v>
      </c>
      <c r="C566" s="13">
        <f>IFERROR(__xludf.DUMMYFUNCTION("""COMPUTED_VALUE"""),2.0)</f>
        <v>2</v>
      </c>
      <c r="D566" s="13" t="str">
        <f>IFERROR(__xludf.DUMMYFUNCTION("""COMPUTED_VALUE"""),"SEX.")</f>
        <v>SEX.</v>
      </c>
      <c r="E566" s="13">
        <f>IFERROR(__xludf.DUMMYFUNCTION("""COMPUTED_VALUE"""),7.0)</f>
        <v>7</v>
      </c>
      <c r="F566" s="15"/>
      <c r="G566" s="16"/>
      <c r="H566" s="227">
        <f>IFERROR(__xludf.DUMMYFUNCTION("""COMPUTED_VALUE"""),167.61)</f>
        <v>167.61</v>
      </c>
      <c r="I566" s="21" t="str">
        <f>IFERROR(__xludf.DUMMYFUNCTION("""COMPUTED_VALUE"""),"SODEXO-REF-IBM")</f>
        <v>SODEXO-REF-IBM</v>
      </c>
      <c r="J566" s="21" t="str">
        <f>IFERROR(__xludf.DUMMYFUNCTION("""COMPUTED_VALUE"""),"#Moradia #Essencial #Mercado #Variavel #Alimentação ")</f>
        <v>#Moradia #Essencial #Mercado #Variavel #Alimentação </v>
      </c>
      <c r="K566" s="216"/>
      <c r="L566" s="216"/>
      <c r="M566" s="216"/>
      <c r="N566" s="216"/>
      <c r="O566" s="216"/>
      <c r="P566" s="216"/>
      <c r="Q566" s="216"/>
    </row>
    <row r="567">
      <c r="A567" s="11" t="str">
        <f>IFERROR(__xludf.DUMMYFUNCTION("""COMPUTED_VALUE"""),"PAGO")</f>
        <v>PAGO</v>
      </c>
      <c r="B567" s="98" t="str">
        <f>IFERROR(__xludf.DUMMYFUNCTION("""COMPUTED_VALUE"""),"Resgate dividendos - Clear Corretora")</f>
        <v>Resgate dividendos - Clear Corretora</v>
      </c>
      <c r="C567" s="13">
        <f>IFERROR(__xludf.DUMMYFUNCTION("""COMPUTED_VALUE"""),5.0)</f>
        <v>5</v>
      </c>
      <c r="D567" s="13" t="str">
        <f>IFERROR(__xludf.DUMMYFUNCTION("""COMPUTED_VALUE"""),"SEG.")</f>
        <v>SEG.</v>
      </c>
      <c r="E567" s="13">
        <f>IFERROR(__xludf.DUMMYFUNCTION("""COMPUTED_VALUE"""),7.0)</f>
        <v>7</v>
      </c>
      <c r="F567" s="15"/>
      <c r="G567" s="16">
        <f>IFERROR(__xludf.DUMMYFUNCTION("""COMPUTED_VALUE"""),2858.03)</f>
        <v>2858.03</v>
      </c>
      <c r="H567" s="227"/>
      <c r="I567" s="21" t="str">
        <f>IFERROR(__xludf.DUMMYFUNCTION("""COMPUTED_VALUE"""),"NUBANK")</f>
        <v>NUBANK</v>
      </c>
      <c r="J567" s="21" t="str">
        <f>IFERROR(__xludf.DUMMYFUNCTION("""COMPUTED_VALUE"""),"#Recebimentos #Investimento #Clear")</f>
        <v>#Recebimentos #Investimento #Clear</v>
      </c>
      <c r="K567" s="216"/>
      <c r="L567" s="216"/>
      <c r="M567" s="216"/>
      <c r="N567" s="216"/>
      <c r="O567" s="216"/>
      <c r="P567" s="216"/>
      <c r="Q567" s="216"/>
    </row>
    <row r="568">
      <c r="A568" s="11" t="str">
        <f>IFERROR(__xludf.DUMMYFUNCTION("""COMPUTED_VALUE"""),"PAGO")</f>
        <v>PAGO</v>
      </c>
      <c r="B568" s="98" t="str">
        <f>IFERROR(__xludf.DUMMYFUNCTION("""COMPUTED_VALUE"""),"Recebimento via PIX - Ajuda do Adriano para o Jazigo - Cida saiu")</f>
        <v>Recebimento via PIX - Ajuda do Adriano para o Jazigo - Cida saiu</v>
      </c>
      <c r="C568" s="13">
        <f>IFERROR(__xludf.DUMMYFUNCTION("""COMPUTED_VALUE"""),5.0)</f>
        <v>5</v>
      </c>
      <c r="D568" s="13" t="str">
        <f>IFERROR(__xludf.DUMMYFUNCTION("""COMPUTED_VALUE"""),"SEG.")</f>
        <v>SEG.</v>
      </c>
      <c r="E568" s="13">
        <f>IFERROR(__xludf.DUMMYFUNCTION("""COMPUTED_VALUE"""),7.0)</f>
        <v>7</v>
      </c>
      <c r="F568" s="15"/>
      <c r="G568" s="16">
        <f>IFERROR(__xludf.DUMMYFUNCTION("""COMPUTED_VALUE"""),450.0)</f>
        <v>450</v>
      </c>
      <c r="H568" s="227"/>
      <c r="I568" s="21" t="str">
        <f>IFERROR(__xludf.DUMMYFUNCTION("""COMPUTED_VALUE"""),"NUBANK")</f>
        <v>NUBANK</v>
      </c>
      <c r="J568" s="21" t="str">
        <f>IFERROR(__xludf.DUMMYFUNCTION("""COMPUTED_VALUE"""),"#Recebimentos #PIX #Nubank #Itau")</f>
        <v>#Recebimentos #PIX #Nubank #Itau</v>
      </c>
      <c r="K568" s="216"/>
      <c r="L568" s="216"/>
      <c r="M568" s="216"/>
      <c r="N568" s="216"/>
      <c r="O568" s="216"/>
      <c r="P568" s="216"/>
      <c r="Q568" s="216"/>
    </row>
    <row r="569">
      <c r="A569" s="11" t="str">
        <f>IFERROR(__xludf.DUMMYFUNCTION("""COMPUTED_VALUE"""),"PAGO")</f>
        <v>PAGO</v>
      </c>
      <c r="B569" s="98" t="str">
        <f>IFERROR(__xludf.DUMMYFUNCTION("""COMPUTED_VALUE"""),"Transferi para investimento - PicPay (reserva de oportunidades)")</f>
        <v>Transferi para investimento - PicPay (reserva de oportunidades)</v>
      </c>
      <c r="C569" s="13">
        <f>IFERROR(__xludf.DUMMYFUNCTION("""COMPUTED_VALUE"""),6.0)</f>
        <v>6</v>
      </c>
      <c r="D569" s="13" t="str">
        <f>IFERROR(__xludf.DUMMYFUNCTION("""COMPUTED_VALUE"""),"TER.")</f>
        <v>TER.</v>
      </c>
      <c r="E569" s="13">
        <f>IFERROR(__xludf.DUMMYFUNCTION("""COMPUTED_VALUE"""),7.0)</f>
        <v>7</v>
      </c>
      <c r="F569" s="15"/>
      <c r="G569" s="16"/>
      <c r="H569" s="227">
        <f>IFERROR(__xludf.DUMMYFUNCTION("""COMPUTED_VALUE"""),2858.03)</f>
        <v>2858.03</v>
      </c>
      <c r="I569" s="21" t="str">
        <f>IFERROR(__xludf.DUMMYFUNCTION("""COMPUTED_VALUE"""),"NUBANK")</f>
        <v>NUBANK</v>
      </c>
      <c r="J569" s="21" t="str">
        <f>IFERROR(__xludf.DUMMYFUNCTION("""COMPUTED_VALUE"""),"#Transferencia #PIX #Nubank #PicPay")</f>
        <v>#Transferencia #PIX #Nubank #PicPay</v>
      </c>
      <c r="K569" s="216"/>
      <c r="L569" s="216"/>
      <c r="M569" s="216"/>
      <c r="N569" s="216"/>
      <c r="O569" s="216"/>
      <c r="P569" s="216"/>
      <c r="Q569" s="216"/>
    </row>
    <row r="570">
      <c r="A570" s="11" t="str">
        <f>IFERROR(__xludf.DUMMYFUNCTION("""COMPUTED_VALUE"""),"PAGO")</f>
        <v>PAGO</v>
      </c>
      <c r="B570" s="98" t="str">
        <f>IFERROR(__xludf.DUMMYFUNCTION("""COMPUTED_VALUE"""),"Aluguel de Itaquera - Joice")</f>
        <v>Aluguel de Itaquera - Joice</v>
      </c>
      <c r="C570" s="13">
        <f>IFERROR(__xludf.DUMMYFUNCTION("""COMPUTED_VALUE"""),6.0)</f>
        <v>6</v>
      </c>
      <c r="D570" s="13" t="str">
        <f>IFERROR(__xludf.DUMMYFUNCTION("""COMPUTED_VALUE"""),"TER.")</f>
        <v>TER.</v>
      </c>
      <c r="E570" s="13">
        <f>IFERROR(__xludf.DUMMYFUNCTION("""COMPUTED_VALUE"""),7.0)</f>
        <v>7</v>
      </c>
      <c r="F570" s="15"/>
      <c r="G570" s="16">
        <f>IFERROR(__xludf.DUMMYFUNCTION("""COMPUTED_VALUE"""),500.0)</f>
        <v>500</v>
      </c>
      <c r="H570" s="227"/>
      <c r="I570" s="21" t="str">
        <f>IFERROR(__xludf.DUMMYFUNCTION("""COMPUTED_VALUE"""),"NUBANK")</f>
        <v>NUBANK</v>
      </c>
      <c r="J570" s="21" t="str">
        <f>IFERROR(__xludf.DUMMYFUNCTION("""COMPUTED_VALUE"""),"#Recebimentos #Aluguel #Itaquera #Variavel")</f>
        <v>#Recebimentos #Aluguel #Itaquera #Variavel</v>
      </c>
      <c r="K570" s="216"/>
      <c r="L570" s="216"/>
      <c r="M570" s="216"/>
      <c r="N570" s="216"/>
      <c r="O570" s="216"/>
      <c r="P570" s="216"/>
      <c r="Q570" s="216"/>
    </row>
    <row r="571">
      <c r="A571" s="11" t="str">
        <f>IFERROR(__xludf.DUMMYFUNCTION("""COMPUTED_VALUE"""),"PAGO")</f>
        <v>PAGO</v>
      </c>
      <c r="B571" s="98" t="str">
        <f>IFERROR(__xludf.DUMMYFUNCTION("""COMPUTED_VALUE"""),"Transferencia via PIX - Roberta (aluguel)")</f>
        <v>Transferencia via PIX - Roberta (aluguel)</v>
      </c>
      <c r="C571" s="13">
        <f>IFERROR(__xludf.DUMMYFUNCTION("""COMPUTED_VALUE"""),6.0)</f>
        <v>6</v>
      </c>
      <c r="D571" s="13" t="str">
        <f>IFERROR(__xludf.DUMMYFUNCTION("""COMPUTED_VALUE"""),"TER.")</f>
        <v>TER.</v>
      </c>
      <c r="E571" s="13">
        <f>IFERROR(__xludf.DUMMYFUNCTION("""COMPUTED_VALUE"""),7.0)</f>
        <v>7</v>
      </c>
      <c r="F571" s="15"/>
      <c r="G571" s="16"/>
      <c r="H571" s="227">
        <f>IFERROR(__xludf.DUMMYFUNCTION("""COMPUTED_VALUE"""),500.0)</f>
        <v>500</v>
      </c>
      <c r="I571" s="21" t="str">
        <f>IFERROR(__xludf.DUMMYFUNCTION("""COMPUTED_VALUE"""),"NUBANK")</f>
        <v>NUBANK</v>
      </c>
      <c r="J571" s="21" t="str">
        <f>IFERROR(__xludf.DUMMYFUNCTION("""COMPUTED_VALUE"""),"#Roberta #Aluguel #Itaquera #Variavel")</f>
        <v>#Roberta #Aluguel #Itaquera #Variavel</v>
      </c>
      <c r="K571" s="216"/>
      <c r="L571" s="216"/>
      <c r="M571" s="216"/>
      <c r="N571" s="216"/>
      <c r="O571" s="216"/>
      <c r="P571" s="216"/>
      <c r="Q571" s="216"/>
    </row>
    <row r="572">
      <c r="A572" s="11" t="str">
        <f>IFERROR(__xludf.DUMMYFUNCTION("""COMPUTED_VALUE"""),"PAGO")</f>
        <v>PAGO</v>
      </c>
      <c r="B572" s="98" t="str">
        <f>IFERROR(__xludf.DUMMYFUNCTION("""COMPUTED_VALUE"""),"Resgate dividendos - Rico Corretora")</f>
        <v>Resgate dividendos - Rico Corretora</v>
      </c>
      <c r="C572" s="13">
        <f>IFERROR(__xludf.DUMMYFUNCTION("""COMPUTED_VALUE"""),7.0)</f>
        <v>7</v>
      </c>
      <c r="D572" s="13" t="str">
        <f>IFERROR(__xludf.DUMMYFUNCTION("""COMPUTED_VALUE"""),"QUA.")</f>
        <v>QUA.</v>
      </c>
      <c r="E572" s="13">
        <f>IFERROR(__xludf.DUMMYFUNCTION("""COMPUTED_VALUE"""),7.0)</f>
        <v>7</v>
      </c>
      <c r="F572" s="15"/>
      <c r="G572" s="16">
        <f>IFERROR(__xludf.DUMMYFUNCTION("""COMPUTED_VALUE"""),987.06)</f>
        <v>987.06</v>
      </c>
      <c r="H572" s="227"/>
      <c r="I572" s="21" t="str">
        <f>IFERROR(__xludf.DUMMYFUNCTION("""COMPUTED_VALUE"""),"ITAU")</f>
        <v>ITAU</v>
      </c>
      <c r="J572" s="21" t="str">
        <f>IFERROR(__xludf.DUMMYFUNCTION("""COMPUTED_VALUE"""),"#Recebimentos #Investimento #Rico")</f>
        <v>#Recebimentos #Investimento #Rico</v>
      </c>
      <c r="K572" s="216"/>
      <c r="L572" s="216"/>
      <c r="M572" s="216"/>
      <c r="N572" s="216"/>
      <c r="O572" s="216"/>
      <c r="P572" s="216"/>
      <c r="Q572" s="216"/>
    </row>
    <row r="573">
      <c r="A573" s="11" t="str">
        <f>IFERROR(__xludf.DUMMYFUNCTION("""COMPUTED_VALUE"""),"PAGO")</f>
        <v>PAGO</v>
      </c>
      <c r="B573" s="98" t="str">
        <f>IFERROR(__xludf.DUMMYFUNCTION("""COMPUTED_VALUE"""),"Transferi para investimento - PicPay (reserva de oportunidades)")</f>
        <v>Transferi para investimento - PicPay (reserva de oportunidades)</v>
      </c>
      <c r="C573" s="13">
        <f>IFERROR(__xludf.DUMMYFUNCTION("""COMPUTED_VALUE"""),7.0)</f>
        <v>7</v>
      </c>
      <c r="D573" s="13" t="str">
        <f>IFERROR(__xludf.DUMMYFUNCTION("""COMPUTED_VALUE"""),"QUA.")</f>
        <v>QUA.</v>
      </c>
      <c r="E573" s="13">
        <f>IFERROR(__xludf.DUMMYFUNCTION("""COMPUTED_VALUE"""),7.0)</f>
        <v>7</v>
      </c>
      <c r="F573" s="15"/>
      <c r="G573" s="16"/>
      <c r="H573" s="227">
        <f>IFERROR(__xludf.DUMMYFUNCTION("""COMPUTED_VALUE"""),987.06)</f>
        <v>987.06</v>
      </c>
      <c r="I573" s="21" t="str">
        <f>IFERROR(__xludf.DUMMYFUNCTION("""COMPUTED_VALUE"""),"ITAU")</f>
        <v>ITAU</v>
      </c>
      <c r="J573" s="21" t="str">
        <f>IFERROR(__xludf.DUMMYFUNCTION("""COMPUTED_VALUE"""),"#Transferencia #PIX #Nubank #PicPay")</f>
        <v>#Transferencia #PIX #Nubank #PicPay</v>
      </c>
      <c r="K573" s="216"/>
      <c r="L573" s="216"/>
      <c r="M573" s="216"/>
      <c r="N573" s="216"/>
      <c r="O573" s="216"/>
      <c r="P573" s="216"/>
      <c r="Q573" s="216"/>
    </row>
    <row r="574">
      <c r="A574" s="11" t="str">
        <f>IFERROR(__xludf.DUMMYFUNCTION("""COMPUTED_VALUE"""),"PAGO")</f>
        <v>PAGO</v>
      </c>
      <c r="B574" s="98" t="str">
        <f>IFERROR(__xludf.DUMMYFUNCTION("""COMPUTED_VALUE"""),"Levitar SJC - sorvetes")</f>
        <v>Levitar SJC - sorvetes</v>
      </c>
      <c r="C574" s="13">
        <f>IFERROR(__xludf.DUMMYFUNCTION("""COMPUTED_VALUE"""),7.0)</f>
        <v>7</v>
      </c>
      <c r="D574" s="13" t="str">
        <f>IFERROR(__xludf.DUMMYFUNCTION("""COMPUTED_VALUE"""),"QUA.")</f>
        <v>QUA.</v>
      </c>
      <c r="E574" s="13">
        <f>IFERROR(__xludf.DUMMYFUNCTION("""COMPUTED_VALUE"""),7.0)</f>
        <v>7</v>
      </c>
      <c r="F574" s="15"/>
      <c r="G574" s="16"/>
      <c r="H574" s="227">
        <f>IFERROR(__xludf.DUMMYFUNCTION("""COMPUTED_VALUE"""),30.5)</f>
        <v>30.5</v>
      </c>
      <c r="I574" s="21" t="str">
        <f>IFERROR(__xludf.DUMMYFUNCTION("""COMPUTED_VALUE"""),"NUBANK")</f>
        <v>NUBANK</v>
      </c>
      <c r="J574" s="21" t="str">
        <f>IFERROR(__xludf.DUMMYFUNCTION("""COMPUTED_VALUE"""),"#Lazer #Comida #Variavel")</f>
        <v>#Lazer #Comida #Variavel</v>
      </c>
      <c r="K574" s="216"/>
      <c r="L574" s="216"/>
      <c r="M574" s="216"/>
      <c r="N574" s="216"/>
      <c r="O574" s="216"/>
      <c r="P574" s="216"/>
      <c r="Q574" s="216"/>
    </row>
    <row r="575">
      <c r="A575" s="11" t="str">
        <f>IFERROR(__xludf.DUMMYFUNCTION("""COMPUTED_VALUE"""),"PAGO")</f>
        <v>PAGO</v>
      </c>
      <c r="B575" s="98" t="str">
        <f>IFERROR(__xludf.DUMMYFUNCTION("""COMPUTED_VALUE"""),"Coaching / Psicologa - Candice Oliveira")</f>
        <v>Coaching / Psicologa - Candice Oliveira</v>
      </c>
      <c r="C575" s="13">
        <f>IFERROR(__xludf.DUMMYFUNCTION("""COMPUTED_VALUE"""),7.0)</f>
        <v>7</v>
      </c>
      <c r="D575" s="13" t="str">
        <f>IFERROR(__xludf.DUMMYFUNCTION("""COMPUTED_VALUE"""),"QUA.")</f>
        <v>QUA.</v>
      </c>
      <c r="E575" s="13">
        <f>IFERROR(__xludf.DUMMYFUNCTION("""COMPUTED_VALUE"""),7.0)</f>
        <v>7</v>
      </c>
      <c r="F575" s="15"/>
      <c r="G575" s="16"/>
      <c r="H575" s="227">
        <f>IFERROR(__xludf.DUMMYFUNCTION("""COMPUTED_VALUE"""),100.0)</f>
        <v>100</v>
      </c>
      <c r="I575" s="21" t="str">
        <f>IFERROR(__xludf.DUMMYFUNCTION("""COMPUTED_VALUE"""),"NUBANK")</f>
        <v>NUBANK</v>
      </c>
      <c r="J575" s="21" t="str">
        <f>IFERROR(__xludf.DUMMYFUNCTION("""COMPUTED_VALUE"""),"#Coaching #Fixo")</f>
        <v>#Coaching #Fixo</v>
      </c>
      <c r="K575" s="216"/>
      <c r="L575" s="216"/>
      <c r="M575" s="216"/>
      <c r="N575" s="216"/>
      <c r="O575" s="216"/>
      <c r="P575" s="216"/>
      <c r="Q575" s="216"/>
    </row>
    <row r="576">
      <c r="A576" s="11" t="str">
        <f>IFERROR(__xludf.DUMMYFUNCTION("""COMPUTED_VALUE"""),"PAGO")</f>
        <v>PAGO</v>
      </c>
      <c r="B576" s="98" t="str">
        <f>IFERROR(__xludf.DUMMYFUNCTION("""COMPUTED_VALUE"""),"Rendimento")</f>
        <v>Rendimento</v>
      </c>
      <c r="C576" s="13">
        <f>IFERROR(__xludf.DUMMYFUNCTION("""COMPUTED_VALUE"""),7.0)</f>
        <v>7</v>
      </c>
      <c r="D576" s="13" t="str">
        <f>IFERROR(__xludf.DUMMYFUNCTION("""COMPUTED_VALUE"""),"QUA.")</f>
        <v>QUA.</v>
      </c>
      <c r="E576" s="13">
        <f>IFERROR(__xludf.DUMMYFUNCTION("""COMPUTED_VALUE"""),7.0)</f>
        <v>7</v>
      </c>
      <c r="F576" s="15"/>
      <c r="G576" s="16">
        <f>IFERROR(__xludf.DUMMYFUNCTION("""COMPUTED_VALUE"""),3.84)</f>
        <v>3.84</v>
      </c>
      <c r="H576" s="227"/>
      <c r="I576" s="21" t="str">
        <f>IFERROR(__xludf.DUMMYFUNCTION("""COMPUTED_VALUE"""),"NUBANK")</f>
        <v>NUBANK</v>
      </c>
      <c r="J576" s="21" t="str">
        <f>IFERROR(__xludf.DUMMYFUNCTION("""COMPUTED_VALUE"""),"#Recebimentos #Rendimentos #Variavel")</f>
        <v>#Recebimentos #Rendimentos #Variavel</v>
      </c>
      <c r="K576" s="216"/>
      <c r="L576" s="216"/>
      <c r="M576" s="216"/>
      <c r="N576" s="216"/>
      <c r="O576" s="216"/>
      <c r="P576" s="216"/>
      <c r="Q576" s="216"/>
    </row>
    <row r="577">
      <c r="A577" s="11" t="str">
        <f>IFERROR(__xludf.DUMMYFUNCTION("""COMPUTED_VALUE"""),"PAGO")</f>
        <v>PAGO</v>
      </c>
      <c r="B577" s="98" t="str">
        <f>IFERROR(__xludf.DUMMYFUNCTION("""COMPUTED_VALUE"""),"Cartao Roberta")</f>
        <v>Cartao Roberta</v>
      </c>
      <c r="C577" s="13">
        <f>IFERROR(__xludf.DUMMYFUNCTION("""COMPUTED_VALUE"""),7.0)</f>
        <v>7</v>
      </c>
      <c r="D577" s="13" t="str">
        <f>IFERROR(__xludf.DUMMYFUNCTION("""COMPUTED_VALUE"""),"QUA.")</f>
        <v>QUA.</v>
      </c>
      <c r="E577" s="13">
        <f>IFERROR(__xludf.DUMMYFUNCTION("""COMPUTED_VALUE"""),7.0)</f>
        <v>7</v>
      </c>
      <c r="F577" s="15"/>
      <c r="G577" s="16"/>
      <c r="H577" s="227">
        <f>IFERROR(__xludf.DUMMYFUNCTION("""COMPUTED_VALUE"""),113.59)</f>
        <v>113.59</v>
      </c>
      <c r="I577" s="21" t="str">
        <f>IFERROR(__xludf.DUMMYFUNCTION("""COMPUTED_VALUE"""),"NUBANK")</f>
        <v>NUBANK</v>
      </c>
      <c r="J577" s="21"/>
      <c r="K577" s="216"/>
      <c r="L577" s="216"/>
      <c r="M577" s="216"/>
      <c r="N577" s="216"/>
      <c r="O577" s="216"/>
      <c r="P577" s="216"/>
      <c r="Q577" s="216"/>
    </row>
    <row r="578">
      <c r="A578" s="11" t="str">
        <f>IFERROR(__xludf.DUMMYFUNCTION("""COMPUTED_VALUE"""),"CREDITO")</f>
        <v>CREDITO</v>
      </c>
      <c r="B578" s="98" t="str">
        <f>IFERROR(__xludf.DUMMYFUNCTION("""COMPUTED_VALUE"""),"SPITI DIVERSOS .SAO PAULO")</f>
        <v>SPITI DIVERSOS .SAO PAULO</v>
      </c>
      <c r="C578" s="13"/>
      <c r="D578" s="13"/>
      <c r="E578" s="13">
        <f>IFERROR(__xludf.DUMMYFUNCTION("""COMPUTED_VALUE"""),7.0)</f>
        <v>7</v>
      </c>
      <c r="F578" s="15"/>
      <c r="G578" s="16"/>
      <c r="H578" s="227">
        <f>IFERROR(__xludf.DUMMYFUNCTION("""COMPUTED_VALUE"""),1.0)</f>
        <v>1</v>
      </c>
      <c r="I578" s="21"/>
      <c r="J578" s="21" t="str">
        <f>IFERROR(__xludf.DUMMYFUNCTION("""COMPUTED_VALUE"""),"#CartaoDeCredito #Roberta #Lazer #Variavel")</f>
        <v>#CartaoDeCredito #Roberta #Lazer #Variavel</v>
      </c>
      <c r="K578" s="216"/>
      <c r="L578" s="216"/>
      <c r="M578" s="216"/>
      <c r="N578" s="216"/>
      <c r="O578" s="216"/>
      <c r="P578" s="216"/>
      <c r="Q578" s="216"/>
    </row>
    <row r="579">
      <c r="A579" s="11" t="str">
        <f>IFERROR(__xludf.DUMMYFUNCTION("""COMPUTED_VALUE"""),"CREDITO")</f>
        <v>CREDITO</v>
      </c>
      <c r="B579" s="98" t="str">
        <f>IFERROR(__xludf.DUMMYFUNCTION("""COMPUTED_VALUE"""),"EBANX SHOPPE - VESTUARIO CURITIBA (pantufas)")</f>
        <v>EBANX SHOPPE - VESTUARIO CURITIBA (pantufas)</v>
      </c>
      <c r="C579" s="13"/>
      <c r="D579" s="13"/>
      <c r="E579" s="13">
        <f>IFERROR(__xludf.DUMMYFUNCTION("""COMPUTED_VALUE"""),7.0)</f>
        <v>7</v>
      </c>
      <c r="F579" s="15"/>
      <c r="G579" s="16"/>
      <c r="H579" s="227">
        <f>IFERROR(__xludf.DUMMYFUNCTION("""COMPUTED_VALUE"""),65.99)</f>
        <v>65.99</v>
      </c>
      <c r="I579" s="21"/>
      <c r="J579" s="21" t="str">
        <f>IFERROR(__xludf.DUMMYFUNCTION("""COMPUTED_VALUE"""),"#CartaoDeCredito #Roberta #Variavel #Carlos #Eduardo")</f>
        <v>#CartaoDeCredito #Roberta #Variavel #Carlos #Eduardo</v>
      </c>
      <c r="K579" s="216"/>
      <c r="L579" s="216"/>
      <c r="M579" s="216"/>
      <c r="N579" s="216"/>
      <c r="O579" s="216"/>
      <c r="P579" s="216"/>
      <c r="Q579" s="216"/>
    </row>
    <row r="580">
      <c r="A580" s="11" t="str">
        <f>IFERROR(__xludf.DUMMYFUNCTION("""COMPUTED_VALUE"""),"CREDITO")</f>
        <v>CREDITO</v>
      </c>
      <c r="B580" s="98" t="str">
        <f>IFERROR(__xludf.DUMMYFUNCTION("""COMPUTED_VALUE"""),"SEGURO RESIDENCIAL ITAU")</f>
        <v>SEGURO RESIDENCIAL ITAU</v>
      </c>
      <c r="C580" s="13"/>
      <c r="D580" s="13"/>
      <c r="E580" s="13">
        <f>IFERROR(__xludf.DUMMYFUNCTION("""COMPUTED_VALUE"""),7.0)</f>
        <v>7</v>
      </c>
      <c r="F580" s="15"/>
      <c r="G580" s="16"/>
      <c r="H580" s="227">
        <f>IFERROR(__xludf.DUMMYFUNCTION("""COMPUTED_VALUE"""),13.7)</f>
        <v>13.7</v>
      </c>
      <c r="I580" s="21"/>
      <c r="J580" s="21" t="str">
        <f>IFERROR(__xludf.DUMMYFUNCTION("""COMPUTED_VALUE"""),"#CartaoDeCredito #Roberta #Essencial #Fixo #Moradia")</f>
        <v>#CartaoDeCredito #Roberta #Essencial #Fixo #Moradia</v>
      </c>
      <c r="K580" s="216"/>
      <c r="L580" s="216"/>
      <c r="M580" s="216"/>
      <c r="N580" s="216"/>
      <c r="O580" s="216"/>
      <c r="P580" s="216"/>
      <c r="Q580" s="216"/>
    </row>
    <row r="581">
      <c r="A581" s="11" t="str">
        <f>IFERROR(__xludf.DUMMYFUNCTION("""COMPUTED_VALUE"""),"CREDITO")</f>
        <v>CREDITO</v>
      </c>
      <c r="B581" s="98" t="str">
        <f>IFERROR(__xludf.DUMMYFUNCTION("""COMPUTED_VALUE"""),"NETFLIX.COM DIVERSOS .SAO PAULO")</f>
        <v>NETFLIX.COM DIVERSOS .SAO PAULO</v>
      </c>
      <c r="C581" s="13"/>
      <c r="D581" s="13"/>
      <c r="E581" s="13">
        <f>IFERROR(__xludf.DUMMYFUNCTION("""COMPUTED_VALUE"""),7.0)</f>
        <v>7</v>
      </c>
      <c r="F581" s="15"/>
      <c r="G581" s="16"/>
      <c r="H581" s="227">
        <f>IFERROR(__xludf.DUMMYFUNCTION("""COMPUTED_VALUE"""),32.9)</f>
        <v>32.9</v>
      </c>
      <c r="I581" s="21"/>
      <c r="J581" s="21" t="str">
        <f>IFERROR(__xludf.DUMMYFUNCTION("""COMPUTED_VALUE"""),"#CartaoDeCredito #Roberta #Streaming #Fixo")</f>
        <v>#CartaoDeCredito #Roberta #Streaming #Fixo</v>
      </c>
      <c r="K581" s="216"/>
      <c r="L581" s="216"/>
      <c r="M581" s="216"/>
      <c r="N581" s="216"/>
      <c r="O581" s="216"/>
      <c r="P581" s="216"/>
      <c r="Q581" s="216"/>
    </row>
    <row r="582">
      <c r="A582" s="11" t="str">
        <f>IFERROR(__xludf.DUMMYFUNCTION("""COMPUTED_VALUE"""),"PAGO")</f>
        <v>PAGO</v>
      </c>
      <c r="B582" s="98" t="str">
        <f>IFERROR(__xludf.DUMMYFUNCTION("""COMPUTED_VALUE"""),"Convenio Sr. Antonio - São Cristovão - não constava boleto no site")</f>
        <v>Convenio Sr. Antonio - São Cristovão - não constava boleto no site</v>
      </c>
      <c r="C582" s="13">
        <f>IFERROR(__xludf.DUMMYFUNCTION("""COMPUTED_VALUE"""),8.0)</f>
        <v>8</v>
      </c>
      <c r="D582" s="13" t="str">
        <f>IFERROR(__xludf.DUMMYFUNCTION("""COMPUTED_VALUE"""),"QUI.")</f>
        <v>QUI.</v>
      </c>
      <c r="E582" s="13">
        <f>IFERROR(__xludf.DUMMYFUNCTION("""COMPUTED_VALUE"""),7.0)</f>
        <v>7</v>
      </c>
      <c r="F582" s="15">
        <f>IFERROR(__xludf.DUMMYFUNCTION("""COMPUTED_VALUE"""),44390.0)</f>
        <v>44390</v>
      </c>
      <c r="G582" s="16"/>
      <c r="H582" s="227">
        <f>IFERROR(__xludf.DUMMYFUNCTION("""COMPUTED_VALUE"""),551.68)</f>
        <v>551.68</v>
      </c>
      <c r="I582" s="21" t="str">
        <f>IFERROR(__xludf.DUMMYFUNCTION("""COMPUTED_VALUE"""),"NUBANK")</f>
        <v>NUBANK</v>
      </c>
      <c r="J582" s="21" t="str">
        <f>IFERROR(__xludf.DUMMYFUNCTION("""COMPUTED_VALUE"""),"#Essencial #Saude #Convenio #Papai #Fixo")</f>
        <v>#Essencial #Saude #Convenio #Papai #Fixo</v>
      </c>
      <c r="K582" s="216"/>
      <c r="L582" s="216"/>
      <c r="M582" s="216"/>
      <c r="N582" s="216"/>
      <c r="O582" s="216"/>
      <c r="P582" s="216"/>
      <c r="Q582" s="216"/>
    </row>
    <row r="583">
      <c r="A583" s="11" t="str">
        <f>IFERROR(__xludf.DUMMYFUNCTION("""COMPUTED_VALUE"""),"PAGO")</f>
        <v>PAGO</v>
      </c>
      <c r="B583" s="98" t="str">
        <f>IFERROR(__xludf.DUMMYFUNCTION("""COMPUTED_VALUE"""),"Fatura VIVOFIBRA INTERNET")</f>
        <v>Fatura VIVOFIBRA INTERNET</v>
      </c>
      <c r="C583" s="13">
        <f>IFERROR(__xludf.DUMMYFUNCTION("""COMPUTED_VALUE"""),8.0)</f>
        <v>8</v>
      </c>
      <c r="D583" s="13" t="str">
        <f>IFERROR(__xludf.DUMMYFUNCTION("""COMPUTED_VALUE"""),"QUI.")</f>
        <v>QUI.</v>
      </c>
      <c r="E583" s="13">
        <f>IFERROR(__xludf.DUMMYFUNCTION("""COMPUTED_VALUE"""),7.0)</f>
        <v>7</v>
      </c>
      <c r="F583" s="15"/>
      <c r="G583" s="16"/>
      <c r="H583" s="227">
        <f>IFERROR(__xludf.DUMMYFUNCTION("""COMPUTED_VALUE"""),179.27)</f>
        <v>179.27</v>
      </c>
      <c r="I583" s="21" t="str">
        <f>IFERROR(__xludf.DUMMYFUNCTION("""COMPUTED_VALUE"""),"NUBANK")</f>
        <v>NUBANK</v>
      </c>
      <c r="J583" s="21" t="str">
        <f>IFERROR(__xludf.DUMMYFUNCTION("""COMPUTED_VALUE"""),"#Essencial #Internet #Fixo ")</f>
        <v>#Essencial #Internet #Fixo </v>
      </c>
      <c r="K583" s="216"/>
      <c r="L583" s="216"/>
      <c r="M583" s="216"/>
      <c r="N583" s="216"/>
      <c r="O583" s="216"/>
      <c r="P583" s="216"/>
      <c r="Q583" s="216"/>
    </row>
    <row r="584">
      <c r="A584" s="11" t="str">
        <f>IFERROR(__xludf.DUMMYFUNCTION("""COMPUTED_VALUE"""),"PAGO")</f>
        <v>PAGO</v>
      </c>
      <c r="B584" s="98" t="str">
        <f>IFERROR(__xludf.DUMMYFUNCTION("""COMPUTED_VALUE"""),"Predileto Restaurante - 2 marmitas")</f>
        <v>Predileto Restaurante - 2 marmitas</v>
      </c>
      <c r="C584" s="13">
        <f>IFERROR(__xludf.DUMMYFUNCTION("""COMPUTED_VALUE"""),9.0)</f>
        <v>9</v>
      </c>
      <c r="D584" s="13" t="str">
        <f>IFERROR(__xludf.DUMMYFUNCTION("""COMPUTED_VALUE"""),"SEX.")</f>
        <v>SEX.</v>
      </c>
      <c r="E584" s="13">
        <f>IFERROR(__xludf.DUMMYFUNCTION("""COMPUTED_VALUE"""),7.0)</f>
        <v>7</v>
      </c>
      <c r="F584" s="15"/>
      <c r="G584" s="16"/>
      <c r="H584" s="227">
        <f>IFERROR(__xludf.DUMMYFUNCTION("""COMPUTED_VALUE"""),37.8)</f>
        <v>37.8</v>
      </c>
      <c r="I584" s="21" t="str">
        <f>IFERROR(__xludf.DUMMYFUNCTION("""COMPUTED_VALUE"""),"SODEXO-REF-IBM")</f>
        <v>SODEXO-REF-IBM</v>
      </c>
      <c r="J584" s="21" t="str">
        <f>IFERROR(__xludf.DUMMYFUNCTION("""COMPUTED_VALUE"""),"#Lazer #Comida #Variavel")</f>
        <v>#Lazer #Comida #Variavel</v>
      </c>
      <c r="K584" s="216"/>
      <c r="L584" s="216"/>
      <c r="M584" s="216"/>
      <c r="N584" s="216"/>
      <c r="O584" s="216"/>
      <c r="P584" s="216"/>
      <c r="Q584" s="216"/>
    </row>
    <row r="585">
      <c r="A585" s="11" t="str">
        <f>IFERROR(__xludf.DUMMYFUNCTION("""COMPUTED_VALUE"""),"PAGO")</f>
        <v>PAGO</v>
      </c>
      <c r="B585" s="98" t="str">
        <f>IFERROR(__xludf.DUMMYFUNCTION("""COMPUTED_VALUE"""),"Galinha pintadinha")</f>
        <v>Galinha pintadinha</v>
      </c>
      <c r="C585" s="13">
        <f>IFERROR(__xludf.DUMMYFUNCTION("""COMPUTED_VALUE"""),9.0)</f>
        <v>9</v>
      </c>
      <c r="D585" s="13" t="str">
        <f>IFERROR(__xludf.DUMMYFUNCTION("""COMPUTED_VALUE"""),"SEX.")</f>
        <v>SEX.</v>
      </c>
      <c r="E585" s="13">
        <f>IFERROR(__xludf.DUMMYFUNCTION("""COMPUTED_VALUE"""),7.0)</f>
        <v>7</v>
      </c>
      <c r="F585" s="15"/>
      <c r="G585" s="16"/>
      <c r="H585" s="227">
        <f>IFERROR(__xludf.DUMMYFUNCTION("""COMPUTED_VALUE"""),20.0)</f>
        <v>20</v>
      </c>
      <c r="I585" s="21" t="str">
        <f>IFERROR(__xludf.DUMMYFUNCTION("""COMPUTED_VALUE"""),"SODEXO-REF-IBM")</f>
        <v>SODEXO-REF-IBM</v>
      </c>
      <c r="J585" s="21" t="str">
        <f>IFERROR(__xludf.DUMMYFUNCTION("""COMPUTED_VALUE"""),"#Lazer #Comida #Variavel")</f>
        <v>#Lazer #Comida #Variavel</v>
      </c>
      <c r="K585" s="216"/>
      <c r="L585" s="216"/>
      <c r="M585" s="216"/>
      <c r="N585" s="216"/>
      <c r="O585" s="216"/>
      <c r="P585" s="216"/>
      <c r="Q585" s="216"/>
    </row>
    <row r="586">
      <c r="A586" s="11" t="str">
        <f>IFERROR(__xludf.DUMMYFUNCTION("""COMPUTED_VALUE"""),"PAGO")</f>
        <v>PAGO</v>
      </c>
      <c r="B586" s="98" t="str">
        <f>IFERROR(__xludf.DUMMYFUNCTION("""COMPUTED_VALUE"""),"Shibata")</f>
        <v>Shibata</v>
      </c>
      <c r="C586" s="13">
        <f>IFERROR(__xludf.DUMMYFUNCTION("""COMPUTED_VALUE"""),9.0)</f>
        <v>9</v>
      </c>
      <c r="D586" s="13" t="str">
        <f>IFERROR(__xludf.DUMMYFUNCTION("""COMPUTED_VALUE"""),"SEX.")</f>
        <v>SEX.</v>
      </c>
      <c r="E586" s="13">
        <f>IFERROR(__xludf.DUMMYFUNCTION("""COMPUTED_VALUE"""),7.0)</f>
        <v>7</v>
      </c>
      <c r="F586" s="15"/>
      <c r="G586" s="16"/>
      <c r="H586" s="227">
        <f>IFERROR(__xludf.DUMMYFUNCTION("""COMPUTED_VALUE"""),395.22)</f>
        <v>395.22</v>
      </c>
      <c r="I586" s="21" t="str">
        <f>IFERROR(__xludf.DUMMYFUNCTION("""COMPUTED_VALUE"""),"SODEXO-REF-IBM")</f>
        <v>SODEXO-REF-IBM</v>
      </c>
      <c r="J586" s="21" t="str">
        <f>IFERROR(__xludf.DUMMYFUNCTION("""COMPUTED_VALUE"""),"#Moradia #Essencial #Mercado #Variavel #Alimentação ")</f>
        <v>#Moradia #Essencial #Mercado #Variavel #Alimentação </v>
      </c>
      <c r="K586" s="216"/>
      <c r="L586" s="216"/>
      <c r="M586" s="216"/>
      <c r="N586" s="216"/>
      <c r="O586" s="216"/>
      <c r="P586" s="216"/>
      <c r="Q586" s="216"/>
    </row>
    <row r="587">
      <c r="A587" s="11" t="str">
        <f>IFERROR(__xludf.DUMMYFUNCTION("""COMPUTED_VALUE"""),"PAGO")</f>
        <v>PAGO</v>
      </c>
      <c r="B587" s="98" t="str">
        <f>IFERROR(__xludf.DUMMYFUNCTION("""COMPUTED_VALUE"""),"Colégio Evoluti SJC - valor aproximado 643,00")</f>
        <v>Colégio Evoluti SJC - valor aproximado 643,00</v>
      </c>
      <c r="C587" s="13">
        <f>IFERROR(__xludf.DUMMYFUNCTION("""COMPUTED_VALUE"""),10.0)</f>
        <v>10</v>
      </c>
      <c r="D587" s="13" t="str">
        <f>IFERROR(__xludf.DUMMYFUNCTION("""COMPUTED_VALUE"""),"SÁB.")</f>
        <v>SÁB.</v>
      </c>
      <c r="E587" s="13">
        <f>IFERROR(__xludf.DUMMYFUNCTION("""COMPUTED_VALUE"""),7.0)</f>
        <v>7</v>
      </c>
      <c r="F587" s="15"/>
      <c r="G587" s="16"/>
      <c r="H587" s="227">
        <f>IFERROR(__xludf.DUMMYFUNCTION("""COMPUTED_VALUE"""),0.0)</f>
        <v>0</v>
      </c>
      <c r="I587" s="21" t="str">
        <f>IFERROR(__xludf.DUMMYFUNCTION("""COMPUTED_VALUE"""),"NUBANK")</f>
        <v>NUBANK</v>
      </c>
      <c r="J587" s="21" t="str">
        <f>IFERROR(__xludf.DUMMYFUNCTION("""COMPUTED_VALUE"""),"#Essencial #Escola #Eduardo #Fixo")</f>
        <v>#Essencial #Escola #Eduardo #Fixo</v>
      </c>
      <c r="K587" s="216"/>
      <c r="L587" s="216"/>
      <c r="M587" s="216"/>
      <c r="N587" s="216"/>
      <c r="O587" s="216"/>
      <c r="P587" s="216"/>
      <c r="Q587" s="216"/>
    </row>
    <row r="588">
      <c r="A588" s="11" t="str">
        <f>IFERROR(__xludf.DUMMYFUNCTION("""COMPUTED_VALUE"""),"PAGO")</f>
        <v>PAGO</v>
      </c>
      <c r="B588" s="98" t="str">
        <f>IFERROR(__xludf.DUMMYFUNCTION("""COMPUTED_VALUE"""),"Convenio Uniodonto")</f>
        <v>Convenio Uniodonto</v>
      </c>
      <c r="C588" s="13">
        <f>IFERROR(__xludf.DUMMYFUNCTION("""COMPUTED_VALUE"""),10.0)</f>
        <v>10</v>
      </c>
      <c r="D588" s="13" t="str">
        <f>IFERROR(__xludf.DUMMYFUNCTION("""COMPUTED_VALUE"""),"SÁB.")</f>
        <v>SÁB.</v>
      </c>
      <c r="E588" s="13">
        <f>IFERROR(__xludf.DUMMYFUNCTION("""COMPUTED_VALUE"""),7.0)</f>
        <v>7</v>
      </c>
      <c r="F588" s="15">
        <f>IFERROR(__xludf.DUMMYFUNCTION("""COMPUTED_VALUE"""),44384.0)</f>
        <v>44384</v>
      </c>
      <c r="G588" s="16"/>
      <c r="H588" s="227">
        <f>IFERROR(__xludf.DUMMYFUNCTION("""COMPUTED_VALUE"""),102.0)</f>
        <v>102</v>
      </c>
      <c r="I588" s="21" t="str">
        <f>IFERROR(__xludf.DUMMYFUNCTION("""COMPUTED_VALUE"""),"NUBANK")</f>
        <v>NUBANK</v>
      </c>
      <c r="J588" s="21" t="str">
        <f>IFERROR(__xludf.DUMMYFUNCTION("""COMPUTED_VALUE"""),"#Essencial #Saude #Convenio #Familia #Fixo ")</f>
        <v>#Essencial #Saude #Convenio #Familia #Fixo </v>
      </c>
      <c r="K588" s="216"/>
      <c r="L588" s="216"/>
      <c r="M588" s="216"/>
      <c r="N588" s="216"/>
      <c r="O588" s="216"/>
      <c r="P588" s="216"/>
      <c r="Q588" s="216"/>
    </row>
    <row r="589">
      <c r="A589" s="11" t="str">
        <f>IFERROR(__xludf.DUMMYFUNCTION("""COMPUTED_VALUE"""),"PAGO")</f>
        <v>PAGO</v>
      </c>
      <c r="B589" s="98" t="str">
        <f>IFERROR(__xludf.DUMMYFUNCTION("""COMPUTED_VALUE"""),"Transferencia via PIX - Roberta (hambúrgueres, pedido do Eduardo)")</f>
        <v>Transferencia via PIX - Roberta (hambúrgueres, pedido do Eduardo)</v>
      </c>
      <c r="C589" s="13">
        <f>IFERROR(__xludf.DUMMYFUNCTION("""COMPUTED_VALUE"""),11.0)</f>
        <v>11</v>
      </c>
      <c r="D589" s="13" t="str">
        <f>IFERROR(__xludf.DUMMYFUNCTION("""COMPUTED_VALUE"""),"DOM.")</f>
        <v>DOM.</v>
      </c>
      <c r="E589" s="13">
        <f>IFERROR(__xludf.DUMMYFUNCTION("""COMPUTED_VALUE"""),7.0)</f>
        <v>7</v>
      </c>
      <c r="F589" s="15"/>
      <c r="G589" s="16"/>
      <c r="H589" s="227">
        <f>IFERROR(__xludf.DUMMYFUNCTION("""COMPUTED_VALUE"""),74.8)</f>
        <v>74.8</v>
      </c>
      <c r="I589" s="21" t="str">
        <f>IFERROR(__xludf.DUMMYFUNCTION("""COMPUTED_VALUE"""),"NUBANK")</f>
        <v>NUBANK</v>
      </c>
      <c r="J589" s="21" t="str">
        <f>IFERROR(__xludf.DUMMYFUNCTION("""COMPUTED_VALUE"""),"#Cicero #Lazer #Comida #Variavel")</f>
        <v>#Cicero #Lazer #Comida #Variavel</v>
      </c>
      <c r="K589" s="216"/>
      <c r="L589" s="216"/>
      <c r="M589" s="216"/>
      <c r="N589" s="216"/>
      <c r="O589" s="216"/>
      <c r="P589" s="216"/>
      <c r="Q589" s="216"/>
    </row>
    <row r="590">
      <c r="A590" s="11" t="str">
        <f>IFERROR(__xludf.DUMMYFUNCTION("""COMPUTED_VALUE"""),"PAGO")</f>
        <v>PAGO</v>
      </c>
      <c r="B590" s="98" t="str">
        <f>IFERROR(__xludf.DUMMYFUNCTION("""COMPUTED_VALUE"""),"Cartao NuBank")</f>
        <v>Cartao NuBank</v>
      </c>
      <c r="C590" s="13">
        <f>IFERROR(__xludf.DUMMYFUNCTION("""COMPUTED_VALUE"""),12.0)</f>
        <v>12</v>
      </c>
      <c r="D590" s="13" t="str">
        <f>IFERROR(__xludf.DUMMYFUNCTION("""COMPUTED_VALUE"""),"SEG.")</f>
        <v>SEG.</v>
      </c>
      <c r="E590" s="13">
        <f>IFERROR(__xludf.DUMMYFUNCTION("""COMPUTED_VALUE"""),7.0)</f>
        <v>7</v>
      </c>
      <c r="F590" s="15">
        <f>IFERROR(__xludf.DUMMYFUNCTION("""COMPUTED_VALUE"""),44384.0)</f>
        <v>44384</v>
      </c>
      <c r="G590" s="16"/>
      <c r="H590" s="227">
        <f>IFERROR(__xludf.DUMMYFUNCTION("""COMPUTED_VALUE"""),676.03)</f>
        <v>676.03</v>
      </c>
      <c r="I590" s="21" t="str">
        <f>IFERROR(__xludf.DUMMYFUNCTION("""COMPUTED_VALUE"""),"NUBANK")</f>
        <v>NUBANK</v>
      </c>
      <c r="J590" s="21"/>
      <c r="K590" s="216"/>
      <c r="L590" s="216"/>
      <c r="M590" s="216"/>
      <c r="N590" s="216"/>
      <c r="O590" s="216"/>
      <c r="P590" s="216"/>
      <c r="Q590" s="216"/>
    </row>
    <row r="591">
      <c r="A591" s="11" t="str">
        <f>IFERROR(__xludf.DUMMYFUNCTION("""COMPUTED_VALUE"""),"CREDITO")</f>
        <v>CREDITO</v>
      </c>
      <c r="B591" s="98" t="str">
        <f>IFERROR(__xludf.DUMMYFUNCTION("""COMPUTED_VALUE"""),"SALINAS AUTO POSTO - VEÍCULOS .SAO JOSE DOS")</f>
        <v>SALINAS AUTO POSTO - VEÍCULOS .SAO JOSE DOS</v>
      </c>
      <c r="C591" s="13"/>
      <c r="D591" s="13"/>
      <c r="E591" s="13">
        <f>IFERROR(__xludf.DUMMYFUNCTION("""COMPUTED_VALUE"""),7.0)</f>
        <v>7</v>
      </c>
      <c r="F591" s="15">
        <f>IFERROR(__xludf.DUMMYFUNCTION("""COMPUTED_VALUE"""),44355.0)</f>
        <v>44355</v>
      </c>
      <c r="G591" s="16"/>
      <c r="H591" s="227">
        <f>IFERROR(__xludf.DUMMYFUNCTION("""COMPUTED_VALUE"""),222.18)</f>
        <v>222.18</v>
      </c>
      <c r="I591" s="21"/>
      <c r="J591" s="21" t="str">
        <f>IFERROR(__xludf.DUMMYFUNCTION("""COMPUTED_VALUE"""),"#CartaoDeCredito #Cicero #Carro #Combustivel #Variavel")</f>
        <v>#CartaoDeCredito #Cicero #Carro #Combustivel #Variavel</v>
      </c>
      <c r="K591" s="216"/>
      <c r="L591" s="216"/>
      <c r="M591" s="216"/>
      <c r="N591" s="216"/>
      <c r="O591" s="216"/>
      <c r="P591" s="216"/>
      <c r="Q591" s="216"/>
    </row>
    <row r="592">
      <c r="A592" s="11" t="str">
        <f>IFERROR(__xludf.DUMMYFUNCTION("""COMPUTED_VALUE"""),"CREDITO")</f>
        <v>CREDITO</v>
      </c>
      <c r="B592" s="98" t="str">
        <f>IFERROR(__xludf.DUMMYFUNCTION("""COMPUTED_VALUE"""),"DROGA QUINZE - CIDADE JARDIM SJC")</f>
        <v>DROGA QUINZE - CIDADE JARDIM SJC</v>
      </c>
      <c r="C592" s="13"/>
      <c r="D592" s="13"/>
      <c r="E592" s="13">
        <f>IFERROR(__xludf.DUMMYFUNCTION("""COMPUTED_VALUE"""),7.0)</f>
        <v>7</v>
      </c>
      <c r="F592" s="15">
        <f>IFERROR(__xludf.DUMMYFUNCTION("""COMPUTED_VALUE"""),44355.0)</f>
        <v>44355</v>
      </c>
      <c r="G592" s="16"/>
      <c r="H592" s="227">
        <f>IFERROR(__xludf.DUMMYFUNCTION("""COMPUTED_VALUE"""),56.59)</f>
        <v>56.59</v>
      </c>
      <c r="I592" s="21"/>
      <c r="J592" s="21" t="str">
        <f>IFERROR(__xludf.DUMMYFUNCTION("""COMPUTED_VALUE"""),"#CartaoDeCredito #Cicero #Remedios #Carlos #Eduardo #Variavel ")</f>
        <v>#CartaoDeCredito #Cicero #Remedios #Carlos #Eduardo #Variavel </v>
      </c>
      <c r="K592" s="216"/>
      <c r="L592" s="216"/>
      <c r="M592" s="216"/>
      <c r="N592" s="216"/>
      <c r="O592" s="216"/>
      <c r="P592" s="216"/>
      <c r="Q592" s="216"/>
    </row>
    <row r="593">
      <c r="A593" s="11" t="str">
        <f>IFERROR(__xludf.DUMMYFUNCTION("""COMPUTED_VALUE"""),"CREDITO")</f>
        <v>CREDITO</v>
      </c>
      <c r="B593" s="98" t="str">
        <f>IFERROR(__xludf.DUMMYFUNCTION("""COMPUTED_VALUE"""),"Multi Sabor SJC - Cidade Jardim - 100 bolinhos caipiras + Refri")</f>
        <v>Multi Sabor SJC - Cidade Jardim - 100 bolinhos caipiras + Refri</v>
      </c>
      <c r="C593" s="13"/>
      <c r="D593" s="13"/>
      <c r="E593" s="13">
        <f>IFERROR(__xludf.DUMMYFUNCTION("""COMPUTED_VALUE"""),7.0)</f>
        <v>7</v>
      </c>
      <c r="F593" s="15">
        <f>IFERROR(__xludf.DUMMYFUNCTION("""COMPUTED_VALUE"""),44359.0)</f>
        <v>44359</v>
      </c>
      <c r="G593" s="16"/>
      <c r="H593" s="227">
        <f>IFERROR(__xludf.DUMMYFUNCTION("""COMPUTED_VALUE"""),47.9)</f>
        <v>47.9</v>
      </c>
      <c r="I593" s="21"/>
      <c r="J593" s="21" t="str">
        <f>IFERROR(__xludf.DUMMYFUNCTION("""COMPUTED_VALUE"""),"#CartaoDeCredito #Cicero #Lazer #Comida #Variavel")</f>
        <v>#CartaoDeCredito #Cicero #Lazer #Comida #Variavel</v>
      </c>
      <c r="K593" s="216"/>
      <c r="L593" s="216"/>
      <c r="M593" s="216"/>
      <c r="N593" s="216"/>
      <c r="O593" s="216"/>
      <c r="P593" s="216"/>
      <c r="Q593" s="216"/>
    </row>
    <row r="594">
      <c r="A594" s="11" t="str">
        <f>IFERROR(__xludf.DUMMYFUNCTION("""COMPUTED_VALUE"""),"CREDITO")</f>
        <v>CREDITO</v>
      </c>
      <c r="B594" s="98" t="str">
        <f>IFERROR(__xludf.DUMMYFUNCTION("""COMPUTED_VALUE"""),"Shibata")</f>
        <v>Shibata</v>
      </c>
      <c r="C594" s="13"/>
      <c r="D594" s="13"/>
      <c r="E594" s="13">
        <f>IFERROR(__xludf.DUMMYFUNCTION("""COMPUTED_VALUE"""),7.0)</f>
        <v>7</v>
      </c>
      <c r="F594" s="15">
        <f>IFERROR(__xludf.DUMMYFUNCTION("""COMPUTED_VALUE"""),44362.0)</f>
        <v>44362</v>
      </c>
      <c r="G594" s="16"/>
      <c r="H594" s="227">
        <f>IFERROR(__xludf.DUMMYFUNCTION("""COMPUTED_VALUE"""),258.5)</f>
        <v>258.5</v>
      </c>
      <c r="I594" s="21"/>
      <c r="J594" s="21" t="str">
        <f>IFERROR(__xludf.DUMMYFUNCTION("""COMPUTED_VALUE"""),"#CartaoDeCredito #Cicero #Moradia #Essencial #Mercado #Variavel #Alimentação ")</f>
        <v>#CartaoDeCredito #Cicero #Moradia #Essencial #Mercado #Variavel #Alimentação </v>
      </c>
      <c r="K594" s="216"/>
      <c r="L594" s="216"/>
      <c r="M594" s="216"/>
      <c r="N594" s="216"/>
      <c r="O594" s="216"/>
      <c r="P594" s="216"/>
      <c r="Q594" s="216"/>
    </row>
    <row r="595">
      <c r="A595" s="11" t="str">
        <f>IFERROR(__xludf.DUMMYFUNCTION("""COMPUTED_VALUE"""),"CREDITO")</f>
        <v>CREDITO</v>
      </c>
      <c r="B595" s="98" t="str">
        <f>IFERROR(__xludf.DUMMYFUNCTION("""COMPUTED_VALUE"""),"Farmácia Farma Leste - Shibata")</f>
        <v>Farmácia Farma Leste - Shibata</v>
      </c>
      <c r="C595" s="13"/>
      <c r="D595" s="13"/>
      <c r="E595" s="13">
        <f>IFERROR(__xludf.DUMMYFUNCTION("""COMPUTED_VALUE"""),7.0)</f>
        <v>7</v>
      </c>
      <c r="F595" s="15">
        <f>IFERROR(__xludf.DUMMYFUNCTION("""COMPUTED_VALUE"""),44362.0)</f>
        <v>44362</v>
      </c>
      <c r="G595" s="16"/>
      <c r="H595" s="227">
        <f>IFERROR(__xludf.DUMMYFUNCTION("""COMPUTED_VALUE"""),72.97)</f>
        <v>72.97</v>
      </c>
      <c r="I595" s="21"/>
      <c r="J595" s="21" t="str">
        <f>IFERROR(__xludf.DUMMYFUNCTION("""COMPUTED_VALUE"""),"#CartaoDeCredito #Cicero #Remedios #Carlos #Variavel")</f>
        <v>#CartaoDeCredito #Cicero #Remedios #Carlos #Variavel</v>
      </c>
      <c r="K595" s="216"/>
      <c r="L595" s="216"/>
      <c r="M595" s="216"/>
      <c r="N595" s="216"/>
      <c r="O595" s="216"/>
      <c r="P595" s="216"/>
      <c r="Q595" s="216"/>
    </row>
    <row r="596">
      <c r="A596" s="11" t="str">
        <f>IFERROR(__xludf.DUMMYFUNCTION("""COMPUTED_VALUE"""),"CREDITO")</f>
        <v>CREDITO</v>
      </c>
      <c r="B596" s="98" t="str">
        <f>IFERROR(__xludf.DUMMYFUNCTION("""COMPUTED_VALUE"""),"Youtube Member - Denny Torres - Mineração de CriptoMoedas")</f>
        <v>Youtube Member - Denny Torres - Mineração de CriptoMoedas</v>
      </c>
      <c r="C596" s="13"/>
      <c r="D596" s="13"/>
      <c r="E596" s="13">
        <f>IFERROR(__xludf.DUMMYFUNCTION("""COMPUTED_VALUE"""),7.0)</f>
        <v>7</v>
      </c>
      <c r="F596" s="15">
        <f>IFERROR(__xludf.DUMMYFUNCTION("""COMPUTED_VALUE"""),44362.0)</f>
        <v>44362</v>
      </c>
      <c r="G596" s="16"/>
      <c r="H596" s="227">
        <f>IFERROR(__xludf.DUMMYFUNCTION("""COMPUTED_VALUE"""),7.99)</f>
        <v>7.99</v>
      </c>
      <c r="I596" s="21"/>
      <c r="J596" s="21" t="str">
        <f>IFERROR(__xludf.DUMMYFUNCTION("""COMPUTED_VALUE"""),"#CartaoDeCredito #Cicero #Lazer #Fixo ")</f>
        <v>#CartaoDeCredito #Cicero #Lazer #Fixo </v>
      </c>
      <c r="K596" s="216"/>
      <c r="L596" s="216"/>
      <c r="M596" s="216"/>
      <c r="N596" s="216"/>
      <c r="O596" s="216"/>
      <c r="P596" s="216"/>
      <c r="Q596" s="216"/>
    </row>
    <row r="597">
      <c r="A597" s="11" t="str">
        <f>IFERROR(__xludf.DUMMYFUNCTION("""COMPUTED_VALUE"""),"CREDITO")</f>
        <v>CREDITO</v>
      </c>
      <c r="B597" s="98" t="str">
        <f>IFERROR(__xludf.DUMMYFUNCTION("""COMPUTED_VALUE"""),"Amazonprimebr")</f>
        <v>Amazonprimebr</v>
      </c>
      <c r="C597" s="13"/>
      <c r="D597" s="13"/>
      <c r="E597" s="13">
        <f>IFERROR(__xludf.DUMMYFUNCTION("""COMPUTED_VALUE"""),7.0)</f>
        <v>7</v>
      </c>
      <c r="F597" s="15">
        <f>IFERROR(__xludf.DUMMYFUNCTION("""COMPUTED_VALUE"""),44373.0)</f>
        <v>44373</v>
      </c>
      <c r="G597" s="16"/>
      <c r="H597" s="227">
        <f>IFERROR(__xludf.DUMMYFUNCTION("""COMPUTED_VALUE"""),9.9)</f>
        <v>9.9</v>
      </c>
      <c r="I597" s="21"/>
      <c r="J597" s="21" t="str">
        <f>IFERROR(__xludf.DUMMYFUNCTION("""COMPUTED_VALUE"""),"#CartaoDeCredito #Cicero #Streaming #Fixo ")</f>
        <v>#CartaoDeCredito #Cicero #Streaming #Fixo </v>
      </c>
      <c r="K597" s="216"/>
      <c r="L597" s="216"/>
      <c r="M597" s="216"/>
      <c r="N597" s="216"/>
      <c r="O597" s="216"/>
      <c r="P597" s="216"/>
      <c r="Q597" s="216"/>
    </row>
    <row r="598">
      <c r="A598" s="11" t="str">
        <f>IFERROR(__xludf.DUMMYFUNCTION("""COMPUTED_VALUE"""),"PAGO")</f>
        <v>PAGO</v>
      </c>
      <c r="B598" s="98" t="str">
        <f>IFERROR(__xludf.DUMMYFUNCTION("""COMPUTED_VALUE"""),"Jazigo - Semestralidade - Cida saiu - Adriano ajudou com 450,00")</f>
        <v>Jazigo - Semestralidade - Cida saiu - Adriano ajudou com 450,00</v>
      </c>
      <c r="C598" s="13">
        <f>IFERROR(__xludf.DUMMYFUNCTION("""COMPUTED_VALUE"""),12.0)</f>
        <v>12</v>
      </c>
      <c r="D598" s="13" t="str">
        <f>IFERROR(__xludf.DUMMYFUNCTION("""COMPUTED_VALUE"""),"SEG.")</f>
        <v>SEG.</v>
      </c>
      <c r="E598" s="13">
        <f>IFERROR(__xludf.DUMMYFUNCTION("""COMPUTED_VALUE"""),7.0)</f>
        <v>7</v>
      </c>
      <c r="F598" s="15">
        <f>IFERROR(__xludf.DUMMYFUNCTION("""COMPUTED_VALUE"""),44384.0)</f>
        <v>44384</v>
      </c>
      <c r="G598" s="16"/>
      <c r="H598" s="227">
        <f>IFERROR(__xludf.DUMMYFUNCTION("""COMPUTED_VALUE"""),908.04)</f>
        <v>908.04</v>
      </c>
      <c r="I598" s="21" t="str">
        <f>IFERROR(__xludf.DUMMYFUNCTION("""COMPUTED_VALUE"""),"NUBANK")</f>
        <v>NUBANK</v>
      </c>
      <c r="J598" s="21" t="str">
        <f>IFERROR(__xludf.DUMMYFUNCTION("""COMPUTED_VALUE"""),"#Jazigo #Variavel")</f>
        <v>#Jazigo #Variavel</v>
      </c>
      <c r="K598" s="216"/>
      <c r="L598" s="216"/>
      <c r="M598" s="216"/>
      <c r="N598" s="216"/>
      <c r="O598" s="216"/>
      <c r="P598" s="216"/>
      <c r="Q598" s="216"/>
    </row>
    <row r="599">
      <c r="A599" s="11" t="str">
        <f>IFERROR(__xludf.DUMMYFUNCTION("""COMPUTED_VALUE"""),"PAGO")</f>
        <v>PAGO</v>
      </c>
      <c r="B599" s="98" t="str">
        <f>IFERROR(__xludf.DUMMYFUNCTION("""COMPUTED_VALUE"""),"Recarga TIM Cicero 11 948825242")</f>
        <v>Recarga TIM Cicero 11 948825242</v>
      </c>
      <c r="C599" s="13">
        <f>IFERROR(__xludf.DUMMYFUNCTION("""COMPUTED_VALUE"""),12.0)</f>
        <v>12</v>
      </c>
      <c r="D599" s="13" t="str">
        <f>IFERROR(__xludf.DUMMYFUNCTION("""COMPUTED_VALUE"""),"SEG.")</f>
        <v>SEG.</v>
      </c>
      <c r="E599" s="13">
        <f>IFERROR(__xludf.DUMMYFUNCTION("""COMPUTED_VALUE"""),7.0)</f>
        <v>7</v>
      </c>
      <c r="F599" s="15"/>
      <c r="G599" s="16"/>
      <c r="H599" s="227">
        <f>IFERROR(__xludf.DUMMYFUNCTION("""COMPUTED_VALUE"""),20.0)</f>
        <v>20</v>
      </c>
      <c r="I599" s="21" t="str">
        <f>IFERROR(__xludf.DUMMYFUNCTION("""COMPUTED_VALUE"""),"NUBANK")</f>
        <v>NUBANK</v>
      </c>
      <c r="J599" s="21" t="str">
        <f>IFERROR(__xludf.DUMMYFUNCTION("""COMPUTED_VALUE"""),"#Variavel #Recarga #TIM ")</f>
        <v>#Variavel #Recarga #TIM </v>
      </c>
      <c r="K599" s="216"/>
      <c r="L599" s="216"/>
      <c r="M599" s="216"/>
      <c r="N599" s="216"/>
      <c r="O599" s="216"/>
      <c r="P599" s="216"/>
      <c r="Q599" s="216"/>
    </row>
    <row r="600">
      <c r="A600" s="11" t="str">
        <f>IFERROR(__xludf.DUMMYFUNCTION("""COMPUTED_VALUE"""),"PAGO")</f>
        <v>PAGO</v>
      </c>
      <c r="B600" s="98" t="str">
        <f>IFERROR(__xludf.DUMMYFUNCTION("""COMPUTED_VALUE"""),"Resgate reserva de emergencia ")</f>
        <v>Resgate reserva de emergencia </v>
      </c>
      <c r="C600" s="13">
        <f>IFERROR(__xludf.DUMMYFUNCTION("""COMPUTED_VALUE"""),13.0)</f>
        <v>13</v>
      </c>
      <c r="D600" s="13" t="str">
        <f>IFERROR(__xludf.DUMMYFUNCTION("""COMPUTED_VALUE"""),"TER.")</f>
        <v>TER.</v>
      </c>
      <c r="E600" s="13">
        <f>IFERROR(__xludf.DUMMYFUNCTION("""COMPUTED_VALUE"""),7.0)</f>
        <v>7</v>
      </c>
      <c r="F600" s="15"/>
      <c r="G600" s="16">
        <f>IFERROR(__xludf.DUMMYFUNCTION("""COMPUTED_VALUE"""),540.0)</f>
        <v>540</v>
      </c>
      <c r="H600" s="227"/>
      <c r="I600" s="21" t="str">
        <f>IFERROR(__xludf.DUMMYFUNCTION("""COMPUTED_VALUE"""),"NUBANK")</f>
        <v>NUBANK</v>
      </c>
      <c r="J600" s="21" t="str">
        <f>IFERROR(__xludf.DUMMYFUNCTION("""COMPUTED_VALUE"""),"#Resgate #Nubank #Variavel #Boleto")</f>
        <v>#Resgate #Nubank #Variavel #Boleto</v>
      </c>
      <c r="K600" s="216"/>
      <c r="L600" s="216"/>
      <c r="M600" s="216"/>
      <c r="N600" s="216"/>
      <c r="O600" s="216"/>
      <c r="P600" s="216"/>
      <c r="Q600" s="216"/>
    </row>
    <row r="601">
      <c r="A601" s="11" t="str">
        <f>IFERROR(__xludf.DUMMYFUNCTION("""COMPUTED_VALUE"""),"PAGO")</f>
        <v>PAGO</v>
      </c>
      <c r="B601" s="98" t="str">
        <f>IFERROR(__xludf.DUMMYFUNCTION("""COMPUTED_VALUE"""),"Coaching / Psicologa - Candice Oliveira")</f>
        <v>Coaching / Psicologa - Candice Oliveira</v>
      </c>
      <c r="C601" s="13">
        <f>IFERROR(__xludf.DUMMYFUNCTION("""COMPUTED_VALUE"""),14.0)</f>
        <v>14</v>
      </c>
      <c r="D601" s="13" t="str">
        <f>IFERROR(__xludf.DUMMYFUNCTION("""COMPUTED_VALUE"""),"QUA.")</f>
        <v>QUA.</v>
      </c>
      <c r="E601" s="13">
        <f>IFERROR(__xludf.DUMMYFUNCTION("""COMPUTED_VALUE"""),7.0)</f>
        <v>7</v>
      </c>
      <c r="F601" s="15"/>
      <c r="G601" s="16"/>
      <c r="H601" s="227">
        <f>IFERROR(__xludf.DUMMYFUNCTION("""COMPUTED_VALUE"""),100.0)</f>
        <v>100</v>
      </c>
      <c r="I601" s="21" t="str">
        <f>IFERROR(__xludf.DUMMYFUNCTION("""COMPUTED_VALUE"""),"NUBANK")</f>
        <v>NUBANK</v>
      </c>
      <c r="J601" s="21" t="str">
        <f>IFERROR(__xludf.DUMMYFUNCTION("""COMPUTED_VALUE"""),"#Coaching #Fixo")</f>
        <v>#Coaching #Fixo</v>
      </c>
      <c r="K601" s="216"/>
      <c r="L601" s="216"/>
      <c r="M601" s="216"/>
      <c r="N601" s="216"/>
      <c r="O601" s="216"/>
      <c r="P601" s="216"/>
      <c r="Q601" s="216"/>
    </row>
    <row r="602">
      <c r="A602" s="11" t="str">
        <f>IFERROR(__xludf.DUMMYFUNCTION("""COMPUTED_VALUE"""),"PAGO")</f>
        <v>PAGO</v>
      </c>
      <c r="B602" s="98" t="str">
        <f>IFERROR(__xludf.DUMMYFUNCTION("""COMPUTED_VALUE"""),"Salario - IBM")</f>
        <v>Salario - IBM</v>
      </c>
      <c r="C602" s="13">
        <f>IFERROR(__xludf.DUMMYFUNCTION("""COMPUTED_VALUE"""),15.0)</f>
        <v>15</v>
      </c>
      <c r="D602" s="13" t="str">
        <f>IFERROR(__xludf.DUMMYFUNCTION("""COMPUTED_VALUE"""),"QUI.")</f>
        <v>QUI.</v>
      </c>
      <c r="E602" s="13">
        <f>IFERROR(__xludf.DUMMYFUNCTION("""COMPUTED_VALUE"""),7.0)</f>
        <v>7</v>
      </c>
      <c r="F602" s="15"/>
      <c r="G602" s="16">
        <f>IFERROR(__xludf.DUMMYFUNCTION("""COMPUTED_VALUE"""),5000.0)</f>
        <v>5000</v>
      </c>
      <c r="H602" s="227"/>
      <c r="I602" s="21" t="str">
        <f>IFERROR(__xludf.DUMMYFUNCTION("""COMPUTED_VALUE"""),"SANTANDER")</f>
        <v>SANTANDER</v>
      </c>
      <c r="J602" s="21" t="str">
        <f>IFERROR(__xludf.DUMMYFUNCTION("""COMPUTED_VALUE"""),"#Recebimentos #Salario #Fixo")</f>
        <v>#Recebimentos #Salario #Fixo</v>
      </c>
      <c r="K602" s="216"/>
      <c r="L602" s="216"/>
      <c r="M602" s="216"/>
      <c r="N602" s="216"/>
      <c r="O602" s="216"/>
      <c r="P602" s="216"/>
      <c r="Q602" s="216"/>
    </row>
    <row r="603">
      <c r="A603" s="11" t="str">
        <f>IFERROR(__xludf.DUMMYFUNCTION("""COMPUTED_VALUE"""),"CONTAS")</f>
        <v>CONTAS</v>
      </c>
      <c r="B603" s="98" t="str">
        <f>IFERROR(__xludf.DUMMYFUNCTION("""COMPUTED_VALUE"""),"Transferencia via PIX")</f>
        <v>Transferencia via PIX</v>
      </c>
      <c r="C603" s="13">
        <f>IFERROR(__xludf.DUMMYFUNCTION("""COMPUTED_VALUE"""),15.0)</f>
        <v>15</v>
      </c>
      <c r="D603" s="13" t="str">
        <f>IFERROR(__xludf.DUMMYFUNCTION("""COMPUTED_VALUE"""),"QUI.")</f>
        <v>QUI.</v>
      </c>
      <c r="E603" s="13">
        <f>IFERROR(__xludf.DUMMYFUNCTION("""COMPUTED_VALUE"""),7.0)</f>
        <v>7</v>
      </c>
      <c r="F603" s="15"/>
      <c r="G603" s="16"/>
      <c r="H603" s="227">
        <f>IFERROR(__xludf.DUMMYFUNCTION("""COMPUTED_VALUE"""),5000.0)</f>
        <v>5000</v>
      </c>
      <c r="I603" s="21" t="str">
        <f>IFERROR(__xludf.DUMMYFUNCTION("""COMPUTED_VALUE"""),"SANTANDER")</f>
        <v>SANTANDER</v>
      </c>
      <c r="J603" s="21"/>
      <c r="K603" s="216"/>
      <c r="L603" s="216"/>
      <c r="M603" s="216"/>
      <c r="N603" s="216"/>
      <c r="O603" s="216"/>
      <c r="P603" s="216"/>
      <c r="Q603" s="216"/>
    </row>
    <row r="604">
      <c r="A604" s="11" t="str">
        <f>IFERROR(__xludf.DUMMYFUNCTION("""COMPUTED_VALUE"""),"CONTAS")</f>
        <v>CONTAS</v>
      </c>
      <c r="B604" s="98" t="str">
        <f>IFERROR(__xludf.DUMMYFUNCTION("""COMPUTED_VALUE"""),"Recebimento via PIX")</f>
        <v>Recebimento via PIX</v>
      </c>
      <c r="C604" s="13">
        <f>IFERROR(__xludf.DUMMYFUNCTION("""COMPUTED_VALUE"""),15.0)</f>
        <v>15</v>
      </c>
      <c r="D604" s="13" t="str">
        <f>IFERROR(__xludf.DUMMYFUNCTION("""COMPUTED_VALUE"""),"QUI.")</f>
        <v>QUI.</v>
      </c>
      <c r="E604" s="13">
        <f>IFERROR(__xludf.DUMMYFUNCTION("""COMPUTED_VALUE"""),7.0)</f>
        <v>7</v>
      </c>
      <c r="F604" s="15"/>
      <c r="G604" s="16">
        <f>IFERROR(__xludf.DUMMYFUNCTION("""COMPUTED_VALUE"""),5000.0)</f>
        <v>5000</v>
      </c>
      <c r="H604" s="227"/>
      <c r="I604" s="21" t="str">
        <f>IFERROR(__xludf.DUMMYFUNCTION("""COMPUTED_VALUE"""),"NUBANK")</f>
        <v>NUBANK</v>
      </c>
      <c r="J604" s="21"/>
      <c r="K604" s="216"/>
      <c r="L604" s="216"/>
      <c r="M604" s="216"/>
      <c r="N604" s="216"/>
      <c r="O604" s="216"/>
      <c r="P604" s="216"/>
      <c r="Q604" s="216"/>
    </row>
    <row r="605">
      <c r="A605" s="11" t="str">
        <f>IFERROR(__xludf.DUMMYFUNCTION("""COMPUTED_VALUE"""),"PAGO")</f>
        <v>PAGO</v>
      </c>
      <c r="B605" s="98" t="str">
        <f>IFERROR(__xludf.DUMMYFUNCTION("""COMPUTED_VALUE"""),"Convenio Carlos")</f>
        <v>Convenio Carlos</v>
      </c>
      <c r="C605" s="13">
        <f>IFERROR(__xludf.DUMMYFUNCTION("""COMPUTED_VALUE"""),15.0)</f>
        <v>15</v>
      </c>
      <c r="D605" s="13" t="str">
        <f>IFERROR(__xludf.DUMMYFUNCTION("""COMPUTED_VALUE"""),"QUI.")</f>
        <v>QUI.</v>
      </c>
      <c r="E605" s="13">
        <f>IFERROR(__xludf.DUMMYFUNCTION("""COMPUTED_VALUE"""),7.0)</f>
        <v>7</v>
      </c>
      <c r="F605" s="15">
        <f>IFERROR(__xludf.DUMMYFUNCTION("""COMPUTED_VALUE"""),44384.0)</f>
        <v>44384</v>
      </c>
      <c r="G605" s="16"/>
      <c r="H605" s="227">
        <f>IFERROR(__xludf.DUMMYFUNCTION("""COMPUTED_VALUE"""),208.7)</f>
        <v>208.7</v>
      </c>
      <c r="I605" s="21" t="str">
        <f>IFERROR(__xludf.DUMMYFUNCTION("""COMPUTED_VALUE"""),"NUBANK")</f>
        <v>NUBANK</v>
      </c>
      <c r="J605" s="21" t="str">
        <f>IFERROR(__xludf.DUMMYFUNCTION("""COMPUTED_VALUE"""),"#Essencial #Saude #Convenio #Familia #Fixo #Carlos")</f>
        <v>#Essencial #Saude #Convenio #Familia #Fixo #Carlos</v>
      </c>
      <c r="K605" s="216"/>
      <c r="L605" s="216"/>
      <c r="M605" s="216"/>
      <c r="N605" s="216"/>
      <c r="O605" s="216"/>
      <c r="P605" s="216"/>
      <c r="Q605" s="216"/>
    </row>
    <row r="606">
      <c r="A606" s="11" t="str">
        <f>IFERROR(__xludf.DUMMYFUNCTION("""COMPUTED_VALUE"""),"PAGO")</f>
        <v>PAGO</v>
      </c>
      <c r="B606" s="98" t="str">
        <f>IFERROR(__xludf.DUMMYFUNCTION("""COMPUTED_VALUE"""),"Convenio Eduardo")</f>
        <v>Convenio Eduardo</v>
      </c>
      <c r="C606" s="13">
        <f>IFERROR(__xludf.DUMMYFUNCTION("""COMPUTED_VALUE"""),15.0)</f>
        <v>15</v>
      </c>
      <c r="D606" s="13" t="str">
        <f>IFERROR(__xludf.DUMMYFUNCTION("""COMPUTED_VALUE"""),"QUI.")</f>
        <v>QUI.</v>
      </c>
      <c r="E606" s="13">
        <f>IFERROR(__xludf.DUMMYFUNCTION("""COMPUTED_VALUE"""),7.0)</f>
        <v>7</v>
      </c>
      <c r="F606" s="15">
        <f>IFERROR(__xludf.DUMMYFUNCTION("""COMPUTED_VALUE"""),44384.0)</f>
        <v>44384</v>
      </c>
      <c r="G606" s="16"/>
      <c r="H606" s="227">
        <f>IFERROR(__xludf.DUMMYFUNCTION("""COMPUTED_VALUE"""),208.7)</f>
        <v>208.7</v>
      </c>
      <c r="I606" s="21" t="str">
        <f>IFERROR(__xludf.DUMMYFUNCTION("""COMPUTED_VALUE"""),"NUBANK")</f>
        <v>NUBANK</v>
      </c>
      <c r="J606" s="21" t="str">
        <f>IFERROR(__xludf.DUMMYFUNCTION("""COMPUTED_VALUE"""),"#Essencial #Saude #Convenio #Familia #Fixo #Eduardo")</f>
        <v>#Essencial #Saude #Convenio #Familia #Fixo #Eduardo</v>
      </c>
      <c r="K606" s="216"/>
      <c r="L606" s="216"/>
      <c r="M606" s="216"/>
      <c r="N606" s="216"/>
      <c r="O606" s="216"/>
      <c r="P606" s="216"/>
      <c r="Q606" s="216"/>
    </row>
    <row r="607">
      <c r="A607" s="11" t="str">
        <f>IFERROR(__xludf.DUMMYFUNCTION("""COMPUTED_VALUE"""),"PAGO")</f>
        <v>PAGO</v>
      </c>
      <c r="B607" s="98" t="str">
        <f>IFERROR(__xludf.DUMMYFUNCTION("""COMPUTED_VALUE"""),"Convenio Roberta")</f>
        <v>Convenio Roberta</v>
      </c>
      <c r="C607" s="13">
        <f>IFERROR(__xludf.DUMMYFUNCTION("""COMPUTED_VALUE"""),15.0)</f>
        <v>15</v>
      </c>
      <c r="D607" s="13" t="str">
        <f>IFERROR(__xludf.DUMMYFUNCTION("""COMPUTED_VALUE"""),"QUI.")</f>
        <v>QUI.</v>
      </c>
      <c r="E607" s="13">
        <f>IFERROR(__xludf.DUMMYFUNCTION("""COMPUTED_VALUE"""),7.0)</f>
        <v>7</v>
      </c>
      <c r="F607" s="15">
        <f>IFERROR(__xludf.DUMMYFUNCTION("""COMPUTED_VALUE"""),44384.0)</f>
        <v>44384</v>
      </c>
      <c r="G607" s="16"/>
      <c r="H607" s="227">
        <f>IFERROR(__xludf.DUMMYFUNCTION("""COMPUTED_VALUE"""),263.88)</f>
        <v>263.88</v>
      </c>
      <c r="I607" s="21" t="str">
        <f>IFERROR(__xludf.DUMMYFUNCTION("""COMPUTED_VALUE"""),"NUBANK")</f>
        <v>NUBANK</v>
      </c>
      <c r="J607" s="21" t="str">
        <f>IFERROR(__xludf.DUMMYFUNCTION("""COMPUTED_VALUE"""),"#Essencial #Saude #Convenio #Familia #Fixo #Roberta")</f>
        <v>#Essencial #Saude #Convenio #Familia #Fixo #Roberta</v>
      </c>
      <c r="K607" s="216"/>
      <c r="L607" s="216"/>
      <c r="M607" s="216"/>
      <c r="N607" s="216"/>
      <c r="O607" s="216"/>
      <c r="P607" s="216"/>
      <c r="Q607" s="216"/>
    </row>
    <row r="608">
      <c r="A608" s="11" t="str">
        <f>IFERROR(__xludf.DUMMYFUNCTION("""COMPUTED_VALUE"""),"PAGO")</f>
        <v>PAGO</v>
      </c>
      <c r="B608" s="98" t="str">
        <f>IFERROR(__xludf.DUMMYFUNCTION("""COMPUTED_VALUE"""),"Levitar SJC - sorvetes")</f>
        <v>Levitar SJC - sorvetes</v>
      </c>
      <c r="C608" s="13">
        <f>IFERROR(__xludf.DUMMYFUNCTION("""COMPUTED_VALUE"""),15.0)</f>
        <v>15</v>
      </c>
      <c r="D608" s="13" t="str">
        <f>IFERROR(__xludf.DUMMYFUNCTION("""COMPUTED_VALUE"""),"QUI.")</f>
        <v>QUI.</v>
      </c>
      <c r="E608" s="13">
        <f>IFERROR(__xludf.DUMMYFUNCTION("""COMPUTED_VALUE"""),7.0)</f>
        <v>7</v>
      </c>
      <c r="F608" s="15"/>
      <c r="G608" s="16"/>
      <c r="H608" s="227">
        <f>IFERROR(__xludf.DUMMYFUNCTION("""COMPUTED_VALUE"""),38.0)</f>
        <v>38</v>
      </c>
      <c r="I608" s="21" t="str">
        <f>IFERROR(__xludf.DUMMYFUNCTION("""COMPUTED_VALUE"""),"NUBANK")</f>
        <v>NUBANK</v>
      </c>
      <c r="J608" s="21" t="str">
        <f>IFERROR(__xludf.DUMMYFUNCTION("""COMPUTED_VALUE"""),"#Lazer #Comida #Variavel")</f>
        <v>#Lazer #Comida #Variavel</v>
      </c>
      <c r="K608" s="216"/>
      <c r="L608" s="216"/>
      <c r="M608" s="216"/>
      <c r="N608" s="216"/>
      <c r="O608" s="216"/>
      <c r="P608" s="216"/>
      <c r="Q608" s="216"/>
    </row>
    <row r="609">
      <c r="A609" s="11" t="str">
        <f>IFERROR(__xludf.DUMMYFUNCTION("""COMPUTED_VALUE"""),"PAGO")</f>
        <v>PAGO</v>
      </c>
      <c r="B609" s="98" t="str">
        <f>IFERROR(__xludf.DUMMYFUNCTION("""COMPUTED_VALUE"""),"NOBILIS CONTABILIDADE - CANCELAMENTO DA EMPRESA")</f>
        <v>NOBILIS CONTABILIDADE - CANCELAMENTO DA EMPRESA</v>
      </c>
      <c r="C609" s="13">
        <f>IFERROR(__xludf.DUMMYFUNCTION("""COMPUTED_VALUE"""),15.0)</f>
        <v>15</v>
      </c>
      <c r="D609" s="13" t="str">
        <f>IFERROR(__xludf.DUMMYFUNCTION("""COMPUTED_VALUE"""),"QUI.")</f>
        <v>QUI.</v>
      </c>
      <c r="E609" s="13">
        <f>IFERROR(__xludf.DUMMYFUNCTION("""COMPUTED_VALUE"""),7.0)</f>
        <v>7</v>
      </c>
      <c r="F609" s="15"/>
      <c r="G609" s="16"/>
      <c r="H609" s="227">
        <f>IFERROR(__xludf.DUMMYFUNCTION("""COMPUTED_VALUE"""),750.0)</f>
        <v>750</v>
      </c>
      <c r="I609" s="21" t="str">
        <f>IFERROR(__xludf.DUMMYFUNCTION("""COMPUTED_VALUE"""),"NUBANK")</f>
        <v>NUBANK</v>
      </c>
      <c r="J609" s="21" t="str">
        <f>IFERROR(__xludf.DUMMYFUNCTION("""COMPUTED_VALUE"""),"#Fixo #Contador ")</f>
        <v>#Fixo #Contador </v>
      </c>
      <c r="K609" s="216"/>
      <c r="L609" s="216"/>
      <c r="M609" s="216"/>
      <c r="N609" s="216"/>
      <c r="O609" s="216"/>
      <c r="P609" s="216"/>
      <c r="Q609" s="216"/>
    </row>
    <row r="610">
      <c r="A610" s="11" t="str">
        <f>IFERROR(__xludf.DUMMYFUNCTION("""COMPUTED_VALUE"""),"PAGO")</f>
        <v>PAGO</v>
      </c>
      <c r="B610" s="98" t="str">
        <f>IFERROR(__xludf.DUMMYFUNCTION("""COMPUTED_VALUE"""),"Entrada prestação casa de Itaquera")</f>
        <v>Entrada prestação casa de Itaquera</v>
      </c>
      <c r="C610" s="13">
        <f>IFERROR(__xludf.DUMMYFUNCTION("""COMPUTED_VALUE"""),15.0)</f>
        <v>15</v>
      </c>
      <c r="D610" s="13" t="str">
        <f>IFERROR(__xludf.DUMMYFUNCTION("""COMPUTED_VALUE"""),"QUI.")</f>
        <v>QUI.</v>
      </c>
      <c r="E610" s="13">
        <f>IFERROR(__xludf.DUMMYFUNCTION("""COMPUTED_VALUE"""),7.0)</f>
        <v>7</v>
      </c>
      <c r="F610" s="15"/>
      <c r="G610" s="16">
        <f>IFERROR(__xludf.DUMMYFUNCTION("""COMPUTED_VALUE"""),2500.0)</f>
        <v>2500</v>
      </c>
      <c r="H610" s="227"/>
      <c r="I610" s="21" t="str">
        <f>IFERROR(__xludf.DUMMYFUNCTION("""COMPUTED_VALUE"""),"INTER")</f>
        <v>INTER</v>
      </c>
      <c r="J610" s="21" t="str">
        <f>IFERROR(__xludf.DUMMYFUNCTION("""COMPUTED_VALUE"""),"#Recebimentos #Prestação #Itaquera #Inter #Variavel")</f>
        <v>#Recebimentos #Prestação #Itaquera #Inter #Variavel</v>
      </c>
      <c r="K610" s="216"/>
      <c r="L610" s="216"/>
      <c r="M610" s="216"/>
      <c r="N610" s="216"/>
      <c r="O610" s="216"/>
      <c r="P610" s="216"/>
      <c r="Q610" s="216"/>
    </row>
    <row r="611">
      <c r="A611" s="11" t="str">
        <f>IFERROR(__xludf.DUMMYFUNCTION("""COMPUTED_VALUE"""),"CONTAS")</f>
        <v>CONTAS</v>
      </c>
      <c r="B611" s="98" t="str">
        <f>IFERROR(__xludf.DUMMYFUNCTION("""COMPUTED_VALUE"""),"Transferencia via PIX")</f>
        <v>Transferencia via PIX</v>
      </c>
      <c r="C611" s="13">
        <f>IFERROR(__xludf.DUMMYFUNCTION("""COMPUTED_VALUE"""),15.0)</f>
        <v>15</v>
      </c>
      <c r="D611" s="13" t="str">
        <f>IFERROR(__xludf.DUMMYFUNCTION("""COMPUTED_VALUE"""),"QUI.")</f>
        <v>QUI.</v>
      </c>
      <c r="E611" s="13">
        <f>IFERROR(__xludf.DUMMYFUNCTION("""COMPUTED_VALUE"""),7.0)</f>
        <v>7</v>
      </c>
      <c r="F611" s="15"/>
      <c r="G611" s="16"/>
      <c r="H611" s="227">
        <f>IFERROR(__xludf.DUMMYFUNCTION("""COMPUTED_VALUE"""),2500.0)</f>
        <v>2500</v>
      </c>
      <c r="I611" s="21" t="str">
        <f>IFERROR(__xludf.DUMMYFUNCTION("""COMPUTED_VALUE"""),"INTER")</f>
        <v>INTER</v>
      </c>
      <c r="J611" s="21"/>
      <c r="K611" s="216"/>
      <c r="L611" s="216"/>
      <c r="M611" s="216"/>
      <c r="N611" s="216"/>
      <c r="O611" s="216"/>
      <c r="P611" s="216"/>
      <c r="Q611" s="216"/>
    </row>
    <row r="612">
      <c r="A612" s="11" t="str">
        <f>IFERROR(__xludf.DUMMYFUNCTION("""COMPUTED_VALUE"""),"CONTAS")</f>
        <v>CONTAS</v>
      </c>
      <c r="B612" s="98" t="str">
        <f>IFERROR(__xludf.DUMMYFUNCTION("""COMPUTED_VALUE"""),"Recebimento via PIX")</f>
        <v>Recebimento via PIX</v>
      </c>
      <c r="C612" s="13">
        <f>IFERROR(__xludf.DUMMYFUNCTION("""COMPUTED_VALUE"""),15.0)</f>
        <v>15</v>
      </c>
      <c r="D612" s="13" t="str">
        <f>IFERROR(__xludf.DUMMYFUNCTION("""COMPUTED_VALUE"""),"QUI.")</f>
        <v>QUI.</v>
      </c>
      <c r="E612" s="13">
        <f>IFERROR(__xludf.DUMMYFUNCTION("""COMPUTED_VALUE"""),7.0)</f>
        <v>7</v>
      </c>
      <c r="F612" s="15"/>
      <c r="G612" s="16">
        <f>IFERROR(__xludf.DUMMYFUNCTION("""COMPUTED_VALUE"""),2500.0)</f>
        <v>2500</v>
      </c>
      <c r="H612" s="227"/>
      <c r="I612" s="21" t="str">
        <f>IFERROR(__xludf.DUMMYFUNCTION("""COMPUTED_VALUE"""),"NUBANK")</f>
        <v>NUBANK</v>
      </c>
      <c r="J612" s="21"/>
      <c r="K612" s="216"/>
      <c r="L612" s="216"/>
      <c r="M612" s="216"/>
      <c r="N612" s="216"/>
      <c r="O612" s="216"/>
      <c r="P612" s="216"/>
      <c r="Q612" s="216"/>
    </row>
    <row r="613">
      <c r="A613" s="11" t="str">
        <f>IFERROR(__xludf.DUMMYFUNCTION("""COMPUTED_VALUE"""),"PAGO")</f>
        <v>PAGO</v>
      </c>
      <c r="B613" s="98" t="str">
        <f>IFERROR(__xludf.DUMMYFUNCTION("""COMPUTED_VALUE"""),"Transferi para investimento - Nubank")</f>
        <v>Transferi para investimento - Nubank</v>
      </c>
      <c r="C613" s="13">
        <f>IFERROR(__xludf.DUMMYFUNCTION("""COMPUTED_VALUE"""),15.0)</f>
        <v>15</v>
      </c>
      <c r="D613" s="13" t="str">
        <f>IFERROR(__xludf.DUMMYFUNCTION("""COMPUTED_VALUE"""),"QUI.")</f>
        <v>QUI.</v>
      </c>
      <c r="E613" s="13">
        <f>IFERROR(__xludf.DUMMYFUNCTION("""COMPUTED_VALUE"""),7.0)</f>
        <v>7</v>
      </c>
      <c r="F613" s="15"/>
      <c r="G613" s="16"/>
      <c r="H613" s="227">
        <f>IFERROR(__xludf.DUMMYFUNCTION("""COMPUTED_VALUE"""),2500.0)</f>
        <v>2500</v>
      </c>
      <c r="I613" s="21" t="str">
        <f>IFERROR(__xludf.DUMMYFUNCTION("""COMPUTED_VALUE"""),"NUBANK")</f>
        <v>NUBANK</v>
      </c>
      <c r="J613" s="21" t="str">
        <f>IFERROR(__xludf.DUMMYFUNCTION("""COMPUTED_VALUE"""),"#Transferencia #Investimento #Variavel #Nubank")</f>
        <v>#Transferencia #Investimento #Variavel #Nubank</v>
      </c>
      <c r="K613" s="216"/>
      <c r="L613" s="216"/>
      <c r="M613" s="216"/>
      <c r="N613" s="216"/>
      <c r="O613" s="216"/>
      <c r="P613" s="216"/>
      <c r="Q613" s="216"/>
    </row>
    <row r="614">
      <c r="A614" s="11" t="str">
        <f>IFERROR(__xludf.DUMMYFUNCTION("""COMPUTED_VALUE"""),"PAGO")</f>
        <v>PAGO</v>
      </c>
      <c r="B614" s="98" t="str">
        <f>IFERROR(__xludf.DUMMYFUNCTION("""COMPUTED_VALUE"""),"Transferencia via PIX - Roberta (curso emagrecimento)")</f>
        <v>Transferencia via PIX - Roberta (curso emagrecimento)</v>
      </c>
      <c r="C614" s="13">
        <f>IFERROR(__xludf.DUMMYFUNCTION("""COMPUTED_VALUE"""),15.0)</f>
        <v>15</v>
      </c>
      <c r="D614" s="13" t="str">
        <f>IFERROR(__xludf.DUMMYFUNCTION("""COMPUTED_VALUE"""),"QUI.")</f>
        <v>QUI.</v>
      </c>
      <c r="E614" s="13">
        <f>IFERROR(__xludf.DUMMYFUNCTION("""COMPUTED_VALUE"""),7.0)</f>
        <v>7</v>
      </c>
      <c r="F614" s="15"/>
      <c r="G614" s="16"/>
      <c r="H614" s="227">
        <f>IFERROR(__xludf.DUMMYFUNCTION("""COMPUTED_VALUE"""),497.0)</f>
        <v>497</v>
      </c>
      <c r="I614" s="21" t="str">
        <f>IFERROR(__xludf.DUMMYFUNCTION("""COMPUTED_VALUE"""),"NUBANK")</f>
        <v>NUBANK</v>
      </c>
      <c r="J614" s="21" t="str">
        <f>IFERROR(__xludf.DUMMYFUNCTION("""COMPUTED_VALUE"""),"#Roberta #Curso #Variavel")</f>
        <v>#Roberta #Curso #Variavel</v>
      </c>
      <c r="K614" s="216"/>
      <c r="L614" s="216"/>
      <c r="M614" s="216"/>
      <c r="N614" s="216"/>
      <c r="O614" s="216"/>
      <c r="P614" s="216"/>
      <c r="Q614" s="216"/>
    </row>
    <row r="615">
      <c r="A615" s="11" t="str">
        <f>IFERROR(__xludf.DUMMYFUNCTION("""COMPUTED_VALUE"""),"PAGO")</f>
        <v>PAGO</v>
      </c>
      <c r="B615" s="98" t="str">
        <f>IFERROR(__xludf.DUMMYFUNCTION("""COMPUTED_VALUE"""),"Shibata - Pizza")</f>
        <v>Shibata - Pizza</v>
      </c>
      <c r="C615" s="13">
        <f>IFERROR(__xludf.DUMMYFUNCTION("""COMPUTED_VALUE"""),16.0)</f>
        <v>16</v>
      </c>
      <c r="D615" s="13" t="str">
        <f>IFERROR(__xludf.DUMMYFUNCTION("""COMPUTED_VALUE"""),"SEX.")</f>
        <v>SEX.</v>
      </c>
      <c r="E615" s="13">
        <f>IFERROR(__xludf.DUMMYFUNCTION("""COMPUTED_VALUE"""),7.0)</f>
        <v>7</v>
      </c>
      <c r="F615" s="15"/>
      <c r="G615" s="16"/>
      <c r="H615" s="227">
        <f>IFERROR(__xludf.DUMMYFUNCTION("""COMPUTED_VALUE"""),61.8)</f>
        <v>61.8</v>
      </c>
      <c r="I615" s="21" t="str">
        <f>IFERROR(__xludf.DUMMYFUNCTION("""COMPUTED_VALUE"""),"NUBANK")</f>
        <v>NUBANK</v>
      </c>
      <c r="J615" s="21" t="str">
        <f>IFERROR(__xludf.DUMMYFUNCTION("""COMPUTED_VALUE"""),"#Lazer #Comida #Variavel")</f>
        <v>#Lazer #Comida #Variavel</v>
      </c>
      <c r="K615" s="216"/>
      <c r="L615" s="216"/>
      <c r="M615" s="216"/>
      <c r="N615" s="216"/>
      <c r="O615" s="216"/>
      <c r="P615" s="216"/>
      <c r="Q615" s="216"/>
    </row>
    <row r="616">
      <c r="A616" s="11" t="str">
        <f>IFERROR(__xludf.DUMMYFUNCTION("""COMPUTED_VALUE"""),"PAGO")</f>
        <v>PAGO</v>
      </c>
      <c r="B616" s="98" t="str">
        <f>IFERROR(__xludf.DUMMYFUNCTION("""COMPUTED_VALUE"""),"Shibata")</f>
        <v>Shibata</v>
      </c>
      <c r="C616" s="13">
        <f>IFERROR(__xludf.DUMMYFUNCTION("""COMPUTED_VALUE"""),16.0)</f>
        <v>16</v>
      </c>
      <c r="D616" s="13" t="str">
        <f>IFERROR(__xludf.DUMMYFUNCTION("""COMPUTED_VALUE"""),"SEX.")</f>
        <v>SEX.</v>
      </c>
      <c r="E616" s="13">
        <f>IFERROR(__xludf.DUMMYFUNCTION("""COMPUTED_VALUE"""),7.0)</f>
        <v>7</v>
      </c>
      <c r="F616" s="15"/>
      <c r="G616" s="16"/>
      <c r="H616" s="227">
        <f>IFERROR(__xludf.DUMMYFUNCTION("""COMPUTED_VALUE"""),378.82)</f>
        <v>378.82</v>
      </c>
      <c r="I616" s="21" t="str">
        <f>IFERROR(__xludf.DUMMYFUNCTION("""COMPUTED_VALUE"""),"NUBANK")</f>
        <v>NUBANK</v>
      </c>
      <c r="J616" s="21" t="str">
        <f>IFERROR(__xludf.DUMMYFUNCTION("""COMPUTED_VALUE"""),"#Moradia #Essencial #Mercado #Variavel #Alimentação ")</f>
        <v>#Moradia #Essencial #Mercado #Variavel #Alimentação </v>
      </c>
      <c r="K616" s="216"/>
      <c r="L616" s="216"/>
      <c r="M616" s="216"/>
      <c r="N616" s="216"/>
      <c r="O616" s="216"/>
      <c r="P616" s="216"/>
      <c r="Q616" s="216"/>
    </row>
    <row r="617">
      <c r="A617" s="11" t="str">
        <f>IFERROR(__xludf.DUMMYFUNCTION("""COMPUTED_VALUE"""),"CONTAS")</f>
        <v>CONTAS</v>
      </c>
      <c r="B617" s="98" t="str">
        <f>IFERROR(__xludf.DUMMYFUNCTION("""COMPUTED_VALUE"""),"Transferencia via PIX")</f>
        <v>Transferencia via PIX</v>
      </c>
      <c r="C617" s="13">
        <f>IFERROR(__xludf.DUMMYFUNCTION("""COMPUTED_VALUE"""),17.0)</f>
        <v>17</v>
      </c>
      <c r="D617" s="13" t="str">
        <f>IFERROR(__xludf.DUMMYFUNCTION("""COMPUTED_VALUE"""),"SÁB.")</f>
        <v>SÁB.</v>
      </c>
      <c r="E617" s="13">
        <f>IFERROR(__xludf.DUMMYFUNCTION("""COMPUTED_VALUE"""),7.0)</f>
        <v>7</v>
      </c>
      <c r="F617" s="15"/>
      <c r="G617" s="16"/>
      <c r="H617" s="227">
        <f>IFERROR(__xludf.DUMMYFUNCTION("""COMPUTED_VALUE"""),2.73)</f>
        <v>2.73</v>
      </c>
      <c r="I617" s="21" t="str">
        <f>IFERROR(__xludf.DUMMYFUNCTION("""COMPUTED_VALUE"""),"INTER-PJ")</f>
        <v>INTER-PJ</v>
      </c>
      <c r="J617" s="21"/>
      <c r="K617" s="216"/>
      <c r="L617" s="216"/>
      <c r="M617" s="216"/>
      <c r="N617" s="216"/>
      <c r="O617" s="216"/>
      <c r="P617" s="216"/>
      <c r="Q617" s="216"/>
    </row>
    <row r="618">
      <c r="A618" s="11" t="str">
        <f>IFERROR(__xludf.DUMMYFUNCTION("""COMPUTED_VALUE"""),"CONTAS")</f>
        <v>CONTAS</v>
      </c>
      <c r="B618" s="98" t="str">
        <f>IFERROR(__xludf.DUMMYFUNCTION("""COMPUTED_VALUE"""),"Recebimento via PIX")</f>
        <v>Recebimento via PIX</v>
      </c>
      <c r="C618" s="13">
        <f>IFERROR(__xludf.DUMMYFUNCTION("""COMPUTED_VALUE"""),17.0)</f>
        <v>17</v>
      </c>
      <c r="D618" s="13" t="str">
        <f>IFERROR(__xludf.DUMMYFUNCTION("""COMPUTED_VALUE"""),"SÁB.")</f>
        <v>SÁB.</v>
      </c>
      <c r="E618" s="13">
        <f>IFERROR(__xludf.DUMMYFUNCTION("""COMPUTED_VALUE"""),7.0)</f>
        <v>7</v>
      </c>
      <c r="F618" s="15"/>
      <c r="G618" s="16">
        <f>IFERROR(__xludf.DUMMYFUNCTION("""COMPUTED_VALUE"""),2.73)</f>
        <v>2.73</v>
      </c>
      <c r="H618" s="227"/>
      <c r="I618" s="21" t="str">
        <f>IFERROR(__xludf.DUMMYFUNCTION("""COMPUTED_VALUE"""),"NUBANK")</f>
        <v>NUBANK</v>
      </c>
      <c r="J618" s="21"/>
      <c r="K618" s="216"/>
      <c r="L618" s="216"/>
      <c r="M618" s="216"/>
      <c r="N618" s="216"/>
      <c r="O618" s="216"/>
      <c r="P618" s="216"/>
      <c r="Q618" s="216"/>
    </row>
    <row r="619">
      <c r="A619" s="11" t="str">
        <f>IFERROR(__xludf.DUMMYFUNCTION("""COMPUTED_VALUE"""),"PAGO")</f>
        <v>PAGO</v>
      </c>
      <c r="B619" s="98" t="str">
        <f>IFERROR(__xludf.DUMMYFUNCTION("""COMPUTED_VALUE"""),"Devolução/Transferência Resgate reserva de emergencia")</f>
        <v>Devolução/Transferência Resgate reserva de emergencia</v>
      </c>
      <c r="C619" s="13">
        <f>IFERROR(__xludf.DUMMYFUNCTION("""COMPUTED_VALUE"""),11.0)</f>
        <v>11</v>
      </c>
      <c r="D619" s="13" t="str">
        <f>IFERROR(__xludf.DUMMYFUNCTION("""COMPUTED_VALUE"""),"DOM.")</f>
        <v>DOM.</v>
      </c>
      <c r="E619" s="13">
        <f>IFERROR(__xludf.DUMMYFUNCTION("""COMPUTED_VALUE"""),7.0)</f>
        <v>7</v>
      </c>
      <c r="F619" s="15"/>
      <c r="G619" s="16"/>
      <c r="H619" s="227">
        <f>IFERROR(__xludf.DUMMYFUNCTION("""COMPUTED_VALUE"""),540.0)</f>
        <v>540</v>
      </c>
      <c r="I619" s="21" t="str">
        <f>IFERROR(__xludf.DUMMYFUNCTION("""COMPUTED_VALUE"""),"NUBANK")</f>
        <v>NUBANK</v>
      </c>
      <c r="J619" s="21" t="str">
        <f>IFERROR(__xludf.DUMMYFUNCTION("""COMPUTED_VALUE"""),"#Resgate #Nubank #Variavel #AjudaAlmir")</f>
        <v>#Resgate #Nubank #Variavel #AjudaAlmir</v>
      </c>
      <c r="K619" s="216"/>
      <c r="L619" s="216"/>
      <c r="M619" s="216"/>
      <c r="N619" s="216"/>
      <c r="O619" s="216"/>
      <c r="P619" s="216"/>
      <c r="Q619" s="216"/>
    </row>
    <row r="620">
      <c r="A620" s="11" t="str">
        <f>IFERROR(__xludf.DUMMYFUNCTION("""COMPUTED_VALUE"""),"PAGO")</f>
        <v>PAGO</v>
      </c>
      <c r="B620" s="98" t="str">
        <f>IFERROR(__xludf.DUMMYFUNCTION("""COMPUTED_VALUE"""),"Bowling Shibata")</f>
        <v>Bowling Shibata</v>
      </c>
      <c r="C620" s="13">
        <f>IFERROR(__xludf.DUMMYFUNCTION("""COMPUTED_VALUE"""),19.0)</f>
        <v>19</v>
      </c>
      <c r="D620" s="13" t="str">
        <f>IFERROR(__xludf.DUMMYFUNCTION("""COMPUTED_VALUE"""),"SEG.")</f>
        <v>SEG.</v>
      </c>
      <c r="E620" s="13">
        <f>IFERROR(__xludf.DUMMYFUNCTION("""COMPUTED_VALUE"""),7.0)</f>
        <v>7</v>
      </c>
      <c r="F620" s="15"/>
      <c r="G620" s="16"/>
      <c r="H620" s="227">
        <f>IFERROR(__xludf.DUMMYFUNCTION("""COMPUTED_VALUE"""),110.0)</f>
        <v>110</v>
      </c>
      <c r="I620" s="21" t="str">
        <f>IFERROR(__xludf.DUMMYFUNCTION("""COMPUTED_VALUE"""),"NUBANK")</f>
        <v>NUBANK</v>
      </c>
      <c r="J620" s="21" t="str">
        <f>IFERROR(__xludf.DUMMYFUNCTION("""COMPUTED_VALUE"""),"#Lazer #Shopping #Variavel")</f>
        <v>#Lazer #Shopping #Variavel</v>
      </c>
      <c r="K620" s="216"/>
      <c r="L620" s="216"/>
      <c r="M620" s="216"/>
      <c r="N620" s="216"/>
      <c r="O620" s="216"/>
      <c r="P620" s="216"/>
      <c r="Q620" s="216"/>
    </row>
    <row r="621">
      <c r="A621" s="11" t="str">
        <f>IFERROR(__xludf.DUMMYFUNCTION("""COMPUTED_VALUE"""),"PAGO")</f>
        <v>PAGO</v>
      </c>
      <c r="B621" s="98" t="str">
        <f>IFERROR(__xludf.DUMMYFUNCTION("""COMPUTED_VALUE"""),"Balões Shibata")</f>
        <v>Balões Shibata</v>
      </c>
      <c r="C621" s="13">
        <f>IFERROR(__xludf.DUMMYFUNCTION("""COMPUTED_VALUE"""),19.0)</f>
        <v>19</v>
      </c>
      <c r="D621" s="13" t="str">
        <f>IFERROR(__xludf.DUMMYFUNCTION("""COMPUTED_VALUE"""),"SEG.")</f>
        <v>SEG.</v>
      </c>
      <c r="E621" s="13">
        <f>IFERROR(__xludf.DUMMYFUNCTION("""COMPUTED_VALUE"""),7.0)</f>
        <v>7</v>
      </c>
      <c r="F621" s="15"/>
      <c r="G621" s="16"/>
      <c r="H621" s="227">
        <f>IFERROR(__xludf.DUMMYFUNCTION("""COMPUTED_VALUE"""),30.0)</f>
        <v>30</v>
      </c>
      <c r="I621" s="21" t="str">
        <f>IFERROR(__xludf.DUMMYFUNCTION("""COMPUTED_VALUE"""),"NUBANK")</f>
        <v>NUBANK</v>
      </c>
      <c r="J621" s="21" t="str">
        <f>IFERROR(__xludf.DUMMYFUNCTION("""COMPUTED_VALUE"""),"#Lazer #Shopping #Variavel")</f>
        <v>#Lazer #Shopping #Variavel</v>
      </c>
      <c r="K621" s="216"/>
      <c r="L621" s="216"/>
      <c r="M621" s="216"/>
      <c r="N621" s="216"/>
      <c r="O621" s="216"/>
      <c r="P621" s="216"/>
      <c r="Q621" s="216"/>
    </row>
    <row r="622">
      <c r="A622" s="11" t="str">
        <f>IFERROR(__xludf.DUMMYFUNCTION("""COMPUTED_VALUE"""),"PAGO")</f>
        <v>PAGO</v>
      </c>
      <c r="B622" s="98" t="str">
        <f>IFERROR(__xludf.DUMMYFUNCTION("""COMPUTED_VALUE"""),"Shibata - Aniversário Cicero")</f>
        <v>Shibata - Aniversário Cicero</v>
      </c>
      <c r="C622" s="13">
        <f>IFERROR(__xludf.DUMMYFUNCTION("""COMPUTED_VALUE"""),19.0)</f>
        <v>19</v>
      </c>
      <c r="D622" s="13" t="str">
        <f>IFERROR(__xludf.DUMMYFUNCTION("""COMPUTED_VALUE"""),"SEG.")</f>
        <v>SEG.</v>
      </c>
      <c r="E622" s="13">
        <f>IFERROR(__xludf.DUMMYFUNCTION("""COMPUTED_VALUE"""),7.0)</f>
        <v>7</v>
      </c>
      <c r="F622" s="15"/>
      <c r="G622" s="16"/>
      <c r="H622" s="227">
        <f>IFERROR(__xludf.DUMMYFUNCTION("""COMPUTED_VALUE"""),157.62)</f>
        <v>157.62</v>
      </c>
      <c r="I622" s="21" t="str">
        <f>IFERROR(__xludf.DUMMYFUNCTION("""COMPUTED_VALUE"""),"SODEXO-ALI-IBM")</f>
        <v>SODEXO-ALI-IBM</v>
      </c>
      <c r="J622" s="21" t="str">
        <f>IFERROR(__xludf.DUMMYFUNCTION("""COMPUTED_VALUE"""),"#Lazer #Mercado #Variavel #Alimentação #Cicero")</f>
        <v>#Lazer #Mercado #Variavel #Alimentação #Cicero</v>
      </c>
      <c r="K622" s="216"/>
      <c r="L622" s="216"/>
      <c r="M622" s="216"/>
      <c r="N622" s="216"/>
      <c r="O622" s="216"/>
      <c r="P622" s="216"/>
      <c r="Q622" s="216"/>
    </row>
    <row r="623">
      <c r="A623" s="11" t="str">
        <f>IFERROR(__xludf.DUMMYFUNCTION("""COMPUTED_VALUE"""),"PAGO")</f>
        <v>PAGO</v>
      </c>
      <c r="B623" s="98" t="str">
        <f>IFERROR(__xludf.DUMMYFUNCTION("""COMPUTED_VALUE"""),"Convenio Cicero")</f>
        <v>Convenio Cicero</v>
      </c>
      <c r="C623" s="13">
        <f>IFERROR(__xludf.DUMMYFUNCTION("""COMPUTED_VALUE"""),20.0)</f>
        <v>20</v>
      </c>
      <c r="D623" s="13" t="str">
        <f>IFERROR(__xludf.DUMMYFUNCTION("""COMPUTED_VALUE"""),"TER.")</f>
        <v>TER.</v>
      </c>
      <c r="E623" s="13">
        <f>IFERROR(__xludf.DUMMYFUNCTION("""COMPUTED_VALUE"""),7.0)</f>
        <v>7</v>
      </c>
      <c r="F623" s="15">
        <f>IFERROR(__xludf.DUMMYFUNCTION("""COMPUTED_VALUE"""),44384.0)</f>
        <v>44384</v>
      </c>
      <c r="G623" s="16"/>
      <c r="H623" s="227">
        <f>IFERROR(__xludf.DUMMYFUNCTION("""COMPUTED_VALUE"""),373.41)</f>
        <v>373.41</v>
      </c>
      <c r="I623" s="21" t="str">
        <f>IFERROR(__xludf.DUMMYFUNCTION("""COMPUTED_VALUE"""),"NUBANK")</f>
        <v>NUBANK</v>
      </c>
      <c r="J623" s="21" t="str">
        <f>IFERROR(__xludf.DUMMYFUNCTION("""COMPUTED_VALUE"""),"#Essencial #Saude #Convenio #Familia #Cicero #Fixo ")</f>
        <v>#Essencial #Saude #Convenio #Familia #Cicero #Fixo </v>
      </c>
      <c r="K623" s="216"/>
      <c r="L623" s="216"/>
      <c r="M623" s="216"/>
      <c r="N623" s="216"/>
      <c r="O623" s="216"/>
      <c r="P623" s="216"/>
      <c r="Q623" s="216"/>
    </row>
    <row r="624">
      <c r="A624" s="11" t="str">
        <f>IFERROR(__xludf.DUMMYFUNCTION("""COMPUTED_VALUE"""),"PAGO")</f>
        <v>PAGO</v>
      </c>
      <c r="B624" s="98" t="str">
        <f>IFERROR(__xludf.DUMMYFUNCTION("""COMPUTED_VALUE"""),"Transferência via PIX - PNEUSTORE - Pneu Cinturato P1 - 175/70 R14 84T")</f>
        <v>Transferência via PIX - PNEUSTORE - Pneu Cinturato P1 - 175/70 R14 84T</v>
      </c>
      <c r="C624" s="13">
        <f>IFERROR(__xludf.DUMMYFUNCTION("""COMPUTED_VALUE"""),20.0)</f>
        <v>20</v>
      </c>
      <c r="D624" s="13" t="str">
        <f>IFERROR(__xludf.DUMMYFUNCTION("""COMPUTED_VALUE"""),"TER.")</f>
        <v>TER.</v>
      </c>
      <c r="E624" s="13">
        <f>IFERROR(__xludf.DUMMYFUNCTION("""COMPUTED_VALUE"""),7.0)</f>
        <v>7</v>
      </c>
      <c r="F624" s="15"/>
      <c r="G624" s="16"/>
      <c r="H624" s="227">
        <f>IFERROR(__xludf.DUMMYFUNCTION("""COMPUTED_VALUE"""),718.2)</f>
        <v>718.2</v>
      </c>
      <c r="I624" s="21" t="str">
        <f>IFERROR(__xludf.DUMMYFUNCTION("""COMPUTED_VALUE"""),"NUBANK")</f>
        <v>NUBANK</v>
      </c>
      <c r="J624" s="21" t="str">
        <f>IFERROR(__xludf.DUMMYFUNCTION("""COMPUTED_VALUE"""),"#Carro #Pneu #Variavel")</f>
        <v>#Carro #Pneu #Variavel</v>
      </c>
      <c r="K624" s="216"/>
      <c r="L624" s="216"/>
      <c r="M624" s="216"/>
      <c r="N624" s="216"/>
      <c r="O624" s="216"/>
      <c r="P624" s="216"/>
      <c r="Q624" s="216"/>
    </row>
    <row r="625">
      <c r="A625" s="11" t="str">
        <f>IFERROR(__xludf.DUMMYFUNCTION("""COMPUTED_VALUE"""),"PAGO")</f>
        <v>PAGO</v>
      </c>
      <c r="B625" s="98" t="str">
        <f>IFERROR(__xludf.DUMMYFUNCTION("""COMPUTED_VALUE"""),"Transferência via PIX - Roberta - Material Uni - Colegio Evoluti")</f>
        <v>Transferência via PIX - Roberta - Material Uni - Colegio Evoluti</v>
      </c>
      <c r="C625" s="13">
        <f>IFERROR(__xludf.DUMMYFUNCTION("""COMPUTED_VALUE"""),21.0)</f>
        <v>21</v>
      </c>
      <c r="D625" s="13" t="str">
        <f>IFERROR(__xludf.DUMMYFUNCTION("""COMPUTED_VALUE"""),"QUA.")</f>
        <v>QUA.</v>
      </c>
      <c r="E625" s="13">
        <f>IFERROR(__xludf.DUMMYFUNCTION("""COMPUTED_VALUE"""),7.0)</f>
        <v>7</v>
      </c>
      <c r="F625" s="15"/>
      <c r="G625" s="16"/>
      <c r="H625" s="227">
        <f>IFERROR(__xludf.DUMMYFUNCTION("""COMPUTED_VALUE"""),520.0)</f>
        <v>520</v>
      </c>
      <c r="I625" s="21" t="str">
        <f>IFERROR(__xludf.DUMMYFUNCTION("""COMPUTED_VALUE"""),"NUBANK")</f>
        <v>NUBANK</v>
      </c>
      <c r="J625" s="21" t="str">
        <f>IFERROR(__xludf.DUMMYFUNCTION("""COMPUTED_VALUE"""),"#Escola #Eduardo #Variavel #MaterialEscolar #Roberta")</f>
        <v>#Escola #Eduardo #Variavel #MaterialEscolar #Roberta</v>
      </c>
      <c r="K625" s="216"/>
      <c r="L625" s="216"/>
      <c r="M625" s="216"/>
      <c r="N625" s="216"/>
      <c r="O625" s="216"/>
      <c r="P625" s="216"/>
      <c r="Q625" s="216"/>
    </row>
    <row r="626">
      <c r="A626" s="11" t="str">
        <f>IFERROR(__xludf.DUMMYFUNCTION("""COMPUTED_VALUE"""),"PAGO")</f>
        <v>PAGO</v>
      </c>
      <c r="B626" s="98" t="str">
        <f>IFERROR(__xludf.DUMMYFUNCTION("""COMPUTED_VALUE"""),"Coaching / Psicologa - Candice Oliveira")</f>
        <v>Coaching / Psicologa - Candice Oliveira</v>
      </c>
      <c r="C626" s="13">
        <f>IFERROR(__xludf.DUMMYFUNCTION("""COMPUTED_VALUE"""),21.0)</f>
        <v>21</v>
      </c>
      <c r="D626" s="13" t="str">
        <f>IFERROR(__xludf.DUMMYFUNCTION("""COMPUTED_VALUE"""),"QUA.")</f>
        <v>QUA.</v>
      </c>
      <c r="E626" s="13">
        <f>IFERROR(__xludf.DUMMYFUNCTION("""COMPUTED_VALUE"""),7.0)</f>
        <v>7</v>
      </c>
      <c r="F626" s="15"/>
      <c r="G626" s="16"/>
      <c r="H626" s="227">
        <f>IFERROR(__xludf.DUMMYFUNCTION("""COMPUTED_VALUE"""),100.0)</f>
        <v>100</v>
      </c>
      <c r="I626" s="21" t="str">
        <f>IFERROR(__xludf.DUMMYFUNCTION("""COMPUTED_VALUE"""),"NUBANK")</f>
        <v>NUBANK</v>
      </c>
      <c r="J626" s="21" t="str">
        <f>IFERROR(__xludf.DUMMYFUNCTION("""COMPUTED_VALUE"""),"#Coaching #Fixo")</f>
        <v>#Coaching #Fixo</v>
      </c>
      <c r="K626" s="216"/>
      <c r="L626" s="216"/>
      <c r="M626" s="216"/>
      <c r="N626" s="216"/>
      <c r="O626" s="216"/>
      <c r="P626" s="216"/>
      <c r="Q626" s="216"/>
    </row>
    <row r="627">
      <c r="A627" s="11" t="str">
        <f>IFERROR(__xludf.DUMMYFUNCTION("""COMPUTED_VALUE"""),"CONTAS")</f>
        <v>CONTAS</v>
      </c>
      <c r="B627" s="98" t="str">
        <f>IFERROR(__xludf.DUMMYFUNCTION("""COMPUTED_VALUE"""),"Transferencia via PIX")</f>
        <v>Transferencia via PIX</v>
      </c>
      <c r="C627" s="13">
        <f>IFERROR(__xludf.DUMMYFUNCTION("""COMPUTED_VALUE"""),21.0)</f>
        <v>21</v>
      </c>
      <c r="D627" s="13" t="str">
        <f>IFERROR(__xludf.DUMMYFUNCTION("""COMPUTED_VALUE"""),"QUA.")</f>
        <v>QUA.</v>
      </c>
      <c r="E627" s="13">
        <f>IFERROR(__xludf.DUMMYFUNCTION("""COMPUTED_VALUE"""),7.0)</f>
        <v>7</v>
      </c>
      <c r="F627" s="15"/>
      <c r="G627" s="16"/>
      <c r="H627" s="227">
        <f>IFERROR(__xludf.DUMMYFUNCTION("""COMPUTED_VALUE"""),300.0)</f>
        <v>300</v>
      </c>
      <c r="I627" s="21" t="str">
        <f>IFERROR(__xludf.DUMMYFUNCTION("""COMPUTED_VALUE"""),"NUBANK")</f>
        <v>NUBANK</v>
      </c>
      <c r="J627" s="21"/>
      <c r="K627" s="216"/>
      <c r="L627" s="216"/>
      <c r="M627" s="216"/>
      <c r="N627" s="216"/>
      <c r="O627" s="216"/>
      <c r="P627" s="216"/>
      <c r="Q627" s="216"/>
    </row>
    <row r="628">
      <c r="A628" s="11" t="str">
        <f>IFERROR(__xludf.DUMMYFUNCTION("""COMPUTED_VALUE"""),"CONTAS")</f>
        <v>CONTAS</v>
      </c>
      <c r="B628" s="98" t="str">
        <f>IFERROR(__xludf.DUMMYFUNCTION("""COMPUTED_VALUE"""),"Recebimento via PIX")</f>
        <v>Recebimento via PIX</v>
      </c>
      <c r="C628" s="13">
        <f>IFERROR(__xludf.DUMMYFUNCTION("""COMPUTED_VALUE"""),21.0)</f>
        <v>21</v>
      </c>
      <c r="D628" s="13" t="str">
        <f>IFERROR(__xludf.DUMMYFUNCTION("""COMPUTED_VALUE"""),"QUA.")</f>
        <v>QUA.</v>
      </c>
      <c r="E628" s="13">
        <f>IFERROR(__xludf.DUMMYFUNCTION("""COMPUTED_VALUE"""),7.0)</f>
        <v>7</v>
      </c>
      <c r="F628" s="15"/>
      <c r="G628" s="16">
        <f>IFERROR(__xludf.DUMMYFUNCTION("""COMPUTED_VALUE"""),300.0)</f>
        <v>300</v>
      </c>
      <c r="H628" s="227"/>
      <c r="I628" s="21" t="str">
        <f>IFERROR(__xludf.DUMMYFUNCTION("""COMPUTED_VALUE"""),"ITAU")</f>
        <v>ITAU</v>
      </c>
      <c r="J628" s="21"/>
      <c r="K628" s="216"/>
      <c r="L628" s="216"/>
      <c r="M628" s="216"/>
      <c r="N628" s="216"/>
      <c r="O628" s="216"/>
      <c r="P628" s="216"/>
      <c r="Q628" s="216"/>
    </row>
    <row r="629">
      <c r="A629" s="11" t="str">
        <f>IFERROR(__xludf.DUMMYFUNCTION("""COMPUTED_VALUE"""),"PAGO")</f>
        <v>PAGO</v>
      </c>
      <c r="B629" s="98" t="str">
        <f>IFERROR(__xludf.DUMMYFUNCTION("""COMPUTED_VALUE"""),"Agua - ITAQUERA - SERÁ PAGO PELA JOICE (CASA ALUGADA)")</f>
        <v>Agua - ITAQUERA - SERÁ PAGO PELA JOICE (CASA ALUGADA)</v>
      </c>
      <c r="C629" s="13">
        <f>IFERROR(__xludf.DUMMYFUNCTION("""COMPUTED_VALUE"""),22.0)</f>
        <v>22</v>
      </c>
      <c r="D629" s="13" t="str">
        <f>IFERROR(__xludf.DUMMYFUNCTION("""COMPUTED_VALUE"""),"QUI.")</f>
        <v>QUI.</v>
      </c>
      <c r="E629" s="13">
        <f>IFERROR(__xludf.DUMMYFUNCTION("""COMPUTED_VALUE"""),7.0)</f>
        <v>7</v>
      </c>
      <c r="F629" s="15"/>
      <c r="G629" s="16"/>
      <c r="H629" s="227">
        <f>IFERROR(__xludf.DUMMYFUNCTION("""COMPUTED_VALUE"""),0.0)</f>
        <v>0</v>
      </c>
      <c r="I629" s="21" t="str">
        <f>IFERROR(__xludf.DUMMYFUNCTION("""COMPUTED_VALUE"""),"NUBANK")</f>
        <v>NUBANK</v>
      </c>
      <c r="J629" s="21" t="str">
        <f>IFERROR(__xludf.DUMMYFUNCTION("""COMPUTED_VALUE"""),"#Itaquera #Essencial #AjudaAlmir #Fixo")</f>
        <v>#Itaquera #Essencial #AjudaAlmir #Fixo</v>
      </c>
      <c r="K629" s="216"/>
      <c r="L629" s="216"/>
      <c r="M629" s="216"/>
      <c r="N629" s="216"/>
      <c r="O629" s="216"/>
      <c r="P629" s="216"/>
      <c r="Q629" s="216"/>
    </row>
    <row r="630">
      <c r="A630" s="11" t="str">
        <f>IFERROR(__xludf.DUMMYFUNCTION("""COMPUTED_VALUE"""),"PAGO")</f>
        <v>PAGO</v>
      </c>
      <c r="B630" s="98" t="str">
        <f>IFERROR(__xludf.DUMMYFUNCTION("""COMPUTED_VALUE"""),"Luz - DEBITO AUTO")</f>
        <v>Luz - DEBITO AUTO</v>
      </c>
      <c r="C630" s="13">
        <f>IFERROR(__xludf.DUMMYFUNCTION("""COMPUTED_VALUE"""),22.0)</f>
        <v>22</v>
      </c>
      <c r="D630" s="13" t="str">
        <f>IFERROR(__xludf.DUMMYFUNCTION("""COMPUTED_VALUE"""),"QUI.")</f>
        <v>QUI.</v>
      </c>
      <c r="E630" s="13">
        <f>IFERROR(__xludf.DUMMYFUNCTION("""COMPUTED_VALUE"""),7.0)</f>
        <v>7</v>
      </c>
      <c r="F630" s="15"/>
      <c r="G630" s="16"/>
      <c r="H630" s="227">
        <f>IFERROR(__xludf.DUMMYFUNCTION("""COMPUTED_VALUE"""),287.22)</f>
        <v>287.22</v>
      </c>
      <c r="I630" s="21" t="str">
        <f>IFERROR(__xludf.DUMMYFUNCTION("""COMPUTED_VALUE"""),"ITAU")</f>
        <v>ITAU</v>
      </c>
      <c r="J630" s="21" t="str">
        <f>IFERROR(__xludf.DUMMYFUNCTION("""COMPUTED_VALUE"""),"#Moradia #Essencial #Luz #Fixo")</f>
        <v>#Moradia #Essencial #Luz #Fixo</v>
      </c>
      <c r="K630" s="216"/>
      <c r="L630" s="216"/>
      <c r="M630" s="216"/>
      <c r="N630" s="216"/>
      <c r="O630" s="216"/>
      <c r="P630" s="216"/>
      <c r="Q630" s="216"/>
    </row>
    <row r="631">
      <c r="A631" s="11" t="str">
        <f>IFERROR(__xludf.DUMMYFUNCTION("""COMPUTED_VALUE"""),"PAGO")</f>
        <v>PAGO</v>
      </c>
      <c r="B631" s="98" t="str">
        <f>IFERROR(__xludf.DUMMYFUNCTION("""COMPUTED_VALUE"""),"Transferencia via PIX - Roberta (hambúrgueres)")</f>
        <v>Transferencia via PIX - Roberta (hambúrgueres)</v>
      </c>
      <c r="C631" s="13">
        <f>IFERROR(__xludf.DUMMYFUNCTION("""COMPUTED_VALUE"""),24.0)</f>
        <v>24</v>
      </c>
      <c r="D631" s="13" t="str">
        <f>IFERROR(__xludf.DUMMYFUNCTION("""COMPUTED_VALUE"""),"SÁB.")</f>
        <v>SÁB.</v>
      </c>
      <c r="E631" s="13">
        <f>IFERROR(__xludf.DUMMYFUNCTION("""COMPUTED_VALUE"""),7.0)</f>
        <v>7</v>
      </c>
      <c r="F631" s="15"/>
      <c r="G631" s="16"/>
      <c r="H631" s="227">
        <f>IFERROR(__xludf.DUMMYFUNCTION("""COMPUTED_VALUE"""),80.8)</f>
        <v>80.8</v>
      </c>
      <c r="I631" s="21" t="str">
        <f>IFERROR(__xludf.DUMMYFUNCTION("""COMPUTED_VALUE"""),"NUBANK")</f>
        <v>NUBANK</v>
      </c>
      <c r="J631" s="21" t="str">
        <f>IFERROR(__xludf.DUMMYFUNCTION("""COMPUTED_VALUE"""),"#Cicero #Lazer #Comida #Variavel")</f>
        <v>#Cicero #Lazer #Comida #Variavel</v>
      </c>
      <c r="K631" s="216"/>
      <c r="L631" s="216"/>
      <c r="M631" s="216"/>
      <c r="N631" s="216"/>
      <c r="O631" s="216"/>
      <c r="P631" s="216"/>
      <c r="Q631" s="216"/>
    </row>
    <row r="632">
      <c r="A632" s="11" t="str">
        <f>IFERROR(__xludf.DUMMYFUNCTION("""COMPUTED_VALUE"""),"PAGO")</f>
        <v>PAGO</v>
      </c>
      <c r="B632" s="98" t="str">
        <f>IFERROR(__xludf.DUMMYFUNCTION("""COMPUTED_VALUE"""),"Levitar SJC - sorvetes")</f>
        <v>Levitar SJC - sorvetes</v>
      </c>
      <c r="C632" s="13">
        <f>IFERROR(__xludf.DUMMYFUNCTION("""COMPUTED_VALUE"""),25.0)</f>
        <v>25</v>
      </c>
      <c r="D632" s="13" t="str">
        <f>IFERROR(__xludf.DUMMYFUNCTION("""COMPUTED_VALUE"""),"DOM.")</f>
        <v>DOM.</v>
      </c>
      <c r="E632" s="13">
        <f>IFERROR(__xludf.DUMMYFUNCTION("""COMPUTED_VALUE"""),7.0)</f>
        <v>7</v>
      </c>
      <c r="F632" s="15"/>
      <c r="G632" s="16"/>
      <c r="H632" s="227">
        <f>IFERROR(__xludf.DUMMYFUNCTION("""COMPUTED_VALUE"""),30.5)</f>
        <v>30.5</v>
      </c>
      <c r="I632" s="21" t="str">
        <f>IFERROR(__xludf.DUMMYFUNCTION("""COMPUTED_VALUE"""),"NUBANK")</f>
        <v>NUBANK</v>
      </c>
      <c r="J632" s="21" t="str">
        <f>IFERROR(__xludf.DUMMYFUNCTION("""COMPUTED_VALUE"""),"#Lazer #Comida #Variavel")</f>
        <v>#Lazer #Comida #Variavel</v>
      </c>
      <c r="K632" s="216"/>
      <c r="L632" s="216"/>
      <c r="M632" s="216"/>
      <c r="N632" s="216"/>
      <c r="O632" s="216"/>
      <c r="P632" s="216"/>
      <c r="Q632" s="216"/>
    </row>
    <row r="633">
      <c r="A633" s="11" t="str">
        <f>IFERROR(__xludf.DUMMYFUNCTION("""COMPUTED_VALUE"""),"PAGO")</f>
        <v>PAGO</v>
      </c>
      <c r="B633" s="98" t="str">
        <f>IFERROR(__xludf.DUMMYFUNCTION("""COMPUTED_VALUE"""),"Casas Bahia - mesa de jantar 4 cadeiras")</f>
        <v>Casas Bahia - mesa de jantar 4 cadeiras</v>
      </c>
      <c r="C633" s="13">
        <f>IFERROR(__xludf.DUMMYFUNCTION("""COMPUTED_VALUE"""),25.0)</f>
        <v>25</v>
      </c>
      <c r="D633" s="13" t="str">
        <f>IFERROR(__xludf.DUMMYFUNCTION("""COMPUTED_VALUE"""),"DOM.")</f>
        <v>DOM.</v>
      </c>
      <c r="E633" s="13">
        <f>IFERROR(__xludf.DUMMYFUNCTION("""COMPUTED_VALUE"""),7.0)</f>
        <v>7</v>
      </c>
      <c r="F633" s="15"/>
      <c r="G633" s="16"/>
      <c r="H633" s="227">
        <f>IFERROR(__xludf.DUMMYFUNCTION("""COMPUTED_VALUE"""),557.06)</f>
        <v>557.06</v>
      </c>
      <c r="I633" s="21" t="str">
        <f>IFERROR(__xludf.DUMMYFUNCTION("""COMPUTED_VALUE"""),"NUBANK")</f>
        <v>NUBANK</v>
      </c>
      <c r="J633" s="21" t="str">
        <f>IFERROR(__xludf.DUMMYFUNCTION("""COMPUTED_VALUE"""),"#Variavel #Cicero #Moradia")</f>
        <v>#Variavel #Cicero #Moradia</v>
      </c>
      <c r="K633" s="216"/>
      <c r="L633" s="216"/>
      <c r="M633" s="216"/>
      <c r="N633" s="216"/>
      <c r="O633" s="216"/>
      <c r="P633" s="216"/>
      <c r="Q633" s="216"/>
    </row>
    <row r="634">
      <c r="A634" s="11" t="str">
        <f>IFERROR(__xludf.DUMMYFUNCTION("""COMPUTED_VALUE"""),"PAGO")</f>
        <v>PAGO</v>
      </c>
      <c r="B634" s="98" t="str">
        <f>IFERROR(__xludf.DUMMYFUNCTION("""COMPUTED_VALUE"""),"Recarga VIVO Cicero 11 984516551")</f>
        <v>Recarga VIVO Cicero 11 984516551</v>
      </c>
      <c r="C634" s="13">
        <f>IFERROR(__xludf.DUMMYFUNCTION("""COMPUTED_VALUE"""),26.0)</f>
        <v>26</v>
      </c>
      <c r="D634" s="13" t="str">
        <f>IFERROR(__xludf.DUMMYFUNCTION("""COMPUTED_VALUE"""),"SEG.")</f>
        <v>SEG.</v>
      </c>
      <c r="E634" s="13">
        <f>IFERROR(__xludf.DUMMYFUNCTION("""COMPUTED_VALUE"""),7.0)</f>
        <v>7</v>
      </c>
      <c r="F634" s="15"/>
      <c r="G634" s="16"/>
      <c r="H634" s="227">
        <f>IFERROR(__xludf.DUMMYFUNCTION("""COMPUTED_VALUE"""),20.0)</f>
        <v>20</v>
      </c>
      <c r="I634" s="21" t="str">
        <f>IFERROR(__xludf.DUMMYFUNCTION("""COMPUTED_VALUE"""),"NUBANK")</f>
        <v>NUBANK</v>
      </c>
      <c r="J634" s="21" t="str">
        <f>IFERROR(__xludf.DUMMYFUNCTION("""COMPUTED_VALUE"""),"#Variavel #Recarga #VIVO")</f>
        <v>#Variavel #Recarga #VIVO</v>
      </c>
      <c r="K634" s="216"/>
      <c r="L634" s="216"/>
      <c r="M634" s="216"/>
      <c r="N634" s="216"/>
      <c r="O634" s="216"/>
      <c r="P634" s="216"/>
      <c r="Q634" s="216"/>
    </row>
    <row r="635">
      <c r="A635" s="11" t="str">
        <f>IFERROR(__xludf.DUMMYFUNCTION("""COMPUTED_VALUE"""),"PAGO")</f>
        <v>PAGO</v>
      </c>
      <c r="B635" s="98" t="str">
        <f>IFERROR(__xludf.DUMMYFUNCTION("""COMPUTED_VALUE"""),"Shibata - clique e retire")</f>
        <v>Shibata - clique e retire</v>
      </c>
      <c r="C635" s="13">
        <f>IFERROR(__xludf.DUMMYFUNCTION("""COMPUTED_VALUE"""),27.0)</f>
        <v>27</v>
      </c>
      <c r="D635" s="13" t="str">
        <f>IFERROR(__xludf.DUMMYFUNCTION("""COMPUTED_VALUE"""),"TER.")</f>
        <v>TER.</v>
      </c>
      <c r="E635" s="13">
        <f>IFERROR(__xludf.DUMMYFUNCTION("""COMPUTED_VALUE"""),7.0)</f>
        <v>7</v>
      </c>
      <c r="F635" s="15"/>
      <c r="G635" s="16"/>
      <c r="H635" s="227">
        <f>IFERROR(__xludf.DUMMYFUNCTION("""COMPUTED_VALUE"""),224.99)</f>
        <v>224.99</v>
      </c>
      <c r="I635" s="21" t="str">
        <f>IFERROR(__xludf.DUMMYFUNCTION("""COMPUTED_VALUE"""),"NUBANK")</f>
        <v>NUBANK</v>
      </c>
      <c r="J635" s="21" t="str">
        <f>IFERROR(__xludf.DUMMYFUNCTION("""COMPUTED_VALUE"""),"#Moradia #Essencial #Mercado #Variavel #Alimentação ")</f>
        <v>#Moradia #Essencial #Mercado #Variavel #Alimentação </v>
      </c>
      <c r="K635" s="216"/>
      <c r="L635" s="216"/>
      <c r="M635" s="216"/>
      <c r="N635" s="216"/>
      <c r="O635" s="216"/>
      <c r="P635" s="216"/>
      <c r="Q635" s="216"/>
    </row>
    <row r="636">
      <c r="A636" s="11" t="str">
        <f>IFERROR(__xludf.DUMMYFUNCTION("""COMPUTED_VALUE"""),"PAGO")</f>
        <v>PAGO</v>
      </c>
      <c r="B636" s="98" t="str">
        <f>IFERROR(__xludf.DUMMYFUNCTION("""COMPUTED_VALUE"""),"Coaching / Psicologa - Candice Oliveira")</f>
        <v>Coaching / Psicologa - Candice Oliveira</v>
      </c>
      <c r="C636" s="13">
        <f>IFERROR(__xludf.DUMMYFUNCTION("""COMPUTED_VALUE"""),28.0)</f>
        <v>28</v>
      </c>
      <c r="D636" s="13" t="str">
        <f>IFERROR(__xludf.DUMMYFUNCTION("""COMPUTED_VALUE"""),"QUA.")</f>
        <v>QUA.</v>
      </c>
      <c r="E636" s="13">
        <f>IFERROR(__xludf.DUMMYFUNCTION("""COMPUTED_VALUE"""),7.0)</f>
        <v>7</v>
      </c>
      <c r="F636" s="15"/>
      <c r="G636" s="16"/>
      <c r="H636" s="227">
        <f>IFERROR(__xludf.DUMMYFUNCTION("""COMPUTED_VALUE"""),100.0)</f>
        <v>100</v>
      </c>
      <c r="I636" s="21" t="str">
        <f>IFERROR(__xludf.DUMMYFUNCTION("""COMPUTED_VALUE"""),"NUBANK")</f>
        <v>NUBANK</v>
      </c>
      <c r="J636" s="21" t="str">
        <f>IFERROR(__xludf.DUMMYFUNCTION("""COMPUTED_VALUE"""),"#Coaching #Fixo")</f>
        <v>#Coaching #Fixo</v>
      </c>
      <c r="K636" s="216"/>
      <c r="L636" s="216"/>
      <c r="M636" s="216"/>
      <c r="N636" s="216"/>
      <c r="O636" s="216"/>
      <c r="P636" s="216"/>
      <c r="Q636" s="216"/>
    </row>
    <row r="637">
      <c r="A637" s="11" t="str">
        <f>IFERROR(__xludf.DUMMYFUNCTION("""COMPUTED_VALUE"""),"PAGO")</f>
        <v>PAGO</v>
      </c>
      <c r="B637" s="98" t="str">
        <f>IFERROR(__xludf.DUMMYFUNCTION("""COMPUTED_VALUE"""),"Recebimento via PIX")</f>
        <v>Recebimento via PIX</v>
      </c>
      <c r="C637" s="13">
        <f>IFERROR(__xludf.DUMMYFUNCTION("""COMPUTED_VALUE"""),28.0)</f>
        <v>28</v>
      </c>
      <c r="D637" s="13" t="str">
        <f>IFERROR(__xludf.DUMMYFUNCTION("""COMPUTED_VALUE"""),"QUA.")</f>
        <v>QUA.</v>
      </c>
      <c r="E637" s="13">
        <f>IFERROR(__xludf.DUMMYFUNCTION("""COMPUTED_VALUE"""),7.0)</f>
        <v>7</v>
      </c>
      <c r="F637" s="15"/>
      <c r="G637" s="16">
        <f>IFERROR(__xludf.DUMMYFUNCTION("""COMPUTED_VALUE"""),3854.31)</f>
        <v>3854.31</v>
      </c>
      <c r="H637" s="227"/>
      <c r="I637" s="21" t="str">
        <f>IFERROR(__xludf.DUMMYFUNCTION("""COMPUTED_VALUE"""),"NUBANK")</f>
        <v>NUBANK</v>
      </c>
      <c r="J637" s="21" t="str">
        <f>IFERROR(__xludf.DUMMYFUNCTION("""COMPUTED_VALUE"""),"#Recebimentos #PIX #Nubank #PicPay")</f>
        <v>#Recebimentos #PIX #Nubank #PicPay</v>
      </c>
      <c r="K637" s="216"/>
      <c r="L637" s="216"/>
      <c r="M637" s="216"/>
      <c r="N637" s="216"/>
      <c r="O637" s="216"/>
      <c r="P637" s="216"/>
      <c r="Q637" s="216"/>
    </row>
    <row r="638">
      <c r="A638" s="11" t="str">
        <f>IFERROR(__xludf.DUMMYFUNCTION("""COMPUTED_VALUE"""),"PAGO")</f>
        <v>PAGO</v>
      </c>
      <c r="B638" s="98" t="str">
        <f>IFERROR(__xludf.DUMMYFUNCTION("""COMPUTED_VALUE"""),"Transferi para investimento - Nubank")</f>
        <v>Transferi para investimento - Nubank</v>
      </c>
      <c r="C638" s="13">
        <f>IFERROR(__xludf.DUMMYFUNCTION("""COMPUTED_VALUE"""),28.0)</f>
        <v>28</v>
      </c>
      <c r="D638" s="13" t="str">
        <f>IFERROR(__xludf.DUMMYFUNCTION("""COMPUTED_VALUE"""),"QUA.")</f>
        <v>QUA.</v>
      </c>
      <c r="E638" s="13">
        <f>IFERROR(__xludf.DUMMYFUNCTION("""COMPUTED_VALUE"""),7.0)</f>
        <v>7</v>
      </c>
      <c r="F638" s="15"/>
      <c r="G638" s="16"/>
      <c r="H638" s="227">
        <f>IFERROR(__xludf.DUMMYFUNCTION("""COMPUTED_VALUE"""),3854.31)</f>
        <v>3854.31</v>
      </c>
      <c r="I638" s="21" t="str">
        <f>IFERROR(__xludf.DUMMYFUNCTION("""COMPUTED_VALUE"""),"NUBANK")</f>
        <v>NUBANK</v>
      </c>
      <c r="J638" s="21" t="str">
        <f>IFERROR(__xludf.DUMMYFUNCTION("""COMPUTED_VALUE"""),"#Transferencia #Investimento #Variavel #Nubank")</f>
        <v>#Transferencia #Investimento #Variavel #Nubank</v>
      </c>
      <c r="K638" s="216"/>
      <c r="L638" s="216"/>
      <c r="M638" s="216"/>
      <c r="N638" s="216"/>
      <c r="O638" s="216"/>
      <c r="P638" s="216"/>
      <c r="Q638" s="216"/>
    </row>
    <row r="639">
      <c r="A639" s="11" t="str">
        <f>IFERROR(__xludf.DUMMYFUNCTION("""COMPUTED_VALUE"""),"PAGO")</f>
        <v>PAGO</v>
      </c>
      <c r="B639" s="98" t="str">
        <f>IFERROR(__xludf.DUMMYFUNCTION("""COMPUTED_VALUE"""),"Restituição IRPF")</f>
        <v>Restituição IRPF</v>
      </c>
      <c r="C639" s="13">
        <f>IFERROR(__xludf.DUMMYFUNCTION("""COMPUTED_VALUE"""),30.0)</f>
        <v>30</v>
      </c>
      <c r="D639" s="13" t="str">
        <f>IFERROR(__xludf.DUMMYFUNCTION("""COMPUTED_VALUE"""),"SEX.")</f>
        <v>SEX.</v>
      </c>
      <c r="E639" s="13">
        <f>IFERROR(__xludf.DUMMYFUNCTION("""COMPUTED_VALUE"""),7.0)</f>
        <v>7</v>
      </c>
      <c r="F639" s="15"/>
      <c r="G639" s="16">
        <f>IFERROR(__xludf.DUMMYFUNCTION("""COMPUTED_VALUE"""),2055.6)</f>
        <v>2055.6</v>
      </c>
      <c r="H639" s="227"/>
      <c r="I639" s="21" t="str">
        <f>IFERROR(__xludf.DUMMYFUNCTION("""COMPUTED_VALUE"""),"ITAU")</f>
        <v>ITAU</v>
      </c>
      <c r="J639" s="21" t="str">
        <f>IFERROR(__xludf.DUMMYFUNCTION("""COMPUTED_VALUE"""),"#Recebimentos #IRPF #Extra")</f>
        <v>#Recebimentos #IRPF #Extra</v>
      </c>
      <c r="K639" s="216"/>
      <c r="L639" s="216"/>
      <c r="M639" s="216"/>
      <c r="N639" s="216"/>
      <c r="O639" s="216"/>
      <c r="P639" s="216"/>
      <c r="Q639" s="216"/>
    </row>
    <row r="640">
      <c r="A640" s="11" t="str">
        <f>IFERROR(__xludf.DUMMYFUNCTION("""COMPUTED_VALUE"""),"PAGO")</f>
        <v>PAGO</v>
      </c>
      <c r="B640" s="98" t="str">
        <f>IFERROR(__xludf.DUMMYFUNCTION("""COMPUTED_VALUE"""),"Recarga Sodexo Alimentação IBM")</f>
        <v>Recarga Sodexo Alimentação IBM</v>
      </c>
      <c r="C640" s="13">
        <f>IFERROR(__xludf.DUMMYFUNCTION("""COMPUTED_VALUE"""),30.0)</f>
        <v>30</v>
      </c>
      <c r="D640" s="13" t="str">
        <f>IFERROR(__xludf.DUMMYFUNCTION("""COMPUTED_VALUE"""),"SEX.")</f>
        <v>SEX.</v>
      </c>
      <c r="E640" s="13">
        <f>IFERROR(__xludf.DUMMYFUNCTION("""COMPUTED_VALUE"""),7.0)</f>
        <v>7</v>
      </c>
      <c r="F640" s="15"/>
      <c r="G640" s="16">
        <f>IFERROR(__xludf.DUMMYFUNCTION("""COMPUTED_VALUE"""),330.0)</f>
        <v>330</v>
      </c>
      <c r="H640" s="227"/>
      <c r="I640" s="21" t="str">
        <f>IFERROR(__xludf.DUMMYFUNCTION("""COMPUTED_VALUE"""),"SODEXO-ALI-IBM")</f>
        <v>SODEXO-ALI-IBM</v>
      </c>
      <c r="J640" s="21" t="str">
        <f>IFERROR(__xludf.DUMMYFUNCTION("""COMPUTED_VALUE""")," #Recebimentos #Alimentação #Fixo")</f>
        <v> #Recebimentos #Alimentação #Fixo</v>
      </c>
      <c r="K640" s="216"/>
      <c r="L640" s="216"/>
      <c r="M640" s="216"/>
      <c r="N640" s="216"/>
      <c r="O640" s="216"/>
      <c r="P640" s="216"/>
      <c r="Q640" s="216"/>
    </row>
    <row r="641">
      <c r="A641" s="11" t="str">
        <f>IFERROR(__xludf.DUMMYFUNCTION("""COMPUTED_VALUE"""),"PAGO")</f>
        <v>PAGO</v>
      </c>
      <c r="B641" s="98" t="str">
        <f>IFERROR(__xludf.DUMMYFUNCTION("""COMPUTED_VALUE"""),"Recarga Sodexo Alimentação IBM")</f>
        <v>Recarga Sodexo Alimentação IBM</v>
      </c>
      <c r="C641" s="13">
        <f>IFERROR(__xludf.DUMMYFUNCTION("""COMPUTED_VALUE"""),30.0)</f>
        <v>30</v>
      </c>
      <c r="D641" s="13" t="str">
        <f>IFERROR(__xludf.DUMMYFUNCTION("""COMPUTED_VALUE"""),"SEX.")</f>
        <v>SEX.</v>
      </c>
      <c r="E641" s="13">
        <f>IFERROR(__xludf.DUMMYFUNCTION("""COMPUTED_VALUE"""),7.0)</f>
        <v>7</v>
      </c>
      <c r="F641" s="15"/>
      <c r="G641" s="16">
        <f>IFERROR(__xludf.DUMMYFUNCTION("""COMPUTED_VALUE"""),70.0)</f>
        <v>70</v>
      </c>
      <c r="H641" s="227"/>
      <c r="I641" s="21" t="str">
        <f>IFERROR(__xludf.DUMMYFUNCTION("""COMPUTED_VALUE"""),"SODEXO-ALI-IBM")</f>
        <v>SODEXO-ALI-IBM</v>
      </c>
      <c r="J641" s="21" t="str">
        <f>IFERROR(__xludf.DUMMYFUNCTION("""COMPUTED_VALUE""")," #Recebimentos #Alimentação #Fixo")</f>
        <v> #Recebimentos #Alimentação #Fixo</v>
      </c>
      <c r="K641" s="216"/>
      <c r="L641" s="216"/>
      <c r="M641" s="216"/>
      <c r="N641" s="216"/>
      <c r="O641" s="216"/>
      <c r="P641" s="216"/>
      <c r="Q641" s="216"/>
    </row>
    <row r="642">
      <c r="A642" s="11" t="str">
        <f>IFERROR(__xludf.DUMMYFUNCTION("""COMPUTED_VALUE"""),"PAGO")</f>
        <v>PAGO</v>
      </c>
      <c r="B642" s="98" t="str">
        <f>IFERROR(__xludf.DUMMYFUNCTION("""COMPUTED_VALUE"""),"Recarga Sodexo Refeição IBM")</f>
        <v>Recarga Sodexo Refeição IBM</v>
      </c>
      <c r="C642" s="13">
        <f>IFERROR(__xludf.DUMMYFUNCTION("""COMPUTED_VALUE"""),30.0)</f>
        <v>30</v>
      </c>
      <c r="D642" s="13" t="str">
        <f>IFERROR(__xludf.DUMMYFUNCTION("""COMPUTED_VALUE"""),"SEX.")</f>
        <v>SEX.</v>
      </c>
      <c r="E642" s="13">
        <f>IFERROR(__xludf.DUMMYFUNCTION("""COMPUTED_VALUE"""),7.0)</f>
        <v>7</v>
      </c>
      <c r="F642" s="15"/>
      <c r="G642" s="16">
        <f>IFERROR(__xludf.DUMMYFUNCTION("""COMPUTED_VALUE"""),700.0)</f>
        <v>700</v>
      </c>
      <c r="H642" s="227"/>
      <c r="I642" s="21" t="str">
        <f>IFERROR(__xludf.DUMMYFUNCTION("""COMPUTED_VALUE"""),"SODEXO-REF-IBM")</f>
        <v>SODEXO-REF-IBM</v>
      </c>
      <c r="J642" s="21" t="str">
        <f>IFERROR(__xludf.DUMMYFUNCTION("""COMPUTED_VALUE"""),"#Recebimentos #Alimentação #Fixo")</f>
        <v>#Recebimentos #Alimentação #Fixo</v>
      </c>
      <c r="K642" s="216"/>
      <c r="L642" s="216"/>
      <c r="M642" s="216"/>
      <c r="N642" s="216"/>
      <c r="O642" s="216"/>
      <c r="P642" s="216"/>
      <c r="Q642" s="216"/>
    </row>
    <row r="643">
      <c r="A643" s="11" t="str">
        <f>IFERROR(__xludf.DUMMYFUNCTION("""COMPUTED_VALUE"""),"PAGO")</f>
        <v>PAGO</v>
      </c>
      <c r="B643" s="98" t="str">
        <f>IFERROR(__xludf.DUMMYFUNCTION("""COMPUTED_VALUE"""),"Recarga Sodexo Refeição IBM")</f>
        <v>Recarga Sodexo Refeição IBM</v>
      </c>
      <c r="C643" s="13">
        <f>IFERROR(__xludf.DUMMYFUNCTION("""COMPUTED_VALUE"""),30.0)</f>
        <v>30</v>
      </c>
      <c r="D643" s="13" t="str">
        <f>IFERROR(__xludf.DUMMYFUNCTION("""COMPUTED_VALUE"""),"SEX.")</f>
        <v>SEX.</v>
      </c>
      <c r="E643" s="13">
        <f>IFERROR(__xludf.DUMMYFUNCTION("""COMPUTED_VALUE"""),7.0)</f>
        <v>7</v>
      </c>
      <c r="F643" s="15"/>
      <c r="G643" s="16">
        <f>IFERROR(__xludf.DUMMYFUNCTION("""COMPUTED_VALUE"""),130.0)</f>
        <v>130</v>
      </c>
      <c r="H643" s="227"/>
      <c r="I643" s="21" t="str">
        <f>IFERROR(__xludf.DUMMYFUNCTION("""COMPUTED_VALUE"""),"SODEXO-REF-IBM")</f>
        <v>SODEXO-REF-IBM</v>
      </c>
      <c r="J643" s="21" t="str">
        <f>IFERROR(__xludf.DUMMYFUNCTION("""COMPUTED_VALUE"""),"#Recebimentos #Alimentação #Fixo")</f>
        <v>#Recebimentos #Alimentação #Fixo</v>
      </c>
      <c r="K643" s="216"/>
      <c r="L643" s="216"/>
      <c r="M643" s="216"/>
      <c r="N643" s="216"/>
      <c r="O643" s="216"/>
      <c r="P643" s="216"/>
      <c r="Q643" s="216"/>
    </row>
    <row r="644">
      <c r="A644" s="11" t="str">
        <f>IFERROR(__xludf.DUMMYFUNCTION("""COMPUTED_VALUE"""),"PAGO")</f>
        <v>PAGO</v>
      </c>
      <c r="B644" s="98" t="str">
        <f>IFERROR(__xludf.DUMMYFUNCTION("""COMPUTED_VALUE"""),"Salario - IBM  (com horas extras - trabalhos de fim de semana)")</f>
        <v>Salario - IBM  (com horas extras - trabalhos de fim de semana)</v>
      </c>
      <c r="C644" s="13">
        <f>IFERROR(__xludf.DUMMYFUNCTION("""COMPUTED_VALUE"""),30.0)</f>
        <v>30</v>
      </c>
      <c r="D644" s="13" t="str">
        <f>IFERROR(__xludf.DUMMYFUNCTION("""COMPUTED_VALUE"""),"SEX.")</f>
        <v>SEX.</v>
      </c>
      <c r="E644" s="13">
        <f>IFERROR(__xludf.DUMMYFUNCTION("""COMPUTED_VALUE"""),7.0)</f>
        <v>7</v>
      </c>
      <c r="F644" s="15"/>
      <c r="G644" s="16">
        <f>IFERROR(__xludf.DUMMYFUNCTION("""COMPUTED_VALUE"""),4159.34)</f>
        <v>4159.34</v>
      </c>
      <c r="H644" s="227"/>
      <c r="I644" s="21" t="str">
        <f>IFERROR(__xludf.DUMMYFUNCTION("""COMPUTED_VALUE"""),"SANTANDER")</f>
        <v>SANTANDER</v>
      </c>
      <c r="J644" s="21" t="str">
        <f>IFERROR(__xludf.DUMMYFUNCTION("""COMPUTED_VALUE"""),"#Recebimentos #Salario #Fixo")</f>
        <v>#Recebimentos #Salario #Fixo</v>
      </c>
      <c r="K644" s="216"/>
      <c r="L644" s="216"/>
      <c r="M644" s="216"/>
      <c r="N644" s="216"/>
      <c r="O644" s="216"/>
      <c r="P644" s="216"/>
      <c r="Q644" s="216"/>
    </row>
    <row r="645">
      <c r="A645" s="11" t="str">
        <f>IFERROR(__xludf.DUMMYFUNCTION("""COMPUTED_VALUE"""),"CONTAS")</f>
        <v>CONTAS</v>
      </c>
      <c r="B645" s="98" t="str">
        <f>IFERROR(__xludf.DUMMYFUNCTION("""COMPUTED_VALUE"""),"Transferencia via PIX")</f>
        <v>Transferencia via PIX</v>
      </c>
      <c r="C645" s="13">
        <f>IFERROR(__xludf.DUMMYFUNCTION("""COMPUTED_VALUE"""),30.0)</f>
        <v>30</v>
      </c>
      <c r="D645" s="13" t="str">
        <f>IFERROR(__xludf.DUMMYFUNCTION("""COMPUTED_VALUE"""),"SEX.")</f>
        <v>SEX.</v>
      </c>
      <c r="E645" s="13">
        <f>IFERROR(__xludf.DUMMYFUNCTION("""COMPUTED_VALUE"""),7.0)</f>
        <v>7</v>
      </c>
      <c r="F645" s="15"/>
      <c r="G645" s="16"/>
      <c r="H645" s="227">
        <f>IFERROR(__xludf.DUMMYFUNCTION("""COMPUTED_VALUE"""),4159.34)</f>
        <v>4159.34</v>
      </c>
      <c r="I645" s="21" t="str">
        <f>IFERROR(__xludf.DUMMYFUNCTION("""COMPUTED_VALUE"""),"SANTANDER")</f>
        <v>SANTANDER</v>
      </c>
      <c r="J645" s="21"/>
      <c r="K645" s="216"/>
      <c r="L645" s="216"/>
      <c r="M645" s="216"/>
      <c r="N645" s="216"/>
      <c r="O645" s="216"/>
      <c r="P645" s="216"/>
      <c r="Q645" s="216"/>
    </row>
    <row r="646">
      <c r="A646" s="11" t="str">
        <f>IFERROR(__xludf.DUMMYFUNCTION("""COMPUTED_VALUE"""),"CONTAS")</f>
        <v>CONTAS</v>
      </c>
      <c r="B646" s="98" t="str">
        <f>IFERROR(__xludf.DUMMYFUNCTION("""COMPUTED_VALUE"""),"Recebimento via PIX")</f>
        <v>Recebimento via PIX</v>
      </c>
      <c r="C646" s="13">
        <f>IFERROR(__xludf.DUMMYFUNCTION("""COMPUTED_VALUE"""),30.0)</f>
        <v>30</v>
      </c>
      <c r="D646" s="13" t="str">
        <f>IFERROR(__xludf.DUMMYFUNCTION("""COMPUTED_VALUE"""),"SEX.")</f>
        <v>SEX.</v>
      </c>
      <c r="E646" s="13">
        <f>IFERROR(__xludf.DUMMYFUNCTION("""COMPUTED_VALUE"""),7.0)</f>
        <v>7</v>
      </c>
      <c r="F646" s="15"/>
      <c r="G646" s="16">
        <f>IFERROR(__xludf.DUMMYFUNCTION("""COMPUTED_VALUE"""),4159.34)</f>
        <v>4159.34</v>
      </c>
      <c r="H646" s="227"/>
      <c r="I646" s="21" t="str">
        <f>IFERROR(__xludf.DUMMYFUNCTION("""COMPUTED_VALUE"""),"NUBANK")</f>
        <v>NUBANK</v>
      </c>
      <c r="J646" s="21"/>
      <c r="K646" s="216"/>
      <c r="L646" s="216"/>
      <c r="M646" s="216"/>
      <c r="N646" s="216"/>
      <c r="O646" s="216"/>
      <c r="P646" s="216"/>
      <c r="Q646" s="216"/>
    </row>
    <row r="647">
      <c r="A647" s="11" t="str">
        <f>IFERROR(__xludf.DUMMYFUNCTION("""COMPUTED_VALUE"""),"CONTAS")</f>
        <v>CONTAS</v>
      </c>
      <c r="B647" s="98" t="str">
        <f>IFERROR(__xludf.DUMMYFUNCTION("""COMPUTED_VALUE"""),"Transferencia via PIX")</f>
        <v>Transferencia via PIX</v>
      </c>
      <c r="C647" s="13">
        <f>IFERROR(__xludf.DUMMYFUNCTION("""COMPUTED_VALUE"""),30.0)</f>
        <v>30</v>
      </c>
      <c r="D647" s="13" t="str">
        <f>IFERROR(__xludf.DUMMYFUNCTION("""COMPUTED_VALUE"""),"SEX.")</f>
        <v>SEX.</v>
      </c>
      <c r="E647" s="13">
        <f>IFERROR(__xludf.DUMMYFUNCTION("""COMPUTED_VALUE"""),7.0)</f>
        <v>7</v>
      </c>
      <c r="F647" s="15"/>
      <c r="G647" s="16"/>
      <c r="H647" s="227">
        <f>IFERROR(__xludf.DUMMYFUNCTION("""COMPUTED_VALUE"""),2050.0)</f>
        <v>2050</v>
      </c>
      <c r="I647" s="21" t="str">
        <f>IFERROR(__xludf.DUMMYFUNCTION("""COMPUTED_VALUE"""),"ITAU")</f>
        <v>ITAU</v>
      </c>
      <c r="J647" s="21"/>
      <c r="K647" s="216"/>
      <c r="L647" s="216"/>
      <c r="M647" s="216"/>
      <c r="N647" s="216"/>
      <c r="O647" s="216"/>
      <c r="P647" s="216"/>
      <c r="Q647" s="216"/>
    </row>
    <row r="648">
      <c r="A648" s="11" t="str">
        <f>IFERROR(__xludf.DUMMYFUNCTION("""COMPUTED_VALUE"""),"CONTAS")</f>
        <v>CONTAS</v>
      </c>
      <c r="B648" s="98" t="str">
        <f>IFERROR(__xludf.DUMMYFUNCTION("""COMPUTED_VALUE"""),"Recebimento via PIX")</f>
        <v>Recebimento via PIX</v>
      </c>
      <c r="C648" s="13">
        <f>IFERROR(__xludf.DUMMYFUNCTION("""COMPUTED_VALUE"""),30.0)</f>
        <v>30</v>
      </c>
      <c r="D648" s="13" t="str">
        <f>IFERROR(__xludf.DUMMYFUNCTION("""COMPUTED_VALUE"""),"SEX.")</f>
        <v>SEX.</v>
      </c>
      <c r="E648" s="13">
        <f>IFERROR(__xludf.DUMMYFUNCTION("""COMPUTED_VALUE"""),7.0)</f>
        <v>7</v>
      </c>
      <c r="F648" s="15"/>
      <c r="G648" s="16">
        <f>IFERROR(__xludf.DUMMYFUNCTION("""COMPUTED_VALUE"""),2050.0)</f>
        <v>2050</v>
      </c>
      <c r="H648" s="227"/>
      <c r="I648" s="21" t="str">
        <f>IFERROR(__xludf.DUMMYFUNCTION("""COMPUTED_VALUE"""),"NUBANK")</f>
        <v>NUBANK</v>
      </c>
      <c r="J648" s="21"/>
      <c r="K648" s="216"/>
      <c r="L648" s="216"/>
      <c r="M648" s="216"/>
      <c r="N648" s="216"/>
      <c r="O648" s="216"/>
      <c r="P648" s="216"/>
      <c r="Q648" s="216"/>
    </row>
    <row r="649">
      <c r="A649" s="11" t="str">
        <f>IFERROR(__xludf.DUMMYFUNCTION("""COMPUTED_VALUE"""),"PAGO")</f>
        <v>PAGO</v>
      </c>
      <c r="B649" s="98" t="str">
        <f>IFERROR(__xludf.DUMMYFUNCTION("""COMPUTED_VALUE"""),"Transferi para investimento - Nubank")</f>
        <v>Transferi para investimento - Nubank</v>
      </c>
      <c r="C649" s="13">
        <f>IFERROR(__xludf.DUMMYFUNCTION("""COMPUTED_VALUE"""),30.0)</f>
        <v>30</v>
      </c>
      <c r="D649" s="13" t="str">
        <f>IFERROR(__xludf.DUMMYFUNCTION("""COMPUTED_VALUE"""),"SEX.")</f>
        <v>SEX.</v>
      </c>
      <c r="E649" s="13">
        <f>IFERROR(__xludf.DUMMYFUNCTION("""COMPUTED_VALUE"""),7.0)</f>
        <v>7</v>
      </c>
      <c r="F649" s="15"/>
      <c r="G649" s="16"/>
      <c r="H649" s="227">
        <f>IFERROR(__xludf.DUMMYFUNCTION("""COMPUTED_VALUE"""),2050.0)</f>
        <v>2050</v>
      </c>
      <c r="I649" s="21" t="str">
        <f>IFERROR(__xludf.DUMMYFUNCTION("""COMPUTED_VALUE"""),"NUBANK")</f>
        <v>NUBANK</v>
      </c>
      <c r="J649" s="21" t="str">
        <f>IFERROR(__xludf.DUMMYFUNCTION("""COMPUTED_VALUE"""),"#Transferencia #Investimento #Extra #Nubank")</f>
        <v>#Transferencia #Investimento #Extra #Nubank</v>
      </c>
      <c r="K649" s="216"/>
      <c r="L649" s="216"/>
      <c r="M649" s="216"/>
      <c r="N649" s="216"/>
      <c r="O649" s="216"/>
      <c r="P649" s="216"/>
      <c r="Q649" s="216"/>
    </row>
    <row r="650">
      <c r="A650" s="11" t="str">
        <f>IFERROR(__xludf.DUMMYFUNCTION("""COMPUTED_VALUE"""),"PAGO")</f>
        <v>PAGO</v>
      </c>
      <c r="B650" s="98" t="str">
        <f>IFERROR(__xludf.DUMMYFUNCTION("""COMPUTED_VALUE"""),"Transferi para investimento - Clear HGLG11 IRDM11 Subscrição")</f>
        <v>Transferi para investimento - Clear HGLG11 IRDM11 Subscrição</v>
      </c>
      <c r="C650" s="13">
        <f>IFERROR(__xludf.DUMMYFUNCTION("""COMPUTED_VALUE"""),30.0)</f>
        <v>30</v>
      </c>
      <c r="D650" s="13" t="str">
        <f>IFERROR(__xludf.DUMMYFUNCTION("""COMPUTED_VALUE"""),"SEX.")</f>
        <v>SEX.</v>
      </c>
      <c r="E650" s="13">
        <f>IFERROR(__xludf.DUMMYFUNCTION("""COMPUTED_VALUE"""),7.0)</f>
        <v>7</v>
      </c>
      <c r="F650" s="15"/>
      <c r="G650" s="16"/>
      <c r="H650" s="227">
        <f>IFERROR(__xludf.DUMMYFUNCTION("""COMPUTED_VALUE"""),820.0)</f>
        <v>820</v>
      </c>
      <c r="I650" s="21" t="str">
        <f>IFERROR(__xludf.DUMMYFUNCTION("""COMPUTED_VALUE"""),"NUBANK")</f>
        <v>NUBANK</v>
      </c>
      <c r="J650" s="21" t="str">
        <f>IFERROR(__xludf.DUMMYFUNCTION("""COMPUTED_VALUE"""),"#Transferencia #Investimento #Variavel #Clear")</f>
        <v>#Transferencia #Investimento #Variavel #Clear</v>
      </c>
      <c r="K650" s="216"/>
      <c r="L650" s="216"/>
      <c r="M650" s="216"/>
      <c r="N650" s="216"/>
      <c r="O650" s="216"/>
      <c r="P650" s="216"/>
      <c r="Q650" s="216"/>
    </row>
    <row r="651">
      <c r="A651" s="11" t="str">
        <f>IFERROR(__xludf.DUMMYFUNCTION("""COMPUTED_VALUE"""),"PAGO")</f>
        <v>PAGO</v>
      </c>
      <c r="B651" s="98" t="str">
        <f>IFERROR(__xludf.DUMMYFUNCTION("""COMPUTED_VALUE"""),"Shibata")</f>
        <v>Shibata</v>
      </c>
      <c r="C651" s="13">
        <f>IFERROR(__xludf.DUMMYFUNCTION("""COMPUTED_VALUE"""),30.0)</f>
        <v>30</v>
      </c>
      <c r="D651" s="13" t="str">
        <f>IFERROR(__xludf.DUMMYFUNCTION("""COMPUTED_VALUE"""),"SEX.")</f>
        <v>SEX.</v>
      </c>
      <c r="E651" s="13">
        <f>IFERROR(__xludf.DUMMYFUNCTION("""COMPUTED_VALUE"""),7.0)</f>
        <v>7</v>
      </c>
      <c r="F651" s="15"/>
      <c r="G651" s="16"/>
      <c r="H651" s="227">
        <f>IFERROR(__xludf.DUMMYFUNCTION("""COMPUTED_VALUE"""),81.08)</f>
        <v>81.08</v>
      </c>
      <c r="I651" s="21" t="str">
        <f>IFERROR(__xludf.DUMMYFUNCTION("""COMPUTED_VALUE"""),"SODEXO-ALI-IBM")</f>
        <v>SODEXO-ALI-IBM</v>
      </c>
      <c r="J651" s="21" t="str">
        <f>IFERROR(__xludf.DUMMYFUNCTION("""COMPUTED_VALUE"""),"#Moradia #Essencial #Mercado #Variavel #Alimentação ")</f>
        <v>#Moradia #Essencial #Mercado #Variavel #Alimentação </v>
      </c>
      <c r="K651" s="216"/>
      <c r="L651" s="216"/>
      <c r="M651" s="216"/>
      <c r="N651" s="216"/>
      <c r="O651" s="216"/>
      <c r="P651" s="216"/>
      <c r="Q651" s="216"/>
    </row>
    <row r="652">
      <c r="A652" s="11" t="str">
        <f>IFERROR(__xludf.DUMMYFUNCTION("""COMPUTED_VALUE"""),"PAGO")</f>
        <v>PAGO</v>
      </c>
      <c r="B652" s="98" t="str">
        <f>IFERROR(__xludf.DUMMYFUNCTION("""COMPUTED_VALUE"""),"Pizza Hut - Vale Sul Shopping")</f>
        <v>Pizza Hut - Vale Sul Shopping</v>
      </c>
      <c r="C652" s="13">
        <f>IFERROR(__xludf.DUMMYFUNCTION("""COMPUTED_VALUE"""),30.0)</f>
        <v>30</v>
      </c>
      <c r="D652" s="13" t="str">
        <f>IFERROR(__xludf.DUMMYFUNCTION("""COMPUTED_VALUE"""),"SEX.")</f>
        <v>SEX.</v>
      </c>
      <c r="E652" s="13">
        <f>IFERROR(__xludf.DUMMYFUNCTION("""COMPUTED_VALUE"""),7.0)</f>
        <v>7</v>
      </c>
      <c r="F652" s="15"/>
      <c r="G652" s="16"/>
      <c r="H652" s="227">
        <f>IFERROR(__xludf.DUMMYFUNCTION("""COMPUTED_VALUE"""),154.8)</f>
        <v>154.8</v>
      </c>
      <c r="I652" s="21" t="str">
        <f>IFERROR(__xludf.DUMMYFUNCTION("""COMPUTED_VALUE"""),"NUBANK")</f>
        <v>NUBANK</v>
      </c>
      <c r="J652" s="21" t="str">
        <f>IFERROR(__xludf.DUMMYFUNCTION("""COMPUTED_VALUE"""),"#Lazer #Comida #Variavel")</f>
        <v>#Lazer #Comida #Variavel</v>
      </c>
      <c r="K652" s="216"/>
      <c r="L652" s="216"/>
      <c r="M652" s="216"/>
      <c r="N652" s="216"/>
      <c r="O652" s="216"/>
      <c r="P652" s="216"/>
      <c r="Q652" s="216"/>
    </row>
    <row r="653">
      <c r="A653" s="11" t="str">
        <f>IFERROR(__xludf.DUMMYFUNCTION("""COMPUTED_VALUE"""),"PAGO")</f>
        <v>PAGO</v>
      </c>
      <c r="B653" s="98" t="str">
        <f>IFERROR(__xludf.DUMMYFUNCTION("""COMPUTED_VALUE"""),"Kabum - 2 SSD 120GB, 2 HD Externo 2TB")</f>
        <v>Kabum - 2 SSD 120GB, 2 HD Externo 2TB</v>
      </c>
      <c r="C653" s="13">
        <f>IFERROR(__xludf.DUMMYFUNCTION("""COMPUTED_VALUE"""),30.0)</f>
        <v>30</v>
      </c>
      <c r="D653" s="13" t="str">
        <f>IFERROR(__xludf.DUMMYFUNCTION("""COMPUTED_VALUE"""),"SEX.")</f>
        <v>SEX.</v>
      </c>
      <c r="E653" s="13">
        <f>IFERROR(__xludf.DUMMYFUNCTION("""COMPUTED_VALUE"""),7.0)</f>
        <v>7</v>
      </c>
      <c r="F653" s="15"/>
      <c r="G653" s="16"/>
      <c r="H653" s="227">
        <f>IFERROR(__xludf.DUMMYFUNCTION("""COMPUTED_VALUE"""),1104.5)</f>
        <v>1104.5</v>
      </c>
      <c r="I653" s="21" t="str">
        <f>IFERROR(__xludf.DUMMYFUNCTION("""COMPUTED_VALUE"""),"NUBANK")</f>
        <v>NUBANK</v>
      </c>
      <c r="J653" s="21" t="str">
        <f>IFERROR(__xludf.DUMMYFUNCTION("""COMPUTED_VALUE"""),"#Cicero #Lazer #Variavel")</f>
        <v>#Cicero #Lazer #Variavel</v>
      </c>
      <c r="K653" s="216"/>
      <c r="L653" s="216"/>
      <c r="M653" s="216"/>
      <c r="N653" s="216"/>
      <c r="O653" s="216"/>
      <c r="P653" s="216"/>
      <c r="Q653" s="216"/>
    </row>
    <row r="654">
      <c r="A654" s="11" t="str">
        <f>IFERROR(__xludf.DUMMYFUNCTION("""COMPUTED_VALUE"""),"PAGO")</f>
        <v>PAGO</v>
      </c>
      <c r="B654" s="98" t="str">
        <f>IFERROR(__xludf.DUMMYFUNCTION("""COMPUTED_VALUE"""),"Levitar SJC - sorvetes")</f>
        <v>Levitar SJC - sorvetes</v>
      </c>
      <c r="C654" s="13">
        <f>IFERROR(__xludf.DUMMYFUNCTION("""COMPUTED_VALUE"""),31.0)</f>
        <v>31</v>
      </c>
      <c r="D654" s="13" t="str">
        <f>IFERROR(__xludf.DUMMYFUNCTION("""COMPUTED_VALUE"""),"SÁB.")</f>
        <v>SÁB.</v>
      </c>
      <c r="E654" s="13">
        <f>IFERROR(__xludf.DUMMYFUNCTION("""COMPUTED_VALUE"""),7.0)</f>
        <v>7</v>
      </c>
      <c r="F654" s="15"/>
      <c r="G654" s="16"/>
      <c r="H654" s="227">
        <f>IFERROR(__xludf.DUMMYFUNCTION("""COMPUTED_VALUE"""),32.5)</f>
        <v>32.5</v>
      </c>
      <c r="I654" s="21" t="str">
        <f>IFERROR(__xludf.DUMMYFUNCTION("""COMPUTED_VALUE"""),"NUBANK")</f>
        <v>NUBANK</v>
      </c>
      <c r="J654" s="21" t="str">
        <f>IFERROR(__xludf.DUMMYFUNCTION("""COMPUTED_VALUE"""),"#Lazer #Comida #Variavel")</f>
        <v>#Lazer #Comida #Variavel</v>
      </c>
      <c r="K654" s="216"/>
      <c r="L654" s="216"/>
      <c r="M654" s="216"/>
      <c r="N654" s="216"/>
      <c r="O654" s="216"/>
      <c r="P654" s="216"/>
      <c r="Q654" s="216"/>
    </row>
    <row r="655">
      <c r="A655" s="11" t="str">
        <f>IFERROR(__xludf.DUMMYFUNCTION("""COMPUTED_VALUE"""),"PAGO")</f>
        <v>PAGO</v>
      </c>
      <c r="B655" s="98" t="str">
        <f>IFERROR(__xludf.DUMMYFUNCTION("""COMPUTED_VALUE"""),"Assaí Atacadista - valor aproximado 800,00")</f>
        <v>Assaí Atacadista - valor aproximado 800,00</v>
      </c>
      <c r="C655" s="13">
        <f>IFERROR(__xludf.DUMMYFUNCTION("""COMPUTED_VALUE"""),31.0)</f>
        <v>31</v>
      </c>
      <c r="D655" s="13" t="str">
        <f>IFERROR(__xludf.DUMMYFUNCTION("""COMPUTED_VALUE"""),"SÁB.")</f>
        <v>SÁB.</v>
      </c>
      <c r="E655" s="13">
        <f>IFERROR(__xludf.DUMMYFUNCTION("""COMPUTED_VALUE"""),7.0)</f>
        <v>7</v>
      </c>
      <c r="F655" s="15"/>
      <c r="G655" s="16"/>
      <c r="H655" s="227">
        <f>IFERROR(__xludf.DUMMYFUNCTION("""COMPUTED_VALUE"""),0.0)</f>
        <v>0</v>
      </c>
      <c r="I655" s="21" t="str">
        <f>IFERROR(__xludf.DUMMYFUNCTION("""COMPUTED_VALUE"""),"NUBANK")</f>
        <v>NUBANK</v>
      </c>
      <c r="J655" s="21" t="str">
        <f>IFERROR(__xludf.DUMMYFUNCTION("""COMPUTED_VALUE"""),"#Moradia #Essencial #Mercado #Fixo #Alimentação ")</f>
        <v>#Moradia #Essencial #Mercado #Fixo #Alimentação </v>
      </c>
      <c r="K655" s="216"/>
      <c r="L655" s="216"/>
      <c r="M655" s="216"/>
      <c r="N655" s="216"/>
      <c r="O655" s="216"/>
      <c r="P655" s="216"/>
      <c r="Q655" s="216"/>
    </row>
    <row r="656">
      <c r="A656" s="11"/>
      <c r="B656" s="98"/>
      <c r="C656" s="13"/>
      <c r="D656" s="13"/>
      <c r="E656" s="13"/>
      <c r="F656" s="15"/>
      <c r="G656" s="16"/>
      <c r="H656" s="227"/>
      <c r="I656" s="21"/>
      <c r="J656" s="21"/>
      <c r="K656" s="216"/>
      <c r="L656" s="216"/>
      <c r="M656" s="216"/>
      <c r="N656" s="216"/>
      <c r="O656" s="216"/>
      <c r="P656" s="216"/>
      <c r="Q656" s="216"/>
    </row>
    <row r="657">
      <c r="A657" s="11"/>
      <c r="B657" s="98"/>
      <c r="C657" s="13"/>
      <c r="D657" s="13"/>
      <c r="E657" s="13"/>
      <c r="F657" s="15"/>
      <c r="G657" s="16"/>
      <c r="H657" s="227"/>
      <c r="I657" s="21"/>
      <c r="J657" s="21"/>
      <c r="K657" s="216"/>
      <c r="L657" s="216"/>
      <c r="M657" s="216"/>
      <c r="N657" s="216"/>
      <c r="O657" s="216"/>
      <c r="P657" s="216"/>
      <c r="Q657" s="216"/>
    </row>
    <row r="658">
      <c r="A658" s="11" t="str">
        <f>IFERROR(__xludf.DUMMYFUNCTION("""COMPUTED_VALUE"""),"PAGO")</f>
        <v>PAGO</v>
      </c>
      <c r="B658" s="98" t="str">
        <f>IFERROR(__xludf.DUMMYFUNCTION("""COMPUTED_VALUE"""),"Entrada mes anterior")</f>
        <v>Entrada mes anterior</v>
      </c>
      <c r="C658" s="13">
        <f>IFERROR(__xludf.DUMMYFUNCTION("""COMPUTED_VALUE"""),1.0)</f>
        <v>1</v>
      </c>
      <c r="D658" s="13" t="str">
        <f>IFERROR(__xludf.DUMMYFUNCTION("""COMPUTED_VALUE"""),"DOM.")</f>
        <v>DOM.</v>
      </c>
      <c r="E658" s="13">
        <f>IFERROR(__xludf.DUMMYFUNCTION("""COMPUTED_VALUE"""),8.0)</f>
        <v>8</v>
      </c>
      <c r="F658" s="15"/>
      <c r="G658" s="16">
        <f>IFERROR(__xludf.DUMMYFUNCTION("""COMPUTED_VALUE"""),63.02000000000089)</f>
        <v>63.02</v>
      </c>
      <c r="H658" s="227"/>
      <c r="I658" s="21" t="str">
        <f>IFERROR(__xludf.DUMMYFUNCTION("""COMPUTED_VALUE"""),"ITAU")</f>
        <v>ITAU</v>
      </c>
      <c r="J658" s="21" t="str">
        <f>IFERROR(__xludf.DUMMYFUNCTION("""COMPUTED_VALUE"""),"#Recebimentos #Ajuste #Variavel")</f>
        <v>#Recebimentos #Ajuste #Variavel</v>
      </c>
      <c r="K658" s="216"/>
      <c r="L658" s="216"/>
      <c r="M658" s="216"/>
      <c r="N658" s="216"/>
      <c r="O658" s="216"/>
      <c r="P658" s="216"/>
      <c r="Q658" s="216"/>
    </row>
    <row r="659">
      <c r="A659" s="11" t="str">
        <f>IFERROR(__xludf.DUMMYFUNCTION("""COMPUTED_VALUE"""),"PAGO")</f>
        <v>PAGO</v>
      </c>
      <c r="B659" s="98" t="str">
        <f>IFERROR(__xludf.DUMMYFUNCTION("""COMPUTED_VALUE"""),"Entrada mes anterior")</f>
        <v>Entrada mes anterior</v>
      </c>
      <c r="C659" s="13">
        <f>IFERROR(__xludf.DUMMYFUNCTION("""COMPUTED_VALUE"""),1.0)</f>
        <v>1</v>
      </c>
      <c r="D659" s="13" t="str">
        <f>IFERROR(__xludf.DUMMYFUNCTION("""COMPUTED_VALUE"""),"DOM.")</f>
        <v>DOM.</v>
      </c>
      <c r="E659" s="13">
        <f>IFERROR(__xludf.DUMMYFUNCTION("""COMPUTED_VALUE"""),8.0)</f>
        <v>8</v>
      </c>
      <c r="F659" s="15"/>
      <c r="G659" s="16">
        <f>IFERROR(__xludf.DUMMYFUNCTION("""COMPUTED_VALUE"""),2.850000000000364)</f>
        <v>2.85</v>
      </c>
      <c r="H659" s="227"/>
      <c r="I659" s="21" t="str">
        <f>IFERROR(__xludf.DUMMYFUNCTION("""COMPUTED_VALUE"""),"INTER")</f>
        <v>INTER</v>
      </c>
      <c r="J659" s="21" t="str">
        <f>IFERROR(__xludf.DUMMYFUNCTION("""COMPUTED_VALUE"""),"#Recebimentos #Ajuste #Variavel")</f>
        <v>#Recebimentos #Ajuste #Variavel</v>
      </c>
      <c r="K659" s="216"/>
      <c r="L659" s="216"/>
      <c r="M659" s="216"/>
      <c r="N659" s="216"/>
      <c r="O659" s="216"/>
      <c r="P659" s="216"/>
      <c r="Q659" s="216"/>
    </row>
    <row r="660">
      <c r="A660" s="11" t="str">
        <f>IFERROR(__xludf.DUMMYFUNCTION("""COMPUTED_VALUE"""),"PAGO")</f>
        <v>PAGO</v>
      </c>
      <c r="B660" s="98" t="str">
        <f>IFERROR(__xludf.DUMMYFUNCTION("""COMPUTED_VALUE"""),"Entrada mes anterior")</f>
        <v>Entrada mes anterior</v>
      </c>
      <c r="C660" s="13">
        <f>IFERROR(__xludf.DUMMYFUNCTION("""COMPUTED_VALUE"""),1.0)</f>
        <v>1</v>
      </c>
      <c r="D660" s="13" t="str">
        <f>IFERROR(__xludf.DUMMYFUNCTION("""COMPUTED_VALUE"""),"DOM.")</f>
        <v>DOM.</v>
      </c>
      <c r="E660" s="13">
        <f>IFERROR(__xludf.DUMMYFUNCTION("""COMPUTED_VALUE"""),8.0)</f>
        <v>8</v>
      </c>
      <c r="F660" s="15"/>
      <c r="G660" s="16">
        <f>IFERROR(__xludf.DUMMYFUNCTION("""COMPUTED_VALUE"""),-6.639133687258436E-13)</f>
        <v>0</v>
      </c>
      <c r="H660" s="227"/>
      <c r="I660" s="21" t="str">
        <f>IFERROR(__xludf.DUMMYFUNCTION("""COMPUTED_VALUE"""),"INTER-PJ")</f>
        <v>INTER-PJ</v>
      </c>
      <c r="J660" s="21" t="str">
        <f>IFERROR(__xludf.DUMMYFUNCTION("""COMPUTED_VALUE"""),"#Recebimentos #Ajuste #Variavel")</f>
        <v>#Recebimentos #Ajuste #Variavel</v>
      </c>
      <c r="K660" s="216"/>
      <c r="L660" s="216"/>
      <c r="M660" s="216"/>
      <c r="N660" s="216"/>
      <c r="O660" s="216"/>
      <c r="P660" s="216"/>
      <c r="Q660" s="216"/>
    </row>
    <row r="661">
      <c r="A661" s="11" t="str">
        <f>IFERROR(__xludf.DUMMYFUNCTION("""COMPUTED_VALUE"""),"PAGO")</f>
        <v>PAGO</v>
      </c>
      <c r="B661" s="98" t="str">
        <f>IFERROR(__xludf.DUMMYFUNCTION("""COMPUTED_VALUE"""),"Entrada mes anterior")</f>
        <v>Entrada mes anterior</v>
      </c>
      <c r="C661" s="13">
        <f>IFERROR(__xludf.DUMMYFUNCTION("""COMPUTED_VALUE"""),1.0)</f>
        <v>1</v>
      </c>
      <c r="D661" s="13" t="str">
        <f>IFERROR(__xludf.DUMMYFUNCTION("""COMPUTED_VALUE"""),"DOM.")</f>
        <v>DOM.</v>
      </c>
      <c r="E661" s="13">
        <f>IFERROR(__xludf.DUMMYFUNCTION("""COMPUTED_VALUE"""),8.0)</f>
        <v>8</v>
      </c>
      <c r="F661" s="15"/>
      <c r="G661" s="16">
        <f>IFERROR(__xludf.DUMMYFUNCTION("""COMPUTED_VALUE"""),2182.810000000005)</f>
        <v>2182.81</v>
      </c>
      <c r="H661" s="227"/>
      <c r="I661" s="21" t="str">
        <f>IFERROR(__xludf.DUMMYFUNCTION("""COMPUTED_VALUE"""),"NUBANK")</f>
        <v>NUBANK</v>
      </c>
      <c r="J661" s="21" t="str">
        <f>IFERROR(__xludf.DUMMYFUNCTION("""COMPUTED_VALUE"""),"#Recebimentos #Ajuste #Variavel")</f>
        <v>#Recebimentos #Ajuste #Variavel</v>
      </c>
      <c r="K661" s="216"/>
      <c r="L661" s="216"/>
      <c r="M661" s="216"/>
      <c r="N661" s="216"/>
      <c r="O661" s="216"/>
      <c r="P661" s="216"/>
      <c r="Q661" s="216"/>
    </row>
    <row r="662">
      <c r="A662" s="11" t="str">
        <f>IFERROR(__xludf.DUMMYFUNCTION("""COMPUTED_VALUE"""),"PAGO")</f>
        <v>PAGO</v>
      </c>
      <c r="B662" s="98" t="str">
        <f>IFERROR(__xludf.DUMMYFUNCTION("""COMPUTED_VALUE"""),"Entrada mes anterior")</f>
        <v>Entrada mes anterior</v>
      </c>
      <c r="C662" s="13">
        <f>IFERROR(__xludf.DUMMYFUNCTION("""COMPUTED_VALUE"""),1.0)</f>
        <v>1</v>
      </c>
      <c r="D662" s="13" t="str">
        <f>IFERROR(__xludf.DUMMYFUNCTION("""COMPUTED_VALUE"""),"DOM.")</f>
        <v>DOM.</v>
      </c>
      <c r="E662" s="13">
        <f>IFERROR(__xludf.DUMMYFUNCTION("""COMPUTED_VALUE"""),8.0)</f>
        <v>8</v>
      </c>
      <c r="F662" s="15"/>
      <c r="G662" s="16">
        <f>IFERROR(__xludf.DUMMYFUNCTION("""COMPUTED_VALUE"""),9.52)</f>
        <v>9.52</v>
      </c>
      <c r="H662" s="227"/>
      <c r="I662" s="21" t="str">
        <f>IFERROR(__xludf.DUMMYFUNCTION("""COMPUTED_VALUE"""),"C6BANK")</f>
        <v>C6BANK</v>
      </c>
      <c r="J662" s="21" t="str">
        <f>IFERROR(__xludf.DUMMYFUNCTION("""COMPUTED_VALUE"""),"#Recebimentos #Ajuste #Variavel")</f>
        <v>#Recebimentos #Ajuste #Variavel</v>
      </c>
      <c r="K662" s="216"/>
      <c r="L662" s="216"/>
      <c r="M662" s="216"/>
      <c r="N662" s="216"/>
      <c r="O662" s="216"/>
      <c r="P662" s="216"/>
      <c r="Q662" s="216"/>
    </row>
    <row r="663">
      <c r="A663" s="11" t="str">
        <f>IFERROR(__xludf.DUMMYFUNCTION("""COMPUTED_VALUE"""),"PAGO")</f>
        <v>PAGO</v>
      </c>
      <c r="B663" s="98" t="str">
        <f>IFERROR(__xludf.DUMMYFUNCTION("""COMPUTED_VALUE"""),"Entrada mes anterior")</f>
        <v>Entrada mes anterior</v>
      </c>
      <c r="C663" s="13">
        <f>IFERROR(__xludf.DUMMYFUNCTION("""COMPUTED_VALUE"""),1.0)</f>
        <v>1</v>
      </c>
      <c r="D663" s="13" t="str">
        <f>IFERROR(__xludf.DUMMYFUNCTION("""COMPUTED_VALUE"""),"DOM.")</f>
        <v>DOM.</v>
      </c>
      <c r="E663" s="13">
        <f>IFERROR(__xludf.DUMMYFUNCTION("""COMPUTED_VALUE"""),8.0)</f>
        <v>8</v>
      </c>
      <c r="F663" s="15"/>
      <c r="G663" s="16">
        <f>IFERROR(__xludf.DUMMYFUNCTION("""COMPUTED_VALUE"""),0.0)</f>
        <v>0</v>
      </c>
      <c r="H663" s="227"/>
      <c r="I663" s="21" t="str">
        <f>IFERROR(__xludf.DUMMYFUNCTION("""COMPUTED_VALUE"""),"SANTANDER")</f>
        <v>SANTANDER</v>
      </c>
      <c r="J663" s="21" t="str">
        <f>IFERROR(__xludf.DUMMYFUNCTION("""COMPUTED_VALUE"""),"#Recebimentos #Ajuste #Variavel")</f>
        <v>#Recebimentos #Ajuste #Variavel</v>
      </c>
      <c r="K663" s="216"/>
      <c r="L663" s="216"/>
      <c r="M663" s="216"/>
      <c r="N663" s="216"/>
      <c r="O663" s="216"/>
      <c r="P663" s="216"/>
      <c r="Q663" s="216"/>
    </row>
    <row r="664">
      <c r="A664" s="11" t="str">
        <f>IFERROR(__xludf.DUMMYFUNCTION("""COMPUTED_VALUE"""),"PAGO")</f>
        <v>PAGO</v>
      </c>
      <c r="B664" s="98" t="str">
        <f>IFERROR(__xludf.DUMMYFUNCTION("""COMPUTED_VALUE"""),"Entrada mes anterior")</f>
        <v>Entrada mes anterior</v>
      </c>
      <c r="C664" s="13">
        <f>IFERROR(__xludf.DUMMYFUNCTION("""COMPUTED_VALUE"""),1.0)</f>
        <v>1</v>
      </c>
      <c r="D664" s="13" t="str">
        <f>IFERROR(__xludf.DUMMYFUNCTION("""COMPUTED_VALUE"""),"DOM.")</f>
        <v>DOM.</v>
      </c>
      <c r="E664" s="13">
        <f>IFERROR(__xludf.DUMMYFUNCTION("""COMPUTED_VALUE"""),8.0)</f>
        <v>8</v>
      </c>
      <c r="F664" s="15"/>
      <c r="G664" s="16">
        <f>IFERROR(__xludf.DUMMYFUNCTION("""COMPUTED_VALUE"""),849.8599999999999)</f>
        <v>849.86</v>
      </c>
      <c r="H664" s="227"/>
      <c r="I664" s="21" t="str">
        <f>IFERROR(__xludf.DUMMYFUNCTION("""COMPUTED_VALUE"""),"SODEXO-REF-IBM")</f>
        <v>SODEXO-REF-IBM</v>
      </c>
      <c r="J664" s="21" t="str">
        <f>IFERROR(__xludf.DUMMYFUNCTION("""COMPUTED_VALUE"""),"#Recebimentos #Ajuste #Variavel")</f>
        <v>#Recebimentos #Ajuste #Variavel</v>
      </c>
      <c r="K664" s="216"/>
      <c r="L664" s="216"/>
      <c r="M664" s="216"/>
      <c r="N664" s="216"/>
      <c r="O664" s="216"/>
      <c r="P664" s="216"/>
      <c r="Q664" s="216"/>
    </row>
    <row r="665">
      <c r="A665" s="11" t="str">
        <f>IFERROR(__xludf.DUMMYFUNCTION("""COMPUTED_VALUE"""),"PAGO")</f>
        <v>PAGO</v>
      </c>
      <c r="B665" s="98" t="str">
        <f>IFERROR(__xludf.DUMMYFUNCTION("""COMPUTED_VALUE"""),"Entrada mes anterior")</f>
        <v>Entrada mes anterior</v>
      </c>
      <c r="C665" s="13">
        <f>IFERROR(__xludf.DUMMYFUNCTION("""COMPUTED_VALUE"""),1.0)</f>
        <v>1</v>
      </c>
      <c r="D665" s="13" t="str">
        <f>IFERROR(__xludf.DUMMYFUNCTION("""COMPUTED_VALUE"""),"DOM.")</f>
        <v>DOM.</v>
      </c>
      <c r="E665" s="13">
        <f>IFERROR(__xludf.DUMMYFUNCTION("""COMPUTED_VALUE"""),8.0)</f>
        <v>8</v>
      </c>
      <c r="F665" s="15"/>
      <c r="G665" s="16">
        <f>IFERROR(__xludf.DUMMYFUNCTION("""COMPUTED_VALUE"""),456.3)</f>
        <v>456.3</v>
      </c>
      <c r="H665" s="227"/>
      <c r="I665" s="21" t="str">
        <f>IFERROR(__xludf.DUMMYFUNCTION("""COMPUTED_VALUE"""),"SODEXO-ALI-IBM")</f>
        <v>SODEXO-ALI-IBM</v>
      </c>
      <c r="J665" s="21" t="str">
        <f>IFERROR(__xludf.DUMMYFUNCTION("""COMPUTED_VALUE"""),"#Recebimentos #Ajuste #Variavel")</f>
        <v>#Recebimentos #Ajuste #Variavel</v>
      </c>
      <c r="K665" s="216"/>
      <c r="L665" s="216"/>
      <c r="M665" s="216"/>
      <c r="N665" s="216"/>
      <c r="O665" s="216"/>
      <c r="P665" s="216"/>
      <c r="Q665" s="216"/>
    </row>
    <row r="666">
      <c r="A666" s="11" t="str">
        <f>IFERROR(__xludf.DUMMYFUNCTION("""COMPUTED_VALUE"""),"PAGO")</f>
        <v>PAGO</v>
      </c>
      <c r="B666" s="98" t="str">
        <f>IFERROR(__xludf.DUMMYFUNCTION("""COMPUTED_VALUE"""),"Agua - DEBITO AUTO")</f>
        <v>Agua - DEBITO AUTO</v>
      </c>
      <c r="C666" s="13">
        <f>IFERROR(__xludf.DUMMYFUNCTION("""COMPUTED_VALUE"""),2.0)</f>
        <v>2</v>
      </c>
      <c r="D666" s="13" t="str">
        <f>IFERROR(__xludf.DUMMYFUNCTION("""COMPUTED_VALUE"""),"SEG.")</f>
        <v>SEG.</v>
      </c>
      <c r="E666" s="13">
        <f>IFERROR(__xludf.DUMMYFUNCTION("""COMPUTED_VALUE"""),8.0)</f>
        <v>8</v>
      </c>
      <c r="F666" s="15"/>
      <c r="G666" s="16"/>
      <c r="H666" s="227">
        <f>IFERROR(__xludf.DUMMYFUNCTION("""COMPUTED_VALUE"""),59.79)</f>
        <v>59.79</v>
      </c>
      <c r="I666" s="21" t="str">
        <f>IFERROR(__xludf.DUMMYFUNCTION("""COMPUTED_VALUE"""),"ITAU")</f>
        <v>ITAU</v>
      </c>
      <c r="J666" s="21" t="str">
        <f>IFERROR(__xludf.DUMMYFUNCTION("""COMPUTED_VALUE"""),"#Moradia #Essencial #Agua #Fixo")</f>
        <v>#Moradia #Essencial #Agua #Fixo</v>
      </c>
      <c r="K666" s="216"/>
      <c r="L666" s="216"/>
      <c r="M666" s="216"/>
      <c r="N666" s="216"/>
      <c r="O666" s="216"/>
      <c r="P666" s="216"/>
      <c r="Q666" s="216"/>
    </row>
    <row r="667">
      <c r="A667" s="11" t="str">
        <f>IFERROR(__xludf.DUMMYFUNCTION("""COMPUTED_VALUE"""),"PAGO")</f>
        <v>PAGO</v>
      </c>
      <c r="B667" s="98" t="str">
        <f>IFERROR(__xludf.DUMMYFUNCTION("""COMPUTED_VALUE"""),"COMBO 2 Refis Purificadores de Água Consul")</f>
        <v>COMBO 2 Refis Purificadores de Água Consul</v>
      </c>
      <c r="C667" s="13">
        <f>IFERROR(__xludf.DUMMYFUNCTION("""COMPUTED_VALUE"""),3.0)</f>
        <v>3</v>
      </c>
      <c r="D667" s="13" t="str">
        <f>IFERROR(__xludf.DUMMYFUNCTION("""COMPUTED_VALUE"""),"TER.")</f>
        <v>TER.</v>
      </c>
      <c r="E667" s="13">
        <f>IFERROR(__xludf.DUMMYFUNCTION("""COMPUTED_VALUE"""),8.0)</f>
        <v>8</v>
      </c>
      <c r="F667" s="15"/>
      <c r="G667" s="16"/>
      <c r="H667" s="227">
        <f>IFERROR(__xludf.DUMMYFUNCTION("""COMPUTED_VALUE"""),221.98)</f>
        <v>221.98</v>
      </c>
      <c r="I667" s="21" t="str">
        <f>IFERROR(__xludf.DUMMYFUNCTION("""COMPUTED_VALUE"""),"NUBANK")</f>
        <v>NUBANK</v>
      </c>
      <c r="J667" s="21" t="str">
        <f>IFERROR(__xludf.DUMMYFUNCTION("""COMPUTED_VALUE"""),"#Moradia #Cozinha #Variavel ")</f>
        <v>#Moradia #Cozinha #Variavel </v>
      </c>
      <c r="K667" s="216"/>
      <c r="L667" s="216"/>
      <c r="M667" s="216"/>
      <c r="N667" s="216"/>
      <c r="O667" s="216"/>
      <c r="P667" s="216"/>
      <c r="Q667" s="216"/>
    </row>
    <row r="668">
      <c r="A668" s="11" t="str">
        <f>IFERROR(__xludf.DUMMYFUNCTION("""COMPUTED_VALUE"""),"PAGO")</f>
        <v>PAGO</v>
      </c>
      <c r="B668" s="98" t="str">
        <f>IFERROR(__xludf.DUMMYFUNCTION("""COMPUTED_VALUE"""),"Shibata  - clique e retire")</f>
        <v>Shibata  - clique e retire</v>
      </c>
      <c r="C668" s="13">
        <f>IFERROR(__xludf.DUMMYFUNCTION("""COMPUTED_VALUE"""),4.0)</f>
        <v>4</v>
      </c>
      <c r="D668" s="13" t="str">
        <f>IFERROR(__xludf.DUMMYFUNCTION("""COMPUTED_VALUE"""),"QUA.")</f>
        <v>QUA.</v>
      </c>
      <c r="E668" s="13">
        <f>IFERROR(__xludf.DUMMYFUNCTION("""COMPUTED_VALUE"""),8.0)</f>
        <v>8</v>
      </c>
      <c r="F668" s="15"/>
      <c r="G668" s="16"/>
      <c r="H668" s="227">
        <f>IFERROR(__xludf.DUMMYFUNCTION("""COMPUTED_VALUE"""),229.34)</f>
        <v>229.34</v>
      </c>
      <c r="I668" s="21" t="str">
        <f>IFERROR(__xludf.DUMMYFUNCTION("""COMPUTED_VALUE"""),"SODEXO-REF-IBM")</f>
        <v>SODEXO-REF-IBM</v>
      </c>
      <c r="J668" s="21" t="str">
        <f>IFERROR(__xludf.DUMMYFUNCTION("""COMPUTED_VALUE"""),"#Moradia #Essencial #Mercado #Variavel #Alimentação ")</f>
        <v>#Moradia #Essencial #Mercado #Variavel #Alimentação </v>
      </c>
      <c r="K668" s="216"/>
      <c r="L668" s="216"/>
      <c r="M668" s="216"/>
      <c r="N668" s="216"/>
      <c r="O668" s="216"/>
      <c r="P668" s="216"/>
      <c r="Q668" s="216"/>
    </row>
    <row r="669">
      <c r="A669" s="11" t="str">
        <f>IFERROR(__xludf.DUMMYFUNCTION("""COMPUTED_VALUE"""),"PAGO")</f>
        <v>PAGO</v>
      </c>
      <c r="B669" s="98" t="str">
        <f>IFERROR(__xludf.DUMMYFUNCTION("""COMPUTED_VALUE"""),"Aluguel de Itaquera - Joice")</f>
        <v>Aluguel de Itaquera - Joice</v>
      </c>
      <c r="C669" s="13">
        <f>IFERROR(__xludf.DUMMYFUNCTION("""COMPUTED_VALUE"""),6.0)</f>
        <v>6</v>
      </c>
      <c r="D669" s="13" t="str">
        <f>IFERROR(__xludf.DUMMYFUNCTION("""COMPUTED_VALUE"""),"SEX.")</f>
        <v>SEX.</v>
      </c>
      <c r="E669" s="13">
        <f>IFERROR(__xludf.DUMMYFUNCTION("""COMPUTED_VALUE"""),8.0)</f>
        <v>8</v>
      </c>
      <c r="F669" s="15"/>
      <c r="G669" s="16">
        <f>IFERROR(__xludf.DUMMYFUNCTION("""COMPUTED_VALUE"""),500.0)</f>
        <v>500</v>
      </c>
      <c r="H669" s="227"/>
      <c r="I669" s="21" t="str">
        <f>IFERROR(__xludf.DUMMYFUNCTION("""COMPUTED_VALUE"""),"NUBANK")</f>
        <v>NUBANK</v>
      </c>
      <c r="J669" s="21" t="str">
        <f>IFERROR(__xludf.DUMMYFUNCTION("""COMPUTED_VALUE"""),"#Recebimentos #Aluguel #Itaquera #Extra")</f>
        <v>#Recebimentos #Aluguel #Itaquera #Extra</v>
      </c>
      <c r="K669" s="216"/>
      <c r="L669" s="216"/>
      <c r="M669" s="216"/>
      <c r="N669" s="216"/>
      <c r="O669" s="216"/>
      <c r="P669" s="216"/>
      <c r="Q669" s="216"/>
    </row>
    <row r="670">
      <c r="A670" s="11" t="str">
        <f>IFERROR(__xludf.DUMMYFUNCTION("""COMPUTED_VALUE"""),"PAGO")</f>
        <v>PAGO</v>
      </c>
      <c r="B670" s="98" t="str">
        <f>IFERROR(__xludf.DUMMYFUNCTION("""COMPUTED_VALUE"""),"Transferencia via PIX - Roberta (aluguel)")</f>
        <v>Transferencia via PIX - Roberta (aluguel)</v>
      </c>
      <c r="C670" s="13">
        <f>IFERROR(__xludf.DUMMYFUNCTION("""COMPUTED_VALUE"""),6.0)</f>
        <v>6</v>
      </c>
      <c r="D670" s="13" t="str">
        <f>IFERROR(__xludf.DUMMYFUNCTION("""COMPUTED_VALUE"""),"SEX.")</f>
        <v>SEX.</v>
      </c>
      <c r="E670" s="13">
        <f>IFERROR(__xludf.DUMMYFUNCTION("""COMPUTED_VALUE"""),8.0)</f>
        <v>8</v>
      </c>
      <c r="F670" s="15"/>
      <c r="G670" s="16"/>
      <c r="H670" s="227">
        <f>IFERROR(__xludf.DUMMYFUNCTION("""COMPUTED_VALUE"""),500.0)</f>
        <v>500</v>
      </c>
      <c r="I670" s="21" t="str">
        <f>IFERROR(__xludf.DUMMYFUNCTION("""COMPUTED_VALUE"""),"NUBANK")</f>
        <v>NUBANK</v>
      </c>
      <c r="J670" s="21" t="str">
        <f>IFERROR(__xludf.DUMMYFUNCTION("""COMPUTED_VALUE"""),"#Roberta #Aluguel #Itaquera #Extra")</f>
        <v>#Roberta #Aluguel #Itaquera #Extra</v>
      </c>
      <c r="K670" s="216"/>
      <c r="L670" s="216"/>
      <c r="M670" s="216"/>
      <c r="N670" s="216"/>
      <c r="O670" s="216"/>
      <c r="P670" s="216"/>
      <c r="Q670" s="216"/>
    </row>
    <row r="671">
      <c r="A671" s="11" t="str">
        <f>IFERROR(__xludf.DUMMYFUNCTION("""COMPUTED_VALUE"""),"PAGO")</f>
        <v>PAGO</v>
      </c>
      <c r="B671" s="98" t="str">
        <f>IFERROR(__xludf.DUMMYFUNCTION("""COMPUTED_VALUE"""),"Rendimento")</f>
        <v>Rendimento</v>
      </c>
      <c r="C671" s="13">
        <f>IFERROR(__xludf.DUMMYFUNCTION("""COMPUTED_VALUE"""),7.0)</f>
        <v>7</v>
      </c>
      <c r="D671" s="13" t="str">
        <f>IFERROR(__xludf.DUMMYFUNCTION("""COMPUTED_VALUE"""),"SÁB.")</f>
        <v>SÁB.</v>
      </c>
      <c r="E671" s="13">
        <f>IFERROR(__xludf.DUMMYFUNCTION("""COMPUTED_VALUE"""),8.0)</f>
        <v>8</v>
      </c>
      <c r="F671" s="15"/>
      <c r="G671" s="16">
        <f>IFERROR(__xludf.DUMMYFUNCTION("""COMPUTED_VALUE"""),5.04)</f>
        <v>5.04</v>
      </c>
      <c r="H671" s="227"/>
      <c r="I671" s="21" t="str">
        <f>IFERROR(__xludf.DUMMYFUNCTION("""COMPUTED_VALUE"""),"NUBANK")</f>
        <v>NUBANK</v>
      </c>
      <c r="J671" s="21" t="str">
        <f>IFERROR(__xludf.DUMMYFUNCTION("""COMPUTED_VALUE"""),"#Recebimentos #Rendimentos #Variavel")</f>
        <v>#Recebimentos #Rendimentos #Variavel</v>
      </c>
      <c r="K671" s="216"/>
      <c r="L671" s="216"/>
      <c r="M671" s="216"/>
      <c r="N671" s="216"/>
      <c r="O671" s="216"/>
      <c r="P671" s="216"/>
      <c r="Q671" s="216"/>
    </row>
    <row r="672">
      <c r="A672" s="11" t="str">
        <f>IFERROR(__xludf.DUMMYFUNCTION("""COMPUTED_VALUE"""),"PAGO")</f>
        <v>PAGO</v>
      </c>
      <c r="B672" s="98" t="str">
        <f>IFERROR(__xludf.DUMMYFUNCTION("""COMPUTED_VALUE"""),"Assaí Atacadista (compra do dia 07/08 = 809,68)")</f>
        <v>Assaí Atacadista (compra do dia 07/08 = 809,68)</v>
      </c>
      <c r="C672" s="13">
        <f>IFERROR(__xludf.DUMMYFUNCTION("""COMPUTED_VALUE"""),7.0)</f>
        <v>7</v>
      </c>
      <c r="D672" s="13" t="str">
        <f>IFERROR(__xludf.DUMMYFUNCTION("""COMPUTED_VALUE"""),"SÁB.")</f>
        <v>SÁB.</v>
      </c>
      <c r="E672" s="13">
        <f>IFERROR(__xludf.DUMMYFUNCTION("""COMPUTED_VALUE"""),8.0)</f>
        <v>8</v>
      </c>
      <c r="F672" s="15"/>
      <c r="G672" s="16"/>
      <c r="H672" s="227">
        <f>IFERROR(__xludf.DUMMYFUNCTION("""COMPUTED_VALUE"""),456.3)</f>
        <v>456.3</v>
      </c>
      <c r="I672" s="21" t="str">
        <f>IFERROR(__xludf.DUMMYFUNCTION("""COMPUTED_VALUE"""),"SODEXO-ALI-IBM")</f>
        <v>SODEXO-ALI-IBM</v>
      </c>
      <c r="J672" s="21" t="str">
        <f>IFERROR(__xludf.DUMMYFUNCTION("""COMPUTED_VALUE"""),"#Moradia #Essencial #Mercado #Fixo #Alimentação ")</f>
        <v>#Moradia #Essencial #Mercado #Fixo #Alimentação </v>
      </c>
      <c r="K672" s="216"/>
      <c r="L672" s="216"/>
      <c r="M672" s="216"/>
      <c r="N672" s="216"/>
      <c r="O672" s="216"/>
      <c r="P672" s="216"/>
      <c r="Q672" s="216"/>
    </row>
    <row r="673">
      <c r="A673" s="11" t="str">
        <f>IFERROR(__xludf.DUMMYFUNCTION("""COMPUTED_VALUE"""),"PAGO")</f>
        <v>PAGO</v>
      </c>
      <c r="B673" s="98" t="str">
        <f>IFERROR(__xludf.DUMMYFUNCTION("""COMPUTED_VALUE"""),"Cartao Roberta")</f>
        <v>Cartao Roberta</v>
      </c>
      <c r="C673" s="13">
        <f>IFERROR(__xludf.DUMMYFUNCTION("""COMPUTED_VALUE"""),8.0)</f>
        <v>8</v>
      </c>
      <c r="D673" s="13" t="str">
        <f>IFERROR(__xludf.DUMMYFUNCTION("""COMPUTED_VALUE"""),"DOM.")</f>
        <v>DOM.</v>
      </c>
      <c r="E673" s="13">
        <f>IFERROR(__xludf.DUMMYFUNCTION("""COMPUTED_VALUE"""),8.0)</f>
        <v>8</v>
      </c>
      <c r="F673" s="15">
        <f>IFERROR(__xludf.DUMMYFUNCTION("""COMPUTED_VALUE"""),44411.0)</f>
        <v>44411</v>
      </c>
      <c r="G673" s="16"/>
      <c r="H673" s="227">
        <f>IFERROR(__xludf.DUMMYFUNCTION("""COMPUTED_VALUE"""),358.67999999999995)</f>
        <v>358.68</v>
      </c>
      <c r="I673" s="21" t="str">
        <f>IFERROR(__xludf.DUMMYFUNCTION("""COMPUTED_VALUE"""),"NUBANK")</f>
        <v>NUBANK</v>
      </c>
      <c r="J673" s="21"/>
      <c r="K673" s="216"/>
      <c r="L673" s="216"/>
      <c r="M673" s="216"/>
      <c r="N673" s="216"/>
      <c r="O673" s="216"/>
      <c r="P673" s="216"/>
      <c r="Q673" s="216"/>
    </row>
    <row r="674">
      <c r="A674" s="11" t="str">
        <f>IFERROR(__xludf.DUMMYFUNCTION("""COMPUTED_VALUE"""),"CREDITO")</f>
        <v>CREDITO</v>
      </c>
      <c r="B674" s="98" t="str">
        <f>IFERROR(__xludf.DUMMYFUNCTION("""COMPUTED_VALUE"""),"EBANX SHOPPE - VESTUARIO CURITIBA")</f>
        <v>EBANX SHOPPE - VESTUARIO CURITIBA</v>
      </c>
      <c r="C674" s="13"/>
      <c r="D674" s="13"/>
      <c r="E674" s="13">
        <f>IFERROR(__xludf.DUMMYFUNCTION("""COMPUTED_VALUE"""),8.0)</f>
        <v>8</v>
      </c>
      <c r="F674" s="15">
        <f>IFERROR(__xludf.DUMMYFUNCTION("""COMPUTED_VALUE"""),44375.0)</f>
        <v>44375</v>
      </c>
      <c r="G674" s="16"/>
      <c r="H674" s="227">
        <f>IFERROR(__xludf.DUMMYFUNCTION("""COMPUTED_VALUE"""),28.0)</f>
        <v>28</v>
      </c>
      <c r="I674" s="21"/>
      <c r="J674" s="21" t="str">
        <f>IFERROR(__xludf.DUMMYFUNCTION("""COMPUTED_VALUE"""),"#CartaoDeCredito #Roberta #Variavel #Carlos #Eduardo")</f>
        <v>#CartaoDeCredito #Roberta #Variavel #Carlos #Eduardo</v>
      </c>
      <c r="K674" s="216"/>
      <c r="L674" s="216"/>
      <c r="M674" s="216"/>
      <c r="N674" s="216"/>
      <c r="O674" s="216"/>
      <c r="P674" s="216"/>
      <c r="Q674" s="216"/>
    </row>
    <row r="675">
      <c r="A675" s="11" t="str">
        <f>IFERROR(__xludf.DUMMYFUNCTION("""COMPUTED_VALUE"""),"CREDITO")</f>
        <v>CREDITO</v>
      </c>
      <c r="B675" s="98" t="str">
        <f>IFERROR(__xludf.DUMMYFUNCTION("""COMPUTED_VALUE"""),"EBANX SHOPPE - VESTUARIO CURITIBA")</f>
        <v>EBANX SHOPPE - VESTUARIO CURITIBA</v>
      </c>
      <c r="C675" s="13"/>
      <c r="D675" s="13"/>
      <c r="E675" s="13">
        <f>IFERROR(__xludf.DUMMYFUNCTION("""COMPUTED_VALUE"""),8.0)</f>
        <v>8</v>
      </c>
      <c r="F675" s="15">
        <f>IFERROR(__xludf.DUMMYFUNCTION("""COMPUTED_VALUE"""),44375.0)</f>
        <v>44375</v>
      </c>
      <c r="G675" s="16"/>
      <c r="H675" s="227">
        <f>IFERROR(__xludf.DUMMYFUNCTION("""COMPUTED_VALUE"""),29.59)</f>
        <v>29.59</v>
      </c>
      <c r="I675" s="21"/>
      <c r="J675" s="21" t="str">
        <f>IFERROR(__xludf.DUMMYFUNCTION("""COMPUTED_VALUE"""),"#CartaoDeCredito #Roberta #Variavel #Carlos #Eduardo")</f>
        <v>#CartaoDeCredito #Roberta #Variavel #Carlos #Eduardo</v>
      </c>
      <c r="K675" s="216"/>
      <c r="L675" s="216"/>
      <c r="M675" s="216"/>
      <c r="N675" s="216"/>
      <c r="O675" s="216"/>
      <c r="P675" s="216"/>
      <c r="Q675" s="216"/>
    </row>
    <row r="676">
      <c r="A676" s="11" t="str">
        <f>IFERROR(__xludf.DUMMYFUNCTION("""COMPUTED_VALUE"""),"CREDITO")</f>
        <v>CREDITO</v>
      </c>
      <c r="B676" s="98" t="str">
        <f>IFERROR(__xludf.DUMMYFUNCTION("""COMPUTED_VALUE"""),"EBANX SHOPPE - VESTUARIO CURITIBA")</f>
        <v>EBANX SHOPPE - VESTUARIO CURITIBA</v>
      </c>
      <c r="C676" s="13"/>
      <c r="D676" s="13"/>
      <c r="E676" s="13">
        <f>IFERROR(__xludf.DUMMYFUNCTION("""COMPUTED_VALUE"""),8.0)</f>
        <v>8</v>
      </c>
      <c r="F676" s="15">
        <f>IFERROR(__xludf.DUMMYFUNCTION("""COMPUTED_VALUE"""),44376.0)</f>
        <v>44376</v>
      </c>
      <c r="G676" s="16"/>
      <c r="H676" s="227">
        <f>IFERROR(__xludf.DUMMYFUNCTION("""COMPUTED_VALUE"""),39.9)</f>
        <v>39.9</v>
      </c>
      <c r="I676" s="21"/>
      <c r="J676" s="21" t="str">
        <f>IFERROR(__xludf.DUMMYFUNCTION("""COMPUTED_VALUE"""),"#CartaoDeCredito #Roberta #Variavel #Carlos #Eduardo")</f>
        <v>#CartaoDeCredito #Roberta #Variavel #Carlos #Eduardo</v>
      </c>
      <c r="K676" s="216"/>
      <c r="L676" s="216"/>
      <c r="M676" s="216"/>
      <c r="N676" s="216"/>
      <c r="O676" s="216"/>
      <c r="P676" s="216"/>
      <c r="Q676" s="216"/>
    </row>
    <row r="677">
      <c r="A677" s="11" t="str">
        <f>IFERROR(__xludf.DUMMYFUNCTION("""COMPUTED_VALUE"""),"CREDITO")</f>
        <v>CREDITO</v>
      </c>
      <c r="B677" s="98" t="str">
        <f>IFERROR(__xludf.DUMMYFUNCTION("""COMPUTED_VALUE"""),"SPITI DIVERSOS .SAO PAULO")</f>
        <v>SPITI DIVERSOS .SAO PAULO</v>
      </c>
      <c r="C677" s="13"/>
      <c r="D677" s="13"/>
      <c r="E677" s="13">
        <f>IFERROR(__xludf.DUMMYFUNCTION("""COMPUTED_VALUE"""),8.0)</f>
        <v>8</v>
      </c>
      <c r="F677" s="15">
        <f>IFERROR(__xludf.DUMMYFUNCTION("""COMPUTED_VALUE"""),44378.0)</f>
        <v>44378</v>
      </c>
      <c r="G677" s="16"/>
      <c r="H677" s="227">
        <f>IFERROR(__xludf.DUMMYFUNCTION("""COMPUTED_VALUE"""),1.0)</f>
        <v>1</v>
      </c>
      <c r="I677" s="21"/>
      <c r="J677" s="21" t="str">
        <f>IFERROR(__xludf.DUMMYFUNCTION("""COMPUTED_VALUE"""),"#CartaoDeCredito #Roberta #Lazer #Variavel")</f>
        <v>#CartaoDeCredito #Roberta #Lazer #Variavel</v>
      </c>
      <c r="K677" s="216"/>
      <c r="L677" s="216"/>
      <c r="M677" s="216"/>
      <c r="N677" s="216"/>
      <c r="O677" s="216"/>
      <c r="P677" s="216"/>
      <c r="Q677" s="216"/>
    </row>
    <row r="678">
      <c r="A678" s="11" t="str">
        <f>IFERROR(__xludf.DUMMYFUNCTION("""COMPUTED_VALUE"""),"CREDITO")</f>
        <v>CREDITO</v>
      </c>
      <c r="B678" s="98" t="str">
        <f>IFERROR(__xludf.DUMMYFUNCTION("""COMPUTED_VALUE"""),"EBANX SHOPPE - VESTUARIO CURITIBA")</f>
        <v>EBANX SHOPPE - VESTUARIO CURITIBA</v>
      </c>
      <c r="C678" s="13"/>
      <c r="D678" s="13"/>
      <c r="E678" s="13">
        <f>IFERROR(__xludf.DUMMYFUNCTION("""COMPUTED_VALUE"""),8.0)</f>
        <v>8</v>
      </c>
      <c r="F678" s="15">
        <f>IFERROR(__xludf.DUMMYFUNCTION("""COMPUTED_VALUE"""),44379.0)</f>
        <v>44379</v>
      </c>
      <c r="G678" s="16"/>
      <c r="H678" s="227">
        <f>IFERROR(__xludf.DUMMYFUNCTION("""COMPUTED_VALUE"""),-29.59)</f>
        <v>-29.59</v>
      </c>
      <c r="I678" s="21"/>
      <c r="J678" s="21" t="str">
        <f>IFERROR(__xludf.DUMMYFUNCTION("""COMPUTED_VALUE"""),"#CartaoDeCredito #Roberta #Variavel #Carlos #Eduardo")</f>
        <v>#CartaoDeCredito #Roberta #Variavel #Carlos #Eduardo</v>
      </c>
      <c r="K678" s="216"/>
      <c r="L678" s="216"/>
      <c r="M678" s="216"/>
      <c r="N678" s="216"/>
      <c r="O678" s="216"/>
      <c r="P678" s="216"/>
      <c r="Q678" s="216"/>
    </row>
    <row r="679">
      <c r="A679" s="11" t="str">
        <f>IFERROR(__xludf.DUMMYFUNCTION("""COMPUTED_VALUE"""),"CREDITO")</f>
        <v>CREDITO</v>
      </c>
      <c r="B679" s="98" t="str">
        <f>IFERROR(__xludf.DUMMYFUNCTION("""COMPUTED_VALUE"""),"EBANX SHOPPE - VESTUARIO CURITIBA")</f>
        <v>EBANX SHOPPE - VESTUARIO CURITIBA</v>
      </c>
      <c r="C679" s="13"/>
      <c r="D679" s="13"/>
      <c r="E679" s="13">
        <f>IFERROR(__xludf.DUMMYFUNCTION("""COMPUTED_VALUE"""),8.0)</f>
        <v>8</v>
      </c>
      <c r="F679" s="15">
        <f>IFERROR(__xludf.DUMMYFUNCTION("""COMPUTED_VALUE"""),44381.0)</f>
        <v>44381</v>
      </c>
      <c r="G679" s="16"/>
      <c r="H679" s="227">
        <f>IFERROR(__xludf.DUMMYFUNCTION("""COMPUTED_VALUE"""),51.89)</f>
        <v>51.89</v>
      </c>
      <c r="I679" s="21"/>
      <c r="J679" s="21" t="str">
        <f>IFERROR(__xludf.DUMMYFUNCTION("""COMPUTED_VALUE"""),"#CartaoDeCredito #Roberta #Variavel #Carlos #Eduardo")</f>
        <v>#CartaoDeCredito #Roberta #Variavel #Carlos #Eduardo</v>
      </c>
      <c r="K679" s="216"/>
      <c r="L679" s="216"/>
      <c r="M679" s="216"/>
      <c r="N679" s="216"/>
      <c r="O679" s="216"/>
      <c r="P679" s="216"/>
      <c r="Q679" s="216"/>
    </row>
    <row r="680">
      <c r="A680" s="11" t="str">
        <f>IFERROR(__xludf.DUMMYFUNCTION("""COMPUTED_VALUE"""),"CREDITO")</f>
        <v>CREDITO</v>
      </c>
      <c r="B680" s="98" t="str">
        <f>IFERROR(__xludf.DUMMYFUNCTION("""COMPUTED_VALUE"""),"EBANX SHOPPE - VESTUARIO CURITIBA")</f>
        <v>EBANX SHOPPE - VESTUARIO CURITIBA</v>
      </c>
      <c r="C680" s="13"/>
      <c r="D680" s="13"/>
      <c r="E680" s="13">
        <f>IFERROR(__xludf.DUMMYFUNCTION("""COMPUTED_VALUE"""),8.0)</f>
        <v>8</v>
      </c>
      <c r="F680" s="15">
        <f>IFERROR(__xludf.DUMMYFUNCTION("""COMPUTED_VALUE"""),44382.0)</f>
        <v>44382</v>
      </c>
      <c r="G680" s="16"/>
      <c r="H680" s="227">
        <f>IFERROR(__xludf.DUMMYFUNCTION("""COMPUTED_VALUE"""),67.53)</f>
        <v>67.53</v>
      </c>
      <c r="I680" s="21"/>
      <c r="J680" s="21" t="str">
        <f>IFERROR(__xludf.DUMMYFUNCTION("""COMPUTED_VALUE"""),"#CartaoDeCredito #Roberta #Variavel #Carlos #Eduardo")</f>
        <v>#CartaoDeCredito #Roberta #Variavel #Carlos #Eduardo</v>
      </c>
      <c r="K680" s="216"/>
      <c r="L680" s="216"/>
      <c r="M680" s="216"/>
      <c r="N680" s="216"/>
      <c r="O680" s="216"/>
      <c r="P680" s="216"/>
      <c r="Q680" s="216"/>
    </row>
    <row r="681">
      <c r="A681" s="11" t="str">
        <f>IFERROR(__xludf.DUMMYFUNCTION("""COMPUTED_VALUE"""),"CREDITO")</f>
        <v>CREDITO</v>
      </c>
      <c r="B681" s="98" t="str">
        <f>IFERROR(__xludf.DUMMYFUNCTION("""COMPUTED_VALUE"""),"EBANX SHOPPE - VESTUARIO CURITIBA")</f>
        <v>EBANX SHOPPE - VESTUARIO CURITIBA</v>
      </c>
      <c r="C681" s="13"/>
      <c r="D681" s="13"/>
      <c r="E681" s="13">
        <f>IFERROR(__xludf.DUMMYFUNCTION("""COMPUTED_VALUE"""),8.0)</f>
        <v>8</v>
      </c>
      <c r="F681" s="15">
        <f>IFERROR(__xludf.DUMMYFUNCTION("""COMPUTED_VALUE"""),44384.0)</f>
        <v>44384</v>
      </c>
      <c r="G681" s="16"/>
      <c r="H681" s="227">
        <f>IFERROR(__xludf.DUMMYFUNCTION("""COMPUTED_VALUE"""),116.52)</f>
        <v>116.52</v>
      </c>
      <c r="I681" s="21"/>
      <c r="J681" s="21" t="str">
        <f>IFERROR(__xludf.DUMMYFUNCTION("""COMPUTED_VALUE"""),"#CartaoDeCredito #Roberta #Variavel #Carlos #Eduardo")</f>
        <v>#CartaoDeCredito #Roberta #Variavel #Carlos #Eduardo</v>
      </c>
      <c r="K681" s="216"/>
      <c r="L681" s="216"/>
      <c r="M681" s="216"/>
      <c r="N681" s="216"/>
      <c r="O681" s="216"/>
      <c r="P681" s="216"/>
      <c r="Q681" s="216"/>
    </row>
    <row r="682">
      <c r="A682" s="11" t="str">
        <f>IFERROR(__xludf.DUMMYFUNCTION("""COMPUTED_VALUE"""),"CREDITO")</f>
        <v>CREDITO</v>
      </c>
      <c r="B682" s="98" t="str">
        <f>IFERROR(__xludf.DUMMYFUNCTION("""COMPUTED_VALUE"""),"EBANX SHOPPE - VESTUARIO CURITIBA")</f>
        <v>EBANX SHOPPE - VESTUARIO CURITIBA</v>
      </c>
      <c r="C682" s="13"/>
      <c r="D682" s="13"/>
      <c r="E682" s="13">
        <f>IFERROR(__xludf.DUMMYFUNCTION("""COMPUTED_VALUE"""),8.0)</f>
        <v>8</v>
      </c>
      <c r="F682" s="15">
        <f>IFERROR(__xludf.DUMMYFUNCTION("""COMPUTED_VALUE"""),44384.0)</f>
        <v>44384</v>
      </c>
      <c r="G682" s="16"/>
      <c r="H682" s="227">
        <f>IFERROR(__xludf.DUMMYFUNCTION("""COMPUTED_VALUE"""),40.14)</f>
        <v>40.14</v>
      </c>
      <c r="I682" s="21"/>
      <c r="J682" s="21" t="str">
        <f>IFERROR(__xludf.DUMMYFUNCTION("""COMPUTED_VALUE"""),"#CartaoDeCredito #Roberta #Variavel #Carlos #Eduardo")</f>
        <v>#CartaoDeCredito #Roberta #Variavel #Carlos #Eduardo</v>
      </c>
      <c r="K682" s="216"/>
      <c r="L682" s="216"/>
      <c r="M682" s="216"/>
      <c r="N682" s="216"/>
      <c r="O682" s="216"/>
      <c r="P682" s="216"/>
      <c r="Q682" s="216"/>
    </row>
    <row r="683">
      <c r="A683" s="11" t="str">
        <f>IFERROR(__xludf.DUMMYFUNCTION("""COMPUTED_VALUE"""),"CREDITO")</f>
        <v>CREDITO</v>
      </c>
      <c r="B683" s="98" t="str">
        <f>IFERROR(__xludf.DUMMYFUNCTION("""COMPUTED_VALUE"""),"SEGURO RESIDENCIAL ITAU")</f>
        <v>SEGURO RESIDENCIAL ITAU</v>
      </c>
      <c r="C683" s="13"/>
      <c r="D683" s="13"/>
      <c r="E683" s="13">
        <f>IFERROR(__xludf.DUMMYFUNCTION("""COMPUTED_VALUE"""),8.0)</f>
        <v>8</v>
      </c>
      <c r="F683" s="15">
        <f>IFERROR(__xludf.DUMMYFUNCTION("""COMPUTED_VALUE"""),44397.0)</f>
        <v>44397</v>
      </c>
      <c r="G683" s="16"/>
      <c r="H683" s="227">
        <f>IFERROR(__xludf.DUMMYFUNCTION("""COMPUTED_VALUE"""),13.7)</f>
        <v>13.7</v>
      </c>
      <c r="I683" s="21"/>
      <c r="J683" s="21" t="str">
        <f>IFERROR(__xludf.DUMMYFUNCTION("""COMPUTED_VALUE"""),"#CartaoDeCredito #Roberta #Essencial #Fixo #Moradia")</f>
        <v>#CartaoDeCredito #Roberta #Essencial #Fixo #Moradia</v>
      </c>
      <c r="K683" s="216"/>
      <c r="L683" s="216"/>
      <c r="M683" s="216"/>
      <c r="N683" s="216"/>
      <c r="O683" s="216"/>
      <c r="P683" s="216"/>
      <c r="Q683" s="216"/>
    </row>
    <row r="684">
      <c r="A684" s="11" t="str">
        <f>IFERROR(__xludf.DUMMYFUNCTION("""COMPUTED_VALUE"""),"PAGO")</f>
        <v>PAGO</v>
      </c>
      <c r="B684" s="98" t="str">
        <f>IFERROR(__xludf.DUMMYFUNCTION("""COMPUTED_VALUE"""),"Convenio Sr. Antonio - São Cristovão")</f>
        <v>Convenio Sr. Antonio - São Cristovão</v>
      </c>
      <c r="C684" s="13">
        <f>IFERROR(__xludf.DUMMYFUNCTION("""COMPUTED_VALUE"""),8.0)</f>
        <v>8</v>
      </c>
      <c r="D684" s="13" t="str">
        <f>IFERROR(__xludf.DUMMYFUNCTION("""COMPUTED_VALUE"""),"DOM.")</f>
        <v>DOM.</v>
      </c>
      <c r="E684" s="13">
        <f>IFERROR(__xludf.DUMMYFUNCTION("""COMPUTED_VALUE"""),8.0)</f>
        <v>8</v>
      </c>
      <c r="F684" s="15">
        <f>IFERROR(__xludf.DUMMYFUNCTION("""COMPUTED_VALUE"""),44410.0)</f>
        <v>44410</v>
      </c>
      <c r="G684" s="16"/>
      <c r="H684" s="227">
        <f>IFERROR(__xludf.DUMMYFUNCTION("""COMPUTED_VALUE"""),539.99)</f>
        <v>539.99</v>
      </c>
      <c r="I684" s="21" t="str">
        <f>IFERROR(__xludf.DUMMYFUNCTION("""COMPUTED_VALUE"""),"NUBANK")</f>
        <v>NUBANK</v>
      </c>
      <c r="J684" s="21" t="str">
        <f>IFERROR(__xludf.DUMMYFUNCTION("""COMPUTED_VALUE"""),"#Essencial #Saude #Convenio #Papai #Fixo")</f>
        <v>#Essencial #Saude #Convenio #Papai #Fixo</v>
      </c>
      <c r="K684" s="216"/>
      <c r="L684" s="216"/>
      <c r="M684" s="216"/>
      <c r="N684" s="216"/>
      <c r="O684" s="216"/>
      <c r="P684" s="216"/>
      <c r="Q684" s="216"/>
    </row>
    <row r="685">
      <c r="A685" s="11" t="str">
        <f>IFERROR(__xludf.DUMMYFUNCTION("""COMPUTED_VALUE"""),"PAGO")</f>
        <v>PAGO</v>
      </c>
      <c r="B685" s="98" t="str">
        <f>IFERROR(__xludf.DUMMYFUNCTION("""COMPUTED_VALUE"""),"Levitar SJC - sorvetes")</f>
        <v>Levitar SJC - sorvetes</v>
      </c>
      <c r="C685" s="13">
        <f>IFERROR(__xludf.DUMMYFUNCTION("""COMPUTED_VALUE"""),8.0)</f>
        <v>8</v>
      </c>
      <c r="D685" s="13" t="str">
        <f>IFERROR(__xludf.DUMMYFUNCTION("""COMPUTED_VALUE"""),"DOM.")</f>
        <v>DOM.</v>
      </c>
      <c r="E685" s="13">
        <f>IFERROR(__xludf.DUMMYFUNCTION("""COMPUTED_VALUE"""),8.0)</f>
        <v>8</v>
      </c>
      <c r="F685" s="15"/>
      <c r="G685" s="16"/>
      <c r="H685" s="227">
        <f>IFERROR(__xludf.DUMMYFUNCTION("""COMPUTED_VALUE"""),34.8)</f>
        <v>34.8</v>
      </c>
      <c r="I685" s="21" t="str">
        <f>IFERROR(__xludf.DUMMYFUNCTION("""COMPUTED_VALUE"""),"NUBANK")</f>
        <v>NUBANK</v>
      </c>
      <c r="J685" s="21" t="str">
        <f>IFERROR(__xludf.DUMMYFUNCTION("""COMPUTED_VALUE"""),"#Lazer #Comida #Variavel")</f>
        <v>#Lazer #Comida #Variavel</v>
      </c>
      <c r="K685" s="216"/>
      <c r="L685" s="216"/>
      <c r="M685" s="216"/>
      <c r="N685" s="216"/>
      <c r="O685" s="216"/>
      <c r="P685" s="216"/>
      <c r="Q685" s="216"/>
    </row>
    <row r="686">
      <c r="A686" s="11" t="str">
        <f>IFERROR(__xludf.DUMMYFUNCTION("""COMPUTED_VALUE"""),"PAGO")</f>
        <v>PAGO</v>
      </c>
      <c r="B686" s="98" t="str">
        <f>IFERROR(__xludf.DUMMYFUNCTION("""COMPUTED_VALUE"""),"Fatura VIVOFIBRA INTERNET")</f>
        <v>Fatura VIVOFIBRA INTERNET</v>
      </c>
      <c r="C686" s="13">
        <f>IFERROR(__xludf.DUMMYFUNCTION("""COMPUTED_VALUE"""),8.0)</f>
        <v>8</v>
      </c>
      <c r="D686" s="13" t="str">
        <f>IFERROR(__xludf.DUMMYFUNCTION("""COMPUTED_VALUE"""),"DOM.")</f>
        <v>DOM.</v>
      </c>
      <c r="E686" s="13">
        <f>IFERROR(__xludf.DUMMYFUNCTION("""COMPUTED_VALUE"""),8.0)</f>
        <v>8</v>
      </c>
      <c r="F686" s="15">
        <f>IFERROR(__xludf.DUMMYFUNCTION("""COMPUTED_VALUE"""),44411.0)</f>
        <v>44411</v>
      </c>
      <c r="G686" s="16"/>
      <c r="H686" s="227">
        <f>IFERROR(__xludf.DUMMYFUNCTION("""COMPUTED_VALUE"""),143.53)</f>
        <v>143.53</v>
      </c>
      <c r="I686" s="21" t="str">
        <f>IFERROR(__xludf.DUMMYFUNCTION("""COMPUTED_VALUE"""),"NUBANK")</f>
        <v>NUBANK</v>
      </c>
      <c r="J686" s="21" t="str">
        <f>IFERROR(__xludf.DUMMYFUNCTION("""COMPUTED_VALUE"""),"#Essencial #Internet #Fixo ")</f>
        <v>#Essencial #Internet #Fixo </v>
      </c>
      <c r="K686" s="216"/>
      <c r="L686" s="216"/>
      <c r="M686" s="216"/>
      <c r="N686" s="216"/>
      <c r="O686" s="216"/>
      <c r="P686" s="216"/>
      <c r="Q686" s="216"/>
    </row>
    <row r="687">
      <c r="A687" s="11" t="str">
        <f>IFERROR(__xludf.DUMMYFUNCTION("""COMPUTED_VALUE"""),"PAGO")</f>
        <v>PAGO</v>
      </c>
      <c r="B687" s="98" t="str">
        <f>IFERROR(__xludf.DUMMYFUNCTION("""COMPUTED_VALUE"""),"Fatura VIVOFIBRA NETFLIX")</f>
        <v>Fatura VIVOFIBRA NETFLIX</v>
      </c>
      <c r="C687" s="13">
        <f>IFERROR(__xludf.DUMMYFUNCTION("""COMPUTED_VALUE"""),8.0)</f>
        <v>8</v>
      </c>
      <c r="D687" s="13" t="str">
        <f>IFERROR(__xludf.DUMMYFUNCTION("""COMPUTED_VALUE"""),"DOM.")</f>
        <v>DOM.</v>
      </c>
      <c r="E687" s="13">
        <f>IFERROR(__xludf.DUMMYFUNCTION("""COMPUTED_VALUE"""),8.0)</f>
        <v>8</v>
      </c>
      <c r="F687" s="15">
        <f>IFERROR(__xludf.DUMMYFUNCTION("""COMPUTED_VALUE"""),44411.0)</f>
        <v>44411</v>
      </c>
      <c r="G687" s="16"/>
      <c r="H687" s="227">
        <f>IFERROR(__xludf.DUMMYFUNCTION("""COMPUTED_VALUE"""),16.45)</f>
        <v>16.45</v>
      </c>
      <c r="I687" s="21" t="str">
        <f>IFERROR(__xludf.DUMMYFUNCTION("""COMPUTED_VALUE"""),"NUBANK")</f>
        <v>NUBANK</v>
      </c>
      <c r="J687" s="21" t="str">
        <f>IFERROR(__xludf.DUMMYFUNCTION("""COMPUTED_VALUE"""),"#Essencial #Streaming #Fixo ")</f>
        <v>#Essencial #Streaming #Fixo </v>
      </c>
      <c r="K687" s="216"/>
      <c r="L687" s="216"/>
      <c r="M687" s="216"/>
      <c r="N687" s="216"/>
      <c r="O687" s="216"/>
      <c r="P687" s="216"/>
      <c r="Q687" s="216"/>
    </row>
    <row r="688">
      <c r="A688" s="11" t="str">
        <f>IFERROR(__xludf.DUMMYFUNCTION("""COMPUTED_VALUE"""),"PAGO")</f>
        <v>PAGO</v>
      </c>
      <c r="B688" s="98" t="str">
        <f>IFERROR(__xludf.DUMMYFUNCTION("""COMPUTED_VALUE"""),"Colégio Evoluti SJC")</f>
        <v>Colégio Evoluti SJC</v>
      </c>
      <c r="C688" s="13">
        <f>IFERROR(__xludf.DUMMYFUNCTION("""COMPUTED_VALUE"""),10.0)</f>
        <v>10</v>
      </c>
      <c r="D688" s="13" t="str">
        <f>IFERROR(__xludf.DUMMYFUNCTION("""COMPUTED_VALUE"""),"TER.")</f>
        <v>TER.</v>
      </c>
      <c r="E688" s="13">
        <f>IFERROR(__xludf.DUMMYFUNCTION("""COMPUTED_VALUE"""),8.0)</f>
        <v>8</v>
      </c>
      <c r="F688" s="15">
        <f>IFERROR(__xludf.DUMMYFUNCTION("""COMPUTED_VALUE"""),44410.0)</f>
        <v>44410</v>
      </c>
      <c r="G688" s="16"/>
      <c r="H688" s="227">
        <f>IFERROR(__xludf.DUMMYFUNCTION("""COMPUTED_VALUE"""),643.0)</f>
        <v>643</v>
      </c>
      <c r="I688" s="21" t="str">
        <f>IFERROR(__xludf.DUMMYFUNCTION("""COMPUTED_VALUE"""),"NUBANK")</f>
        <v>NUBANK</v>
      </c>
      <c r="J688" s="21" t="str">
        <f>IFERROR(__xludf.DUMMYFUNCTION("""COMPUTED_VALUE"""),"#Essencial #Escola #Eduardo #Fixo")</f>
        <v>#Essencial #Escola #Eduardo #Fixo</v>
      </c>
      <c r="K688" s="216"/>
      <c r="L688" s="216"/>
      <c r="M688" s="216"/>
      <c r="N688" s="216"/>
      <c r="O688" s="216"/>
      <c r="P688" s="216"/>
      <c r="Q688" s="216"/>
    </row>
    <row r="689">
      <c r="A689" s="11" t="str">
        <f>IFERROR(__xludf.DUMMYFUNCTION("""COMPUTED_VALUE"""),"PAGO")</f>
        <v>PAGO</v>
      </c>
      <c r="B689" s="98" t="str">
        <f>IFERROR(__xludf.DUMMYFUNCTION("""COMPUTED_VALUE"""),"Convenio Uniodonto - pagar ate outubro")</f>
        <v>Convenio Uniodonto - pagar ate outubro</v>
      </c>
      <c r="C689" s="13">
        <f>IFERROR(__xludf.DUMMYFUNCTION("""COMPUTED_VALUE"""),10.0)</f>
        <v>10</v>
      </c>
      <c r="D689" s="13" t="str">
        <f>IFERROR(__xludf.DUMMYFUNCTION("""COMPUTED_VALUE"""),"TER.")</f>
        <v>TER.</v>
      </c>
      <c r="E689" s="13">
        <f>IFERROR(__xludf.DUMMYFUNCTION("""COMPUTED_VALUE"""),8.0)</f>
        <v>8</v>
      </c>
      <c r="F689" s="15">
        <f>IFERROR(__xludf.DUMMYFUNCTION("""COMPUTED_VALUE"""),44412.0)</f>
        <v>44412</v>
      </c>
      <c r="G689" s="16"/>
      <c r="H689" s="227">
        <f>IFERROR(__xludf.DUMMYFUNCTION("""COMPUTED_VALUE"""),102.0)</f>
        <v>102</v>
      </c>
      <c r="I689" s="21" t="str">
        <f>IFERROR(__xludf.DUMMYFUNCTION("""COMPUTED_VALUE"""),"NUBANK")</f>
        <v>NUBANK</v>
      </c>
      <c r="J689" s="21" t="str">
        <f>IFERROR(__xludf.DUMMYFUNCTION("""COMPUTED_VALUE"""),"#Essencial #Saude #Convenio #Familia #Fixo")</f>
        <v>#Essencial #Saude #Convenio #Familia #Fixo</v>
      </c>
      <c r="K689" s="216"/>
      <c r="L689" s="216"/>
      <c r="M689" s="216"/>
      <c r="N689" s="216"/>
      <c r="O689" s="216"/>
      <c r="P689" s="216"/>
      <c r="Q689" s="216"/>
    </row>
    <row r="690">
      <c r="A690" s="11" t="str">
        <f>IFERROR(__xludf.DUMMYFUNCTION("""COMPUTED_VALUE"""),"PAGO")</f>
        <v>PAGO</v>
      </c>
      <c r="B690" s="98" t="str">
        <f>IFERROR(__xludf.DUMMYFUNCTION("""COMPUTED_VALUE"""),"Cancelamento - Convenio Uniodonto")</f>
        <v>Cancelamento - Convenio Uniodonto</v>
      </c>
      <c r="C690" s="13">
        <f>IFERROR(__xludf.DUMMYFUNCTION("""COMPUTED_VALUE"""),10.0)</f>
        <v>10</v>
      </c>
      <c r="D690" s="13" t="str">
        <f>IFERROR(__xludf.DUMMYFUNCTION("""COMPUTED_VALUE"""),"TER.")</f>
        <v>TER.</v>
      </c>
      <c r="E690" s="13">
        <f>IFERROR(__xludf.DUMMYFUNCTION("""COMPUTED_VALUE"""),8.0)</f>
        <v>8</v>
      </c>
      <c r="F690" s="15">
        <f>IFERROR(__xludf.DUMMYFUNCTION("""COMPUTED_VALUE"""),44412.0)</f>
        <v>44412</v>
      </c>
      <c r="G690" s="16"/>
      <c r="H690" s="227">
        <f>IFERROR(__xludf.DUMMYFUNCTION("""COMPUTED_VALUE"""),81.6)</f>
        <v>81.6</v>
      </c>
      <c r="I690" s="21" t="str">
        <f>IFERROR(__xludf.DUMMYFUNCTION("""COMPUTED_VALUE"""),"NUBANK")</f>
        <v>NUBANK</v>
      </c>
      <c r="J690" s="21" t="str">
        <f>IFERROR(__xludf.DUMMYFUNCTION("""COMPUTED_VALUE"""),"#Essencial #Saude #Convenio #Familia #Fixo ")</f>
        <v>#Essencial #Saude #Convenio #Familia #Fixo </v>
      </c>
      <c r="K690" s="216"/>
      <c r="L690" s="216"/>
      <c r="M690" s="216"/>
      <c r="N690" s="216"/>
      <c r="O690" s="216"/>
      <c r="P690" s="216"/>
      <c r="Q690" s="216"/>
    </row>
    <row r="691">
      <c r="A691" s="11" t="str">
        <f>IFERROR(__xludf.DUMMYFUNCTION("""COMPUTED_VALUE"""),"PAGO")</f>
        <v>PAGO</v>
      </c>
      <c r="B691" s="98" t="str">
        <f>IFERROR(__xludf.DUMMYFUNCTION("""COMPUTED_VALUE"""),"Shibata  - clique e retire")</f>
        <v>Shibata  - clique e retire</v>
      </c>
      <c r="C691" s="13">
        <f>IFERROR(__xludf.DUMMYFUNCTION("""COMPUTED_VALUE"""),11.0)</f>
        <v>11</v>
      </c>
      <c r="D691" s="13" t="str">
        <f>IFERROR(__xludf.DUMMYFUNCTION("""COMPUTED_VALUE"""),"QUA.")</f>
        <v>QUA.</v>
      </c>
      <c r="E691" s="13">
        <f>IFERROR(__xludf.DUMMYFUNCTION("""COMPUTED_VALUE"""),8.0)</f>
        <v>8</v>
      </c>
      <c r="F691" s="15"/>
      <c r="G691" s="16"/>
      <c r="H691" s="227">
        <f>IFERROR(__xludf.DUMMYFUNCTION("""COMPUTED_VALUE"""),106.19)</f>
        <v>106.19</v>
      </c>
      <c r="I691" s="21" t="str">
        <f>IFERROR(__xludf.DUMMYFUNCTION("""COMPUTED_VALUE"""),"SODEXO-REF-IBM")</f>
        <v>SODEXO-REF-IBM</v>
      </c>
      <c r="J691" s="21" t="str">
        <f>IFERROR(__xludf.DUMMYFUNCTION("""COMPUTED_VALUE"""),"#Moradia #Essencial #Mercado #Variavel #Alimentação ")</f>
        <v>#Moradia #Essencial #Mercado #Variavel #Alimentação </v>
      </c>
      <c r="K691" s="216"/>
      <c r="L691" s="216"/>
      <c r="M691" s="216"/>
      <c r="N691" s="216"/>
      <c r="O691" s="216"/>
      <c r="P691" s="216"/>
      <c r="Q691" s="216"/>
    </row>
    <row r="692">
      <c r="A692" s="11" t="str">
        <f>IFERROR(__xludf.DUMMYFUNCTION("""COMPUTED_VALUE"""),"PAGO")</f>
        <v>PAGO</v>
      </c>
      <c r="B692" s="98" t="str">
        <f>IFERROR(__xludf.DUMMYFUNCTION("""COMPUTED_VALUE"""),"Cartao NuBank")</f>
        <v>Cartao NuBank</v>
      </c>
      <c r="C692" s="13">
        <f>IFERROR(__xludf.DUMMYFUNCTION("""COMPUTED_VALUE"""),12.0)</f>
        <v>12</v>
      </c>
      <c r="D692" s="13" t="str">
        <f>IFERROR(__xludf.DUMMYFUNCTION("""COMPUTED_VALUE"""),"QUI.")</f>
        <v>QUI.</v>
      </c>
      <c r="E692" s="13">
        <f>IFERROR(__xludf.DUMMYFUNCTION("""COMPUTED_VALUE"""),8.0)</f>
        <v>8</v>
      </c>
      <c r="F692" s="15">
        <f>IFERROR(__xludf.DUMMYFUNCTION("""COMPUTED_VALUE"""),44412.0)</f>
        <v>44412</v>
      </c>
      <c r="G692" s="16"/>
      <c r="H692" s="227">
        <f>IFERROR(__xludf.DUMMYFUNCTION("""COMPUTED_VALUE"""),17.89)</f>
        <v>17.89</v>
      </c>
      <c r="I692" s="21" t="str">
        <f>IFERROR(__xludf.DUMMYFUNCTION("""COMPUTED_VALUE"""),"NUBANK")</f>
        <v>NUBANK</v>
      </c>
      <c r="J692" s="21"/>
      <c r="K692" s="216"/>
      <c r="L692" s="216"/>
      <c r="M692" s="216"/>
      <c r="N692" s="216"/>
      <c r="O692" s="216"/>
      <c r="P692" s="216"/>
      <c r="Q692" s="216"/>
    </row>
    <row r="693">
      <c r="A693" s="11" t="str">
        <f>IFERROR(__xludf.DUMMYFUNCTION("""COMPUTED_VALUE"""),"CREDITO")</f>
        <v>CREDITO</v>
      </c>
      <c r="B693" s="98" t="str">
        <f>IFERROR(__xludf.DUMMYFUNCTION("""COMPUTED_VALUE"""),"Youtube Member - Denny Torres - Mineração de CriptoMoedas")</f>
        <v>Youtube Member - Denny Torres - Mineração de CriptoMoedas</v>
      </c>
      <c r="C693" s="13"/>
      <c r="D693" s="13"/>
      <c r="E693" s="13">
        <f>IFERROR(__xludf.DUMMYFUNCTION("""COMPUTED_VALUE"""),8.0)</f>
        <v>8</v>
      </c>
      <c r="F693" s="15"/>
      <c r="G693" s="16"/>
      <c r="H693" s="227">
        <f>IFERROR(__xludf.DUMMYFUNCTION("""COMPUTED_VALUE"""),7.99)</f>
        <v>7.99</v>
      </c>
      <c r="I693" s="21"/>
      <c r="J693" s="21" t="str">
        <f>IFERROR(__xludf.DUMMYFUNCTION("""COMPUTED_VALUE"""),"#CartaoDeCredito #Cicero #Lazer #Fixo ")</f>
        <v>#CartaoDeCredito #Cicero #Lazer #Fixo </v>
      </c>
      <c r="K693" s="216"/>
      <c r="L693" s="216"/>
      <c r="M693" s="216"/>
      <c r="N693" s="216"/>
      <c r="O693" s="216"/>
      <c r="P693" s="216"/>
      <c r="Q693" s="216"/>
    </row>
    <row r="694">
      <c r="A694" s="11" t="str">
        <f>IFERROR(__xludf.DUMMYFUNCTION("""COMPUTED_VALUE"""),"CREDITO")</f>
        <v>CREDITO</v>
      </c>
      <c r="B694" s="98" t="str">
        <f>IFERROR(__xludf.DUMMYFUNCTION("""COMPUTED_VALUE"""),"Amazonprimebr")</f>
        <v>Amazonprimebr</v>
      </c>
      <c r="C694" s="13"/>
      <c r="D694" s="13"/>
      <c r="E694" s="13">
        <f>IFERROR(__xludf.DUMMYFUNCTION("""COMPUTED_VALUE"""),8.0)</f>
        <v>8</v>
      </c>
      <c r="F694" s="15"/>
      <c r="G694" s="16"/>
      <c r="H694" s="227">
        <f>IFERROR(__xludf.DUMMYFUNCTION("""COMPUTED_VALUE"""),9.9)</f>
        <v>9.9</v>
      </c>
      <c r="I694" s="21"/>
      <c r="J694" s="21" t="str">
        <f>IFERROR(__xludf.DUMMYFUNCTION("""COMPUTED_VALUE"""),"#CartaoDeCredito #Cicero #Streaming #Fixo ")</f>
        <v>#CartaoDeCredito #Cicero #Streaming #Fixo </v>
      </c>
      <c r="K694" s="216"/>
      <c r="L694" s="216"/>
      <c r="M694" s="216"/>
      <c r="N694" s="216"/>
      <c r="O694" s="216"/>
      <c r="P694" s="216"/>
      <c r="Q694" s="216"/>
    </row>
    <row r="695">
      <c r="A695" s="11" t="str">
        <f>IFERROR(__xludf.DUMMYFUNCTION("""COMPUTED_VALUE"""),"CONTAS")</f>
        <v>CONTAS</v>
      </c>
      <c r="B695" s="98" t="str">
        <f>IFERROR(__xludf.DUMMYFUNCTION("""COMPUTED_VALUE"""),"Transferencia via PIX")</f>
        <v>Transferencia via PIX</v>
      </c>
      <c r="C695" s="13">
        <f>IFERROR(__xludf.DUMMYFUNCTION("""COMPUTED_VALUE"""),13.0)</f>
        <v>13</v>
      </c>
      <c r="D695" s="13" t="str">
        <f>IFERROR(__xludf.DUMMYFUNCTION("""COMPUTED_VALUE"""),"SEX.")</f>
        <v>SEX.</v>
      </c>
      <c r="E695" s="13">
        <f>IFERROR(__xludf.DUMMYFUNCTION("""COMPUTED_VALUE"""),8.0)</f>
        <v>8</v>
      </c>
      <c r="F695" s="15"/>
      <c r="G695" s="16"/>
      <c r="H695" s="227">
        <f>IFERROR(__xludf.DUMMYFUNCTION("""COMPUTED_VALUE"""),400.0)</f>
        <v>400</v>
      </c>
      <c r="I695" s="21" t="str">
        <f>IFERROR(__xludf.DUMMYFUNCTION("""COMPUTED_VALUE"""),"NUBANK")</f>
        <v>NUBANK</v>
      </c>
      <c r="J695" s="21"/>
      <c r="K695" s="216"/>
      <c r="L695" s="216"/>
      <c r="M695" s="216"/>
      <c r="N695" s="216"/>
      <c r="O695" s="216"/>
      <c r="P695" s="216"/>
      <c r="Q695" s="216"/>
    </row>
    <row r="696">
      <c r="A696" s="11" t="str">
        <f>IFERROR(__xludf.DUMMYFUNCTION("""COMPUTED_VALUE"""),"CONTAS")</f>
        <v>CONTAS</v>
      </c>
      <c r="B696" s="98" t="str">
        <f>IFERROR(__xludf.DUMMYFUNCTION("""COMPUTED_VALUE"""),"Recebimento via PIX")</f>
        <v>Recebimento via PIX</v>
      </c>
      <c r="C696" s="13">
        <f>IFERROR(__xludf.DUMMYFUNCTION("""COMPUTED_VALUE"""),13.0)</f>
        <v>13</v>
      </c>
      <c r="D696" s="13" t="str">
        <f>IFERROR(__xludf.DUMMYFUNCTION("""COMPUTED_VALUE"""),"SEX.")</f>
        <v>SEX.</v>
      </c>
      <c r="E696" s="13">
        <f>IFERROR(__xludf.DUMMYFUNCTION("""COMPUTED_VALUE"""),8.0)</f>
        <v>8</v>
      </c>
      <c r="F696" s="15"/>
      <c r="G696" s="16">
        <f>IFERROR(__xludf.DUMMYFUNCTION("""COMPUTED_VALUE"""),400.0)</f>
        <v>400</v>
      </c>
      <c r="H696" s="227"/>
      <c r="I696" s="21" t="str">
        <f>IFERROR(__xludf.DUMMYFUNCTION("""COMPUTED_VALUE"""),"ITAU")</f>
        <v>ITAU</v>
      </c>
      <c r="J696" s="21"/>
      <c r="K696" s="216"/>
      <c r="L696" s="216"/>
      <c r="M696" s="216"/>
      <c r="N696" s="216"/>
      <c r="O696" s="216"/>
      <c r="P696" s="216"/>
      <c r="Q696" s="216"/>
    </row>
    <row r="697">
      <c r="A697" s="11" t="str">
        <f>IFERROR(__xludf.DUMMYFUNCTION("""COMPUTED_VALUE"""),"PAGO")</f>
        <v>PAGO</v>
      </c>
      <c r="B697" s="98" t="str">
        <f>IFERROR(__xludf.DUMMYFUNCTION("""COMPUTED_VALUE"""),"Deposito Binance para investimentos em moedas digitais")</f>
        <v>Deposito Binance para investimentos em moedas digitais</v>
      </c>
      <c r="C697" s="13">
        <f>IFERROR(__xludf.DUMMYFUNCTION("""COMPUTED_VALUE"""),13.0)</f>
        <v>13</v>
      </c>
      <c r="D697" s="13" t="str">
        <f>IFERROR(__xludf.DUMMYFUNCTION("""COMPUTED_VALUE"""),"SEX.")</f>
        <v>SEX.</v>
      </c>
      <c r="E697" s="13">
        <f>IFERROR(__xludf.DUMMYFUNCTION("""COMPUTED_VALUE"""),8.0)</f>
        <v>8</v>
      </c>
      <c r="F697" s="15"/>
      <c r="G697" s="16"/>
      <c r="H697" s="227">
        <f>IFERROR(__xludf.DUMMYFUNCTION("""COMPUTED_VALUE"""),200.0)</f>
        <v>200</v>
      </c>
      <c r="I697" s="21" t="str">
        <f>IFERROR(__xludf.DUMMYFUNCTION("""COMPUTED_VALUE"""),"NUBANK")</f>
        <v>NUBANK</v>
      </c>
      <c r="J697" s="21" t="str">
        <f>IFERROR(__xludf.DUMMYFUNCTION("""COMPUTED_VALUE"""),"#Investimento #Binance #Variavel")</f>
        <v>#Investimento #Binance #Variavel</v>
      </c>
      <c r="K697" s="216"/>
      <c r="L697" s="216"/>
      <c r="M697" s="216"/>
      <c r="N697" s="216"/>
      <c r="O697" s="216"/>
      <c r="P697" s="216"/>
      <c r="Q697" s="216"/>
    </row>
    <row r="698">
      <c r="A698" s="11" t="str">
        <f>IFERROR(__xludf.DUMMYFUNCTION("""COMPUTED_VALUE"""),"PAGO")</f>
        <v>PAGO</v>
      </c>
      <c r="B698" s="98" t="str">
        <f>IFERROR(__xludf.DUMMYFUNCTION("""COMPUTED_VALUE"""),"Salario - IBM")</f>
        <v>Salario - IBM</v>
      </c>
      <c r="C698" s="13">
        <f>IFERROR(__xludf.DUMMYFUNCTION("""COMPUTED_VALUE"""),15.0)</f>
        <v>15</v>
      </c>
      <c r="D698" s="13" t="str">
        <f>IFERROR(__xludf.DUMMYFUNCTION("""COMPUTED_VALUE"""),"DOM.")</f>
        <v>DOM.</v>
      </c>
      <c r="E698" s="13">
        <f>IFERROR(__xludf.DUMMYFUNCTION("""COMPUTED_VALUE"""),8.0)</f>
        <v>8</v>
      </c>
      <c r="F698" s="15">
        <f>IFERROR(__xludf.DUMMYFUNCTION("""COMPUTED_VALUE"""),44421.0)</f>
        <v>44421</v>
      </c>
      <c r="G698" s="16">
        <f>IFERROR(__xludf.DUMMYFUNCTION("""COMPUTED_VALUE"""),5100.0)</f>
        <v>5100</v>
      </c>
      <c r="H698" s="227"/>
      <c r="I698" s="21" t="str">
        <f>IFERROR(__xludf.DUMMYFUNCTION("""COMPUTED_VALUE"""),"SANTANDER")</f>
        <v>SANTANDER</v>
      </c>
      <c r="J698" s="21" t="str">
        <f>IFERROR(__xludf.DUMMYFUNCTION("""COMPUTED_VALUE"""),"#Recebimentos #Salario #Fixo")</f>
        <v>#Recebimentos #Salario #Fixo</v>
      </c>
      <c r="K698" s="216"/>
      <c r="L698" s="216"/>
      <c r="M698" s="216"/>
      <c r="N698" s="216"/>
      <c r="O698" s="216"/>
      <c r="P698" s="216"/>
      <c r="Q698" s="216"/>
    </row>
    <row r="699">
      <c r="A699" s="11" t="str">
        <f>IFERROR(__xludf.DUMMYFUNCTION("""COMPUTED_VALUE"""),"CONTAS")</f>
        <v>CONTAS</v>
      </c>
      <c r="B699" s="98" t="str">
        <f>IFERROR(__xludf.DUMMYFUNCTION("""COMPUTED_VALUE"""),"Transferencia via PIX")</f>
        <v>Transferencia via PIX</v>
      </c>
      <c r="C699" s="13">
        <f>IFERROR(__xludf.DUMMYFUNCTION("""COMPUTED_VALUE"""),15.0)</f>
        <v>15</v>
      </c>
      <c r="D699" s="13" t="str">
        <f>IFERROR(__xludf.DUMMYFUNCTION("""COMPUTED_VALUE"""),"DOM.")</f>
        <v>DOM.</v>
      </c>
      <c r="E699" s="13">
        <f>IFERROR(__xludf.DUMMYFUNCTION("""COMPUTED_VALUE"""),8.0)</f>
        <v>8</v>
      </c>
      <c r="F699" s="15">
        <f>IFERROR(__xludf.DUMMYFUNCTION("""COMPUTED_VALUE"""),44421.0)</f>
        <v>44421</v>
      </c>
      <c r="G699" s="16"/>
      <c r="H699" s="227">
        <f>IFERROR(__xludf.DUMMYFUNCTION("""COMPUTED_VALUE"""),5100.0)</f>
        <v>5100</v>
      </c>
      <c r="I699" s="21" t="str">
        <f>IFERROR(__xludf.DUMMYFUNCTION("""COMPUTED_VALUE"""),"SANTANDER")</f>
        <v>SANTANDER</v>
      </c>
      <c r="J699" s="21"/>
      <c r="K699" s="216"/>
      <c r="L699" s="216"/>
      <c r="M699" s="216"/>
      <c r="N699" s="216"/>
      <c r="O699" s="216"/>
      <c r="P699" s="216"/>
      <c r="Q699" s="216"/>
    </row>
    <row r="700">
      <c r="A700" s="11" t="str">
        <f>IFERROR(__xludf.DUMMYFUNCTION("""COMPUTED_VALUE"""),"CONTAS")</f>
        <v>CONTAS</v>
      </c>
      <c r="B700" s="98" t="str">
        <f>IFERROR(__xludf.DUMMYFUNCTION("""COMPUTED_VALUE"""),"Recebimento via PIX")</f>
        <v>Recebimento via PIX</v>
      </c>
      <c r="C700" s="13">
        <f>IFERROR(__xludf.DUMMYFUNCTION("""COMPUTED_VALUE"""),15.0)</f>
        <v>15</v>
      </c>
      <c r="D700" s="13" t="str">
        <f>IFERROR(__xludf.DUMMYFUNCTION("""COMPUTED_VALUE"""),"DOM.")</f>
        <v>DOM.</v>
      </c>
      <c r="E700" s="13">
        <f>IFERROR(__xludf.DUMMYFUNCTION("""COMPUTED_VALUE"""),8.0)</f>
        <v>8</v>
      </c>
      <c r="F700" s="15">
        <f>IFERROR(__xludf.DUMMYFUNCTION("""COMPUTED_VALUE"""),44421.0)</f>
        <v>44421</v>
      </c>
      <c r="G700" s="16">
        <f>IFERROR(__xludf.DUMMYFUNCTION("""COMPUTED_VALUE"""),5100.0)</f>
        <v>5100</v>
      </c>
      <c r="H700" s="227"/>
      <c r="I700" s="21" t="str">
        <f>IFERROR(__xludf.DUMMYFUNCTION("""COMPUTED_VALUE"""),"NUBANK")</f>
        <v>NUBANK</v>
      </c>
      <c r="J700" s="21"/>
      <c r="K700" s="216"/>
      <c r="L700" s="216"/>
      <c r="M700" s="216"/>
      <c r="N700" s="216"/>
      <c r="O700" s="216"/>
      <c r="P700" s="216"/>
      <c r="Q700" s="216"/>
    </row>
    <row r="701">
      <c r="A701" s="11" t="str">
        <f>IFERROR(__xludf.DUMMYFUNCTION("""COMPUTED_VALUE"""),"PAGO")</f>
        <v>PAGO</v>
      </c>
      <c r="B701" s="98" t="str">
        <f>IFERROR(__xludf.DUMMYFUNCTION("""COMPUTED_VALUE"""),"Convenio Carlos")</f>
        <v>Convenio Carlos</v>
      </c>
      <c r="C701" s="13">
        <f>IFERROR(__xludf.DUMMYFUNCTION("""COMPUTED_VALUE"""),15.0)</f>
        <v>15</v>
      </c>
      <c r="D701" s="13" t="str">
        <f>IFERROR(__xludf.DUMMYFUNCTION("""COMPUTED_VALUE"""),"DOM.")</f>
        <v>DOM.</v>
      </c>
      <c r="E701" s="13">
        <f>IFERROR(__xludf.DUMMYFUNCTION("""COMPUTED_VALUE"""),8.0)</f>
        <v>8</v>
      </c>
      <c r="F701" s="15">
        <f>IFERROR(__xludf.DUMMYFUNCTION("""COMPUTED_VALUE"""),44421.0)</f>
        <v>44421</v>
      </c>
      <c r="G701" s="16"/>
      <c r="H701" s="227">
        <f>IFERROR(__xludf.DUMMYFUNCTION("""COMPUTED_VALUE"""),176.16)</f>
        <v>176.16</v>
      </c>
      <c r="I701" s="21" t="str">
        <f>IFERROR(__xludf.DUMMYFUNCTION("""COMPUTED_VALUE"""),"NUBANK")</f>
        <v>NUBANK</v>
      </c>
      <c r="J701" s="21" t="str">
        <f>IFERROR(__xludf.DUMMYFUNCTION("""COMPUTED_VALUE"""),"#Essencial #Saude #Convenio #Familia #Fixo ")</f>
        <v>#Essencial #Saude #Convenio #Familia #Fixo </v>
      </c>
      <c r="K701" s="216"/>
      <c r="L701" s="216"/>
      <c r="M701" s="216"/>
      <c r="N701" s="216"/>
      <c r="O701" s="216"/>
      <c r="P701" s="216"/>
      <c r="Q701" s="216"/>
    </row>
    <row r="702">
      <c r="A702" s="11" t="str">
        <f>IFERROR(__xludf.DUMMYFUNCTION("""COMPUTED_VALUE"""),"PAGO")</f>
        <v>PAGO</v>
      </c>
      <c r="B702" s="98" t="str">
        <f>IFERROR(__xludf.DUMMYFUNCTION("""COMPUTED_VALUE"""),"Convenio Eduardo")</f>
        <v>Convenio Eduardo</v>
      </c>
      <c r="C702" s="13">
        <f>IFERROR(__xludf.DUMMYFUNCTION("""COMPUTED_VALUE"""),15.0)</f>
        <v>15</v>
      </c>
      <c r="D702" s="13" t="str">
        <f>IFERROR(__xludf.DUMMYFUNCTION("""COMPUTED_VALUE"""),"DOM.")</f>
        <v>DOM.</v>
      </c>
      <c r="E702" s="13">
        <f>IFERROR(__xludf.DUMMYFUNCTION("""COMPUTED_VALUE"""),8.0)</f>
        <v>8</v>
      </c>
      <c r="F702" s="15">
        <f>IFERROR(__xludf.DUMMYFUNCTION("""COMPUTED_VALUE"""),44421.0)</f>
        <v>44421</v>
      </c>
      <c r="G702" s="16"/>
      <c r="H702" s="227">
        <f>IFERROR(__xludf.DUMMYFUNCTION("""COMPUTED_VALUE"""),176.16)</f>
        <v>176.16</v>
      </c>
      <c r="I702" s="21" t="str">
        <f>IFERROR(__xludf.DUMMYFUNCTION("""COMPUTED_VALUE"""),"NUBANK")</f>
        <v>NUBANK</v>
      </c>
      <c r="J702" s="21" t="str">
        <f>IFERROR(__xludf.DUMMYFUNCTION("""COMPUTED_VALUE"""),"#Essencial #Saude #Convenio #Familia #Fixo ")</f>
        <v>#Essencial #Saude #Convenio #Familia #Fixo </v>
      </c>
      <c r="K702" s="216"/>
      <c r="L702" s="216"/>
      <c r="M702" s="216"/>
      <c r="N702" s="216"/>
      <c r="O702" s="216"/>
      <c r="P702" s="216"/>
      <c r="Q702" s="216"/>
    </row>
    <row r="703">
      <c r="A703" s="11" t="str">
        <f>IFERROR(__xludf.DUMMYFUNCTION("""COMPUTED_VALUE"""),"PAGO")</f>
        <v>PAGO</v>
      </c>
      <c r="B703" s="98" t="str">
        <f>IFERROR(__xludf.DUMMYFUNCTION("""COMPUTED_VALUE"""),"Convenio Roberta")</f>
        <v>Convenio Roberta</v>
      </c>
      <c r="C703" s="13">
        <f>IFERROR(__xludf.DUMMYFUNCTION("""COMPUTED_VALUE"""),15.0)</f>
        <v>15</v>
      </c>
      <c r="D703" s="13" t="str">
        <f>IFERROR(__xludf.DUMMYFUNCTION("""COMPUTED_VALUE"""),"DOM.")</f>
        <v>DOM.</v>
      </c>
      <c r="E703" s="13">
        <f>IFERROR(__xludf.DUMMYFUNCTION("""COMPUTED_VALUE"""),8.0)</f>
        <v>8</v>
      </c>
      <c r="F703" s="15">
        <f>IFERROR(__xludf.DUMMYFUNCTION("""COMPUTED_VALUE"""),44421.0)</f>
        <v>44421</v>
      </c>
      <c r="G703" s="16"/>
      <c r="H703" s="227">
        <f>IFERROR(__xludf.DUMMYFUNCTION("""COMPUTED_VALUE"""),222.72)</f>
        <v>222.72</v>
      </c>
      <c r="I703" s="21" t="str">
        <f>IFERROR(__xludf.DUMMYFUNCTION("""COMPUTED_VALUE"""),"NUBANK")</f>
        <v>NUBANK</v>
      </c>
      <c r="J703" s="21" t="str">
        <f>IFERROR(__xludf.DUMMYFUNCTION("""COMPUTED_VALUE"""),"#Essencial #Saude #Convenio #Familia #Fixo ")</f>
        <v>#Essencial #Saude #Convenio #Familia #Fixo </v>
      </c>
      <c r="K703" s="216"/>
      <c r="L703" s="216"/>
      <c r="M703" s="216"/>
      <c r="N703" s="216"/>
      <c r="O703" s="216"/>
      <c r="P703" s="216"/>
      <c r="Q703" s="216"/>
    </row>
    <row r="704">
      <c r="A704" s="11" t="str">
        <f>IFERROR(__xludf.DUMMYFUNCTION("""COMPUTED_VALUE"""),"PAGO")</f>
        <v>PAGO</v>
      </c>
      <c r="B704" s="98" t="str">
        <f>IFERROR(__xludf.DUMMYFUNCTION("""COMPUTED_VALUE"""),"Marmita - C E M Delivery B Food")</f>
        <v>Marmita - C E M Delivery B Food</v>
      </c>
      <c r="C704" s="13">
        <f>IFERROR(__xludf.DUMMYFUNCTION("""COMPUTED_VALUE"""),15.0)</f>
        <v>15</v>
      </c>
      <c r="D704" s="13" t="str">
        <f>IFERROR(__xludf.DUMMYFUNCTION("""COMPUTED_VALUE"""),"DOM.")</f>
        <v>DOM.</v>
      </c>
      <c r="E704" s="13">
        <f>IFERROR(__xludf.DUMMYFUNCTION("""COMPUTED_VALUE"""),8.0)</f>
        <v>8</v>
      </c>
      <c r="F704" s="15"/>
      <c r="G704" s="16"/>
      <c r="H704" s="227">
        <f>IFERROR(__xludf.DUMMYFUNCTION("""COMPUTED_VALUE"""),43.98)</f>
        <v>43.98</v>
      </c>
      <c r="I704" s="21" t="str">
        <f>IFERROR(__xludf.DUMMYFUNCTION("""COMPUTED_VALUE"""),"SODEXO-REF-IBM")</f>
        <v>SODEXO-REF-IBM</v>
      </c>
      <c r="J704" s="21" t="str">
        <f>IFERROR(__xludf.DUMMYFUNCTION("""COMPUTED_VALUE"""),"#Lazer #Comida #Variavel")</f>
        <v>#Lazer #Comida #Variavel</v>
      </c>
      <c r="K704" s="216"/>
      <c r="L704" s="216"/>
      <c r="M704" s="216"/>
      <c r="N704" s="216"/>
      <c r="O704" s="216"/>
      <c r="P704" s="216"/>
      <c r="Q704" s="216"/>
    </row>
    <row r="705">
      <c r="A705" s="11" t="str">
        <f>IFERROR(__xludf.DUMMYFUNCTION("""COMPUTED_VALUE"""),"PAGO")</f>
        <v>PAGO</v>
      </c>
      <c r="B705" s="98" t="str">
        <f>IFERROR(__xludf.DUMMYFUNCTION("""COMPUTED_VALUE"""),"Coaching / Psicologa - Candice Oliveira")</f>
        <v>Coaching / Psicologa - Candice Oliveira</v>
      </c>
      <c r="C705" s="13">
        <f>IFERROR(__xludf.DUMMYFUNCTION("""COMPUTED_VALUE"""),16.0)</f>
        <v>16</v>
      </c>
      <c r="D705" s="13" t="str">
        <f>IFERROR(__xludf.DUMMYFUNCTION("""COMPUTED_VALUE"""),"SEG.")</f>
        <v>SEG.</v>
      </c>
      <c r="E705" s="13">
        <f>IFERROR(__xludf.DUMMYFUNCTION("""COMPUTED_VALUE"""),8.0)</f>
        <v>8</v>
      </c>
      <c r="F705" s="15"/>
      <c r="G705" s="16"/>
      <c r="H705" s="227">
        <f>IFERROR(__xludf.DUMMYFUNCTION("""COMPUTED_VALUE"""),100.0)</f>
        <v>100</v>
      </c>
      <c r="I705" s="21" t="str">
        <f>IFERROR(__xludf.DUMMYFUNCTION("""COMPUTED_VALUE"""),"NUBANK")</f>
        <v>NUBANK</v>
      </c>
      <c r="J705" s="21" t="str">
        <f>IFERROR(__xludf.DUMMYFUNCTION("""COMPUTED_VALUE"""),"#Coaching #Fixo")</f>
        <v>#Coaching #Fixo</v>
      </c>
      <c r="K705" s="216"/>
      <c r="L705" s="216"/>
      <c r="M705" s="216"/>
      <c r="N705" s="216"/>
      <c r="O705" s="216"/>
      <c r="P705" s="216"/>
      <c r="Q705" s="216"/>
    </row>
    <row r="706">
      <c r="A706" s="11" t="str">
        <f>IFERROR(__xludf.DUMMYFUNCTION("""COMPUTED_VALUE"""),"PAGO")</f>
        <v>PAGO</v>
      </c>
      <c r="B706" s="98" t="str">
        <f>IFERROR(__xludf.DUMMYFUNCTION("""COMPUTED_VALUE"""),"Entrada prestação casa de Itaquera")</f>
        <v>Entrada prestação casa de Itaquera</v>
      </c>
      <c r="C706" s="13">
        <f>IFERROR(__xludf.DUMMYFUNCTION("""COMPUTED_VALUE"""),17.0)</f>
        <v>17</v>
      </c>
      <c r="D706" s="13" t="str">
        <f>IFERROR(__xludf.DUMMYFUNCTION("""COMPUTED_VALUE"""),"TER.")</f>
        <v>TER.</v>
      </c>
      <c r="E706" s="13">
        <f>IFERROR(__xludf.DUMMYFUNCTION("""COMPUTED_VALUE"""),8.0)</f>
        <v>8</v>
      </c>
      <c r="F706" s="15"/>
      <c r="G706" s="16">
        <f>IFERROR(__xludf.DUMMYFUNCTION("""COMPUTED_VALUE"""),2500.0)</f>
        <v>2500</v>
      </c>
      <c r="H706" s="227"/>
      <c r="I706" s="21" t="str">
        <f>IFERROR(__xludf.DUMMYFUNCTION("""COMPUTED_VALUE"""),"INTER")</f>
        <v>INTER</v>
      </c>
      <c r="J706" s="21" t="str">
        <f>IFERROR(__xludf.DUMMYFUNCTION("""COMPUTED_VALUE"""),"#Recebimentos #Prestação #Itaquera #Inter #Extra")</f>
        <v>#Recebimentos #Prestação #Itaquera #Inter #Extra</v>
      </c>
      <c r="K706" s="216"/>
      <c r="L706" s="216"/>
      <c r="M706" s="216"/>
      <c r="N706" s="216"/>
      <c r="O706" s="216"/>
      <c r="P706" s="216"/>
      <c r="Q706" s="216"/>
    </row>
    <row r="707">
      <c r="A707" s="11" t="str">
        <f>IFERROR(__xludf.DUMMYFUNCTION("""COMPUTED_VALUE"""),"CONTAS")</f>
        <v>CONTAS</v>
      </c>
      <c r="B707" s="98" t="str">
        <f>IFERROR(__xludf.DUMMYFUNCTION("""COMPUTED_VALUE"""),"Transferencia via PIX")</f>
        <v>Transferencia via PIX</v>
      </c>
      <c r="C707" s="13">
        <f>IFERROR(__xludf.DUMMYFUNCTION("""COMPUTED_VALUE"""),17.0)</f>
        <v>17</v>
      </c>
      <c r="D707" s="13" t="str">
        <f>IFERROR(__xludf.DUMMYFUNCTION("""COMPUTED_VALUE"""),"TER.")</f>
        <v>TER.</v>
      </c>
      <c r="E707" s="13">
        <f>IFERROR(__xludf.DUMMYFUNCTION("""COMPUTED_VALUE"""),8.0)</f>
        <v>8</v>
      </c>
      <c r="F707" s="15"/>
      <c r="G707" s="16"/>
      <c r="H707" s="227">
        <f>IFERROR(__xludf.DUMMYFUNCTION("""COMPUTED_VALUE"""),2500.0)</f>
        <v>2500</v>
      </c>
      <c r="I707" s="21" t="str">
        <f>IFERROR(__xludf.DUMMYFUNCTION("""COMPUTED_VALUE"""),"INTER")</f>
        <v>INTER</v>
      </c>
      <c r="J707" s="21"/>
      <c r="K707" s="216"/>
      <c r="L707" s="216"/>
      <c r="M707" s="216"/>
      <c r="N707" s="216"/>
      <c r="O707" s="216"/>
      <c r="P707" s="216"/>
      <c r="Q707" s="216"/>
    </row>
    <row r="708">
      <c r="A708" s="11" t="str">
        <f>IFERROR(__xludf.DUMMYFUNCTION("""COMPUTED_VALUE"""),"CONTAS")</f>
        <v>CONTAS</v>
      </c>
      <c r="B708" s="98" t="str">
        <f>IFERROR(__xludf.DUMMYFUNCTION("""COMPUTED_VALUE"""),"Recebimento via PIX")</f>
        <v>Recebimento via PIX</v>
      </c>
      <c r="C708" s="13">
        <f>IFERROR(__xludf.DUMMYFUNCTION("""COMPUTED_VALUE"""),17.0)</f>
        <v>17</v>
      </c>
      <c r="D708" s="13" t="str">
        <f>IFERROR(__xludf.DUMMYFUNCTION("""COMPUTED_VALUE"""),"TER.")</f>
        <v>TER.</v>
      </c>
      <c r="E708" s="13">
        <f>IFERROR(__xludf.DUMMYFUNCTION("""COMPUTED_VALUE"""),8.0)</f>
        <v>8</v>
      </c>
      <c r="F708" s="15"/>
      <c r="G708" s="16">
        <f>IFERROR(__xludf.DUMMYFUNCTION("""COMPUTED_VALUE"""),2500.0)</f>
        <v>2500</v>
      </c>
      <c r="H708" s="227"/>
      <c r="I708" s="21" t="str">
        <f>IFERROR(__xludf.DUMMYFUNCTION("""COMPUTED_VALUE"""),"NUBANK")</f>
        <v>NUBANK</v>
      </c>
      <c r="J708" s="21"/>
      <c r="K708" s="216"/>
      <c r="L708" s="216"/>
      <c r="M708" s="216"/>
      <c r="N708" s="216"/>
      <c r="O708" s="216"/>
      <c r="P708" s="216"/>
      <c r="Q708" s="216"/>
    </row>
    <row r="709">
      <c r="A709" s="11" t="str">
        <f>IFERROR(__xludf.DUMMYFUNCTION("""COMPUTED_VALUE"""),"PAGO")</f>
        <v>PAGO</v>
      </c>
      <c r="B709" s="98" t="str">
        <f>IFERROR(__xludf.DUMMYFUNCTION("""COMPUTED_VALUE"""),"Transferi para investimento - Clear Subscrição")</f>
        <v>Transferi para investimento - Clear Subscrição</v>
      </c>
      <c r="C709" s="13">
        <f>IFERROR(__xludf.DUMMYFUNCTION("""COMPUTED_VALUE"""),17.0)</f>
        <v>17</v>
      </c>
      <c r="D709" s="13" t="str">
        <f>IFERROR(__xludf.DUMMYFUNCTION("""COMPUTED_VALUE"""),"TER.")</f>
        <v>TER.</v>
      </c>
      <c r="E709" s="13">
        <f>IFERROR(__xludf.DUMMYFUNCTION("""COMPUTED_VALUE"""),8.0)</f>
        <v>8</v>
      </c>
      <c r="F709" s="15"/>
      <c r="G709" s="16"/>
      <c r="H709" s="227">
        <f>IFERROR(__xludf.DUMMYFUNCTION("""COMPUTED_VALUE"""),2500.0)</f>
        <v>2500</v>
      </c>
      <c r="I709" s="21" t="str">
        <f>IFERROR(__xludf.DUMMYFUNCTION("""COMPUTED_VALUE"""),"NUBANK")</f>
        <v>NUBANK</v>
      </c>
      <c r="J709" s="21" t="str">
        <f>IFERROR(__xludf.DUMMYFUNCTION("""COMPUTED_VALUE"""),"#Transferencia #Investimento #Extra #Clear")</f>
        <v>#Transferencia #Investimento #Extra #Clear</v>
      </c>
      <c r="K709" s="216"/>
      <c r="L709" s="216"/>
      <c r="M709" s="216"/>
      <c r="N709" s="216"/>
      <c r="O709" s="216"/>
      <c r="P709" s="216"/>
      <c r="Q709" s="216"/>
    </row>
    <row r="710">
      <c r="A710" s="11" t="str">
        <f>IFERROR(__xludf.DUMMYFUNCTION("""COMPUTED_VALUE"""),"PAGO")</f>
        <v>PAGO</v>
      </c>
      <c r="B710" s="98" t="str">
        <f>IFERROR(__xludf.DUMMYFUNCTION("""COMPUTED_VALUE"""),"Shibata - clique e retire")</f>
        <v>Shibata - clique e retire</v>
      </c>
      <c r="C710" s="13">
        <f>IFERROR(__xludf.DUMMYFUNCTION("""COMPUTED_VALUE"""),17.0)</f>
        <v>17</v>
      </c>
      <c r="D710" s="13" t="str">
        <f>IFERROR(__xludf.DUMMYFUNCTION("""COMPUTED_VALUE"""),"TER.")</f>
        <v>TER.</v>
      </c>
      <c r="E710" s="13">
        <f>IFERROR(__xludf.DUMMYFUNCTION("""COMPUTED_VALUE"""),8.0)</f>
        <v>8</v>
      </c>
      <c r="F710" s="15"/>
      <c r="G710" s="16"/>
      <c r="H710" s="227">
        <f>IFERROR(__xludf.DUMMYFUNCTION("""COMPUTED_VALUE"""),135.02)</f>
        <v>135.02</v>
      </c>
      <c r="I710" s="21" t="str">
        <f>IFERROR(__xludf.DUMMYFUNCTION("""COMPUTED_VALUE"""),"SODEXO-REF-IBM")</f>
        <v>SODEXO-REF-IBM</v>
      </c>
      <c r="J710" s="21" t="str">
        <f>IFERROR(__xludf.DUMMYFUNCTION("""COMPUTED_VALUE"""),"#Moradia #Essencial #Mercado #Variavel #Alimentação ")</f>
        <v>#Moradia #Essencial #Mercado #Variavel #Alimentação </v>
      </c>
      <c r="K710" s="216"/>
      <c r="L710" s="216"/>
      <c r="M710" s="216"/>
      <c r="N710" s="216"/>
      <c r="O710" s="216"/>
      <c r="P710" s="216"/>
      <c r="Q710" s="216"/>
    </row>
    <row r="711">
      <c r="A711" s="11" t="str">
        <f>IFERROR(__xludf.DUMMYFUNCTION("""COMPUTED_VALUE"""),"PAGO")</f>
        <v>PAGO</v>
      </c>
      <c r="B711" s="98" t="str">
        <f>IFERROR(__xludf.DUMMYFUNCTION("""COMPUTED_VALUE"""),"Levitar SJC - sorvetes")</f>
        <v>Levitar SJC - sorvetes</v>
      </c>
      <c r="C711" s="13">
        <f>IFERROR(__xludf.DUMMYFUNCTION("""COMPUTED_VALUE"""),18.0)</f>
        <v>18</v>
      </c>
      <c r="D711" s="13" t="str">
        <f>IFERROR(__xludf.DUMMYFUNCTION("""COMPUTED_VALUE"""),"QUA.")</f>
        <v>QUA.</v>
      </c>
      <c r="E711" s="13">
        <f>IFERROR(__xludf.DUMMYFUNCTION("""COMPUTED_VALUE"""),8.0)</f>
        <v>8</v>
      </c>
      <c r="F711" s="15"/>
      <c r="G711" s="16"/>
      <c r="H711" s="227">
        <f>IFERROR(__xludf.DUMMYFUNCTION("""COMPUTED_VALUE"""),18.4)</f>
        <v>18.4</v>
      </c>
      <c r="I711" s="21" t="str">
        <f>IFERROR(__xludf.DUMMYFUNCTION("""COMPUTED_VALUE"""),"NUBANK")</f>
        <v>NUBANK</v>
      </c>
      <c r="J711" s="21" t="str">
        <f>IFERROR(__xludf.DUMMYFUNCTION("""COMPUTED_VALUE"""),"#Lazer #Comida #Variavel")</f>
        <v>#Lazer #Comida #Variavel</v>
      </c>
      <c r="K711" s="216"/>
      <c r="L711" s="216"/>
      <c r="M711" s="216"/>
      <c r="N711" s="216"/>
      <c r="O711" s="216"/>
      <c r="P711" s="216"/>
      <c r="Q711" s="216"/>
    </row>
    <row r="712">
      <c r="A712" s="11" t="str">
        <f>IFERROR(__xludf.DUMMYFUNCTION("""COMPUTED_VALUE"""),"PAGO")</f>
        <v>PAGO</v>
      </c>
      <c r="B712" s="98" t="str">
        <f>IFERROR(__xludf.DUMMYFUNCTION("""COMPUTED_VALUE"""),"Convenio Cicero")</f>
        <v>Convenio Cicero</v>
      </c>
      <c r="C712" s="13">
        <f>IFERROR(__xludf.DUMMYFUNCTION("""COMPUTED_VALUE"""),20.0)</f>
        <v>20</v>
      </c>
      <c r="D712" s="13" t="str">
        <f>IFERROR(__xludf.DUMMYFUNCTION("""COMPUTED_VALUE"""),"SEX.")</f>
        <v>SEX.</v>
      </c>
      <c r="E712" s="13">
        <f>IFERROR(__xludf.DUMMYFUNCTION("""COMPUTED_VALUE"""),8.0)</f>
        <v>8</v>
      </c>
      <c r="F712" s="15">
        <f>IFERROR(__xludf.DUMMYFUNCTION("""COMPUTED_VALUE"""),44421.0)</f>
        <v>44421</v>
      </c>
      <c r="G712" s="16"/>
      <c r="H712" s="227">
        <f>IFERROR(__xludf.DUMMYFUNCTION("""COMPUTED_VALUE"""),373.41)</f>
        <v>373.41</v>
      </c>
      <c r="I712" s="21" t="str">
        <f>IFERROR(__xludf.DUMMYFUNCTION("""COMPUTED_VALUE"""),"NUBANK")</f>
        <v>NUBANK</v>
      </c>
      <c r="J712" s="21" t="str">
        <f>IFERROR(__xludf.DUMMYFUNCTION("""COMPUTED_VALUE"""),"#Essencial #Saude #Convenio #Familia #Cicero #Fixo ")</f>
        <v>#Essencial #Saude #Convenio #Familia #Cicero #Fixo </v>
      </c>
      <c r="K712" s="216"/>
      <c r="L712" s="216"/>
      <c r="M712" s="216"/>
      <c r="N712" s="216"/>
      <c r="O712" s="216"/>
      <c r="P712" s="216"/>
      <c r="Q712" s="216"/>
    </row>
    <row r="713">
      <c r="A713" s="11" t="str">
        <f>IFERROR(__xludf.DUMMYFUNCTION("""COMPUTED_VALUE"""),"PAGO")</f>
        <v>PAGO</v>
      </c>
      <c r="B713" s="98" t="str">
        <f>IFERROR(__xludf.DUMMYFUNCTION("""COMPUTED_VALUE"""),"Habib's iFood - beirute e pizza")</f>
        <v>Habib's iFood - beirute e pizza</v>
      </c>
      <c r="C713" s="13">
        <f>IFERROR(__xludf.DUMMYFUNCTION("""COMPUTED_VALUE"""),21.0)</f>
        <v>21</v>
      </c>
      <c r="D713" s="13" t="str">
        <f>IFERROR(__xludf.DUMMYFUNCTION("""COMPUTED_VALUE"""),"SÁB.")</f>
        <v>SÁB.</v>
      </c>
      <c r="E713" s="13">
        <f>IFERROR(__xludf.DUMMYFUNCTION("""COMPUTED_VALUE"""),8.0)</f>
        <v>8</v>
      </c>
      <c r="F713" s="15"/>
      <c r="G713" s="16"/>
      <c r="H713" s="227">
        <f>IFERROR(__xludf.DUMMYFUNCTION("""COMPUTED_VALUE"""),73.7)</f>
        <v>73.7</v>
      </c>
      <c r="I713" s="21" t="str">
        <f>IFERROR(__xludf.DUMMYFUNCTION("""COMPUTED_VALUE"""),"SODEXO-REF-IBM")</f>
        <v>SODEXO-REF-IBM</v>
      </c>
      <c r="J713" s="21" t="str">
        <f>IFERROR(__xludf.DUMMYFUNCTION("""COMPUTED_VALUE"""),"#Lazer #Comida #Variavel")</f>
        <v>#Lazer #Comida #Variavel</v>
      </c>
      <c r="K713" s="216"/>
      <c r="L713" s="216"/>
      <c r="M713" s="216"/>
      <c r="N713" s="216"/>
      <c r="O713" s="216"/>
      <c r="P713" s="216"/>
      <c r="Q713" s="216"/>
    </row>
    <row r="714">
      <c r="A714" s="11" t="str">
        <f>IFERROR(__xludf.DUMMYFUNCTION("""COMPUTED_VALUE"""),"PAGO")</f>
        <v>PAGO</v>
      </c>
      <c r="B714" s="98" t="str">
        <f>IFERROR(__xludf.DUMMYFUNCTION("""COMPUTED_VALUE"""),"Shibata")</f>
        <v>Shibata</v>
      </c>
      <c r="C714" s="13">
        <f>IFERROR(__xludf.DUMMYFUNCTION("""COMPUTED_VALUE"""),17.0)</f>
        <v>17</v>
      </c>
      <c r="D714" s="13" t="str">
        <f>IFERROR(__xludf.DUMMYFUNCTION("""COMPUTED_VALUE"""),"TER.")</f>
        <v>TER.</v>
      </c>
      <c r="E714" s="13">
        <f>IFERROR(__xludf.DUMMYFUNCTION("""COMPUTED_VALUE"""),8.0)</f>
        <v>8</v>
      </c>
      <c r="F714" s="15"/>
      <c r="G714" s="16"/>
      <c r="H714" s="227">
        <f>IFERROR(__xludf.DUMMYFUNCTION("""COMPUTED_VALUE"""),228.1)</f>
        <v>228.1</v>
      </c>
      <c r="I714" s="21" t="str">
        <f>IFERROR(__xludf.DUMMYFUNCTION("""COMPUTED_VALUE"""),"SODEXO-REF-IBM")</f>
        <v>SODEXO-REF-IBM</v>
      </c>
      <c r="J714" s="21" t="str">
        <f>IFERROR(__xludf.DUMMYFUNCTION("""COMPUTED_VALUE"""),"#Moradia #Essencial #Mercado #Variavel #Alimentação ")</f>
        <v>#Moradia #Essencial #Mercado #Variavel #Alimentação </v>
      </c>
      <c r="K714" s="216"/>
      <c r="L714" s="216"/>
      <c r="M714" s="216"/>
      <c r="N714" s="216"/>
      <c r="O714" s="216"/>
      <c r="P714" s="216"/>
      <c r="Q714" s="216"/>
    </row>
    <row r="715">
      <c r="A715" s="11" t="str">
        <f>IFERROR(__xludf.DUMMYFUNCTION("""COMPUTED_VALUE"""),"PAGO")</f>
        <v>PAGO</v>
      </c>
      <c r="B715" s="98" t="str">
        <f>IFERROR(__xludf.DUMMYFUNCTION("""COMPUTED_VALUE"""),"Transferência via PIX - MAGALU - Pneu Cinturato P1 - 175/70 R14 84T")</f>
        <v>Transferência via PIX - MAGALU - Pneu Cinturato P1 - 175/70 R14 84T</v>
      </c>
      <c r="C715" s="13">
        <f>IFERROR(__xludf.DUMMYFUNCTION("""COMPUTED_VALUE"""),22.0)</f>
        <v>22</v>
      </c>
      <c r="D715" s="13" t="str">
        <f>IFERROR(__xludf.DUMMYFUNCTION("""COMPUTED_VALUE"""),"DOM.")</f>
        <v>DOM.</v>
      </c>
      <c r="E715" s="13">
        <f>IFERROR(__xludf.DUMMYFUNCTION("""COMPUTED_VALUE"""),8.0)</f>
        <v>8</v>
      </c>
      <c r="F715" s="15"/>
      <c r="G715" s="16"/>
      <c r="H715" s="227">
        <f>IFERROR(__xludf.DUMMYFUNCTION("""COMPUTED_VALUE"""),796.1)</f>
        <v>796.1</v>
      </c>
      <c r="I715" s="21" t="str">
        <f>IFERROR(__xludf.DUMMYFUNCTION("""COMPUTED_VALUE"""),"NUBANK")</f>
        <v>NUBANK</v>
      </c>
      <c r="J715" s="21" t="str">
        <f>IFERROR(__xludf.DUMMYFUNCTION("""COMPUTED_VALUE"""),"#Carro #Pneu #Variavel")</f>
        <v>#Carro #Pneu #Variavel</v>
      </c>
      <c r="K715" s="216"/>
      <c r="L715" s="216"/>
      <c r="M715" s="216"/>
      <c r="N715" s="216"/>
      <c r="O715" s="216"/>
      <c r="P715" s="216"/>
      <c r="Q715" s="216"/>
    </row>
    <row r="716">
      <c r="A716" s="11" t="str">
        <f>IFERROR(__xludf.DUMMYFUNCTION("""COMPUTED_VALUE"""),"PAGO")</f>
        <v>PAGO</v>
      </c>
      <c r="B716" s="98" t="str">
        <f>IFERROR(__xludf.DUMMYFUNCTION("""COMPUTED_VALUE"""),"Agua - ITAQUERA - SERÁ PAGO PELA JOICE (CASA ALUGADA)")</f>
        <v>Agua - ITAQUERA - SERÁ PAGO PELA JOICE (CASA ALUGADA)</v>
      </c>
      <c r="C716" s="13">
        <f>IFERROR(__xludf.DUMMYFUNCTION("""COMPUTED_VALUE"""),23.0)</f>
        <v>23</v>
      </c>
      <c r="D716" s="13" t="str">
        <f>IFERROR(__xludf.DUMMYFUNCTION("""COMPUTED_VALUE"""),"SEG.")</f>
        <v>SEG.</v>
      </c>
      <c r="E716" s="13">
        <f>IFERROR(__xludf.DUMMYFUNCTION("""COMPUTED_VALUE"""),8.0)</f>
        <v>8</v>
      </c>
      <c r="F716" s="15"/>
      <c r="G716" s="16"/>
      <c r="H716" s="227">
        <f>IFERROR(__xludf.DUMMYFUNCTION("""COMPUTED_VALUE"""),0.0)</f>
        <v>0</v>
      </c>
      <c r="I716" s="21" t="str">
        <f>IFERROR(__xludf.DUMMYFUNCTION("""COMPUTED_VALUE"""),"NUBANK")</f>
        <v>NUBANK</v>
      </c>
      <c r="J716" s="21" t="str">
        <f>IFERROR(__xludf.DUMMYFUNCTION("""COMPUTED_VALUE"""),"#Itaquera #Essencial #AjudaAlmir #Fixo")</f>
        <v>#Itaquera #Essencial #AjudaAlmir #Fixo</v>
      </c>
      <c r="K716" s="216"/>
      <c r="L716" s="216"/>
      <c r="M716" s="216"/>
      <c r="N716" s="216"/>
      <c r="O716" s="216"/>
      <c r="P716" s="216"/>
      <c r="Q716" s="216"/>
    </row>
    <row r="717">
      <c r="A717" s="11" t="str">
        <f>IFERROR(__xludf.DUMMYFUNCTION("""COMPUTED_VALUE"""),"PAGO")</f>
        <v>PAGO</v>
      </c>
      <c r="B717" s="98" t="str">
        <f>IFERROR(__xludf.DUMMYFUNCTION("""COMPUTED_VALUE"""),"Luz - DEBITO AUTO")</f>
        <v>Luz - DEBITO AUTO</v>
      </c>
      <c r="C717" s="13">
        <f>IFERROR(__xludf.DUMMYFUNCTION("""COMPUTED_VALUE"""),23.0)</f>
        <v>23</v>
      </c>
      <c r="D717" s="13" t="str">
        <f>IFERROR(__xludf.DUMMYFUNCTION("""COMPUTED_VALUE"""),"SEG.")</f>
        <v>SEG.</v>
      </c>
      <c r="E717" s="13">
        <f>IFERROR(__xludf.DUMMYFUNCTION("""COMPUTED_VALUE"""),8.0)</f>
        <v>8</v>
      </c>
      <c r="F717" s="15"/>
      <c r="G717" s="16"/>
      <c r="H717" s="227">
        <f>IFERROR(__xludf.DUMMYFUNCTION("""COMPUTED_VALUE"""),352.02)</f>
        <v>352.02</v>
      </c>
      <c r="I717" s="21" t="str">
        <f>IFERROR(__xludf.DUMMYFUNCTION("""COMPUTED_VALUE"""),"ITAU")</f>
        <v>ITAU</v>
      </c>
      <c r="J717" s="21" t="str">
        <f>IFERROR(__xludf.DUMMYFUNCTION("""COMPUTED_VALUE"""),"#Moradia #Essencial #Luz #Fixo")</f>
        <v>#Moradia #Essencial #Luz #Fixo</v>
      </c>
      <c r="K717" s="216"/>
      <c r="L717" s="216"/>
      <c r="M717" s="216"/>
      <c r="N717" s="216"/>
      <c r="O717" s="216"/>
      <c r="P717" s="216"/>
      <c r="Q717" s="216"/>
    </row>
    <row r="718">
      <c r="A718" s="11" t="str">
        <f>IFERROR(__xludf.DUMMYFUNCTION("""COMPUTED_VALUE"""),"PAGO")</f>
        <v>PAGO</v>
      </c>
      <c r="B718" s="98" t="str">
        <f>IFERROR(__xludf.DUMMYFUNCTION("""COMPUTED_VALUE"""),"Regiane Peixoto - Salgadinhos para sexta-feira (mesmo da cama elástica)")</f>
        <v>Regiane Peixoto - Salgadinhos para sexta-feira (mesmo da cama elástica)</v>
      </c>
      <c r="C718" s="13">
        <f>IFERROR(__xludf.DUMMYFUNCTION("""COMPUTED_VALUE"""),24.0)</f>
        <v>24</v>
      </c>
      <c r="D718" s="13" t="str">
        <f>IFERROR(__xludf.DUMMYFUNCTION("""COMPUTED_VALUE"""),"TER.")</f>
        <v>TER.</v>
      </c>
      <c r="E718" s="13">
        <f>IFERROR(__xludf.DUMMYFUNCTION("""COMPUTED_VALUE"""),8.0)</f>
        <v>8</v>
      </c>
      <c r="F718" s="15"/>
      <c r="G718" s="16"/>
      <c r="H718" s="227">
        <f>IFERROR(__xludf.DUMMYFUNCTION("""COMPUTED_VALUE"""),105.0)</f>
        <v>105</v>
      </c>
      <c r="I718" s="21" t="str">
        <f>IFERROR(__xludf.DUMMYFUNCTION("""COMPUTED_VALUE"""),"NUBANK")</f>
        <v>NUBANK</v>
      </c>
      <c r="J718" s="21" t="str">
        <f>IFERROR(__xludf.DUMMYFUNCTION("""COMPUTED_VALUE"""),"#Lazer #Comida #Variavel")</f>
        <v>#Lazer #Comida #Variavel</v>
      </c>
      <c r="K718" s="216"/>
      <c r="L718" s="216"/>
      <c r="M718" s="216"/>
      <c r="N718" s="216"/>
      <c r="O718" s="216"/>
      <c r="P718" s="216"/>
      <c r="Q718" s="216"/>
    </row>
    <row r="719">
      <c r="A719" s="11" t="str">
        <f>IFERROR(__xludf.DUMMYFUNCTION("""COMPUTED_VALUE"""),"PAGO")</f>
        <v>PAGO</v>
      </c>
      <c r="B719" s="98" t="str">
        <f>IFERROR(__xludf.DUMMYFUNCTION("""COMPUTED_VALUE"""),"Mercado Livre - Ugreen - Cabo Usb A Macho/macho 3.0 - 1m")</f>
        <v>Mercado Livre - Ugreen - Cabo Usb A Macho/macho 3.0 - 1m</v>
      </c>
      <c r="C719" s="13">
        <f>IFERROR(__xludf.DUMMYFUNCTION("""COMPUTED_VALUE"""),24.0)</f>
        <v>24</v>
      </c>
      <c r="D719" s="13" t="str">
        <f>IFERROR(__xludf.DUMMYFUNCTION("""COMPUTED_VALUE"""),"TER.")</f>
        <v>TER.</v>
      </c>
      <c r="E719" s="13">
        <f>IFERROR(__xludf.DUMMYFUNCTION("""COMPUTED_VALUE"""),8.0)</f>
        <v>8</v>
      </c>
      <c r="F719" s="15"/>
      <c r="G719" s="16"/>
      <c r="H719" s="227">
        <f>IFERROR(__xludf.DUMMYFUNCTION("""COMPUTED_VALUE"""),63.8)</f>
        <v>63.8</v>
      </c>
      <c r="I719" s="21" t="str">
        <f>IFERROR(__xludf.DUMMYFUNCTION("""COMPUTED_VALUE"""),"NUBANK")</f>
        <v>NUBANK</v>
      </c>
      <c r="J719" s="21" t="str">
        <f>IFERROR(__xludf.DUMMYFUNCTION("""COMPUTED_VALUE"""),"#Cicero #Lazer #Variavel")</f>
        <v>#Cicero #Lazer #Variavel</v>
      </c>
      <c r="K719" s="216"/>
      <c r="L719" s="216"/>
      <c r="M719" s="216"/>
      <c r="N719" s="216"/>
      <c r="O719" s="216"/>
      <c r="P719" s="216"/>
      <c r="Q719" s="216"/>
    </row>
    <row r="720">
      <c r="A720" s="11" t="str">
        <f>IFERROR(__xludf.DUMMYFUNCTION("""COMPUTED_VALUE"""),"PAGO")</f>
        <v>PAGO</v>
      </c>
      <c r="B720" s="98" t="str">
        <f>IFERROR(__xludf.DUMMYFUNCTION("""COMPUTED_VALUE"""),"Reembolso - Pneustore - 20/07/2021: não entregaram")</f>
        <v>Reembolso - Pneustore - 20/07/2021: não entregaram</v>
      </c>
      <c r="C720" s="13">
        <f>IFERROR(__xludf.DUMMYFUNCTION("""COMPUTED_VALUE"""),26.0)</f>
        <v>26</v>
      </c>
      <c r="D720" s="13" t="str">
        <f>IFERROR(__xludf.DUMMYFUNCTION("""COMPUTED_VALUE"""),"QUI.")</f>
        <v>QUI.</v>
      </c>
      <c r="E720" s="13">
        <f>IFERROR(__xludf.DUMMYFUNCTION("""COMPUTED_VALUE"""),8.0)</f>
        <v>8</v>
      </c>
      <c r="F720" s="15"/>
      <c r="G720" s="16">
        <f>IFERROR(__xludf.DUMMYFUNCTION("""COMPUTED_VALUE"""),718.2)</f>
        <v>718.2</v>
      </c>
      <c r="H720" s="227"/>
      <c r="I720" s="21" t="str">
        <f>IFERROR(__xludf.DUMMYFUNCTION("""COMPUTED_VALUE"""),"NUBANK")</f>
        <v>NUBANK</v>
      </c>
      <c r="J720" s="21" t="str">
        <f>IFERROR(__xludf.DUMMYFUNCTION("""COMPUTED_VALUE"""),"#Recebimentos #Carro #Pneu #Variavel")</f>
        <v>#Recebimentos #Carro #Pneu #Variavel</v>
      </c>
      <c r="K720" s="216"/>
      <c r="L720" s="216"/>
      <c r="M720" s="216"/>
      <c r="N720" s="216"/>
      <c r="O720" s="216"/>
      <c r="P720" s="216"/>
      <c r="Q720" s="216"/>
    </row>
    <row r="721">
      <c r="A721" s="11" t="str">
        <f>IFERROR(__xludf.DUMMYFUNCTION("""COMPUTED_VALUE"""),"PAGO")</f>
        <v>PAGO</v>
      </c>
      <c r="B721" s="98" t="str">
        <f>IFERROR(__xludf.DUMMYFUNCTION("""COMPUTED_VALUE"""),"Oficina Fix Center - Jd São Dimas SJC")</f>
        <v>Oficina Fix Center - Jd São Dimas SJC</v>
      </c>
      <c r="C721" s="13">
        <f>IFERROR(__xludf.DUMMYFUNCTION("""COMPUTED_VALUE"""),26.0)</f>
        <v>26</v>
      </c>
      <c r="D721" s="13" t="str">
        <f>IFERROR(__xludf.DUMMYFUNCTION("""COMPUTED_VALUE"""),"QUI.")</f>
        <v>QUI.</v>
      </c>
      <c r="E721" s="13">
        <f>IFERROR(__xludf.DUMMYFUNCTION("""COMPUTED_VALUE"""),8.0)</f>
        <v>8</v>
      </c>
      <c r="F721" s="15"/>
      <c r="G721" s="16"/>
      <c r="H721" s="227">
        <f>IFERROR(__xludf.DUMMYFUNCTION("""COMPUTED_VALUE"""),470.0)</f>
        <v>470</v>
      </c>
      <c r="I721" s="21" t="str">
        <f>IFERROR(__xludf.DUMMYFUNCTION("""COMPUTED_VALUE"""),"NUBANK")</f>
        <v>NUBANK</v>
      </c>
      <c r="J721" s="21" t="str">
        <f>IFERROR(__xludf.DUMMYFUNCTION("""COMPUTED_VALUE"""),"#Carro #Manutenção #Variavel")</f>
        <v>#Carro #Manutenção #Variavel</v>
      </c>
      <c r="K721" s="216"/>
      <c r="L721" s="216"/>
      <c r="M721" s="216"/>
      <c r="N721" s="216"/>
      <c r="O721" s="216"/>
      <c r="P721" s="216"/>
      <c r="Q721" s="216"/>
    </row>
    <row r="722">
      <c r="A722" s="11" t="str">
        <f>IFERROR(__xludf.DUMMYFUNCTION("""COMPUTED_VALUE"""),"PAGO")</f>
        <v>PAGO</v>
      </c>
      <c r="B722" s="98" t="str">
        <f>IFERROR(__xludf.DUMMYFUNCTION("""COMPUTED_VALUE"""),"Spoleto - Vale Sul Shopping")</f>
        <v>Spoleto - Vale Sul Shopping</v>
      </c>
      <c r="C722" s="13">
        <f>IFERROR(__xludf.DUMMYFUNCTION("""COMPUTED_VALUE"""),26.0)</f>
        <v>26</v>
      </c>
      <c r="D722" s="13" t="str">
        <f>IFERROR(__xludf.DUMMYFUNCTION("""COMPUTED_VALUE"""),"QUI.")</f>
        <v>QUI.</v>
      </c>
      <c r="E722" s="13">
        <f>IFERROR(__xludf.DUMMYFUNCTION("""COMPUTED_VALUE"""),8.0)</f>
        <v>8</v>
      </c>
      <c r="F722" s="15"/>
      <c r="G722" s="16"/>
      <c r="H722" s="227">
        <f>IFERROR(__xludf.DUMMYFUNCTION("""COMPUTED_VALUE"""),49.7)</f>
        <v>49.7</v>
      </c>
      <c r="I722" s="21" t="str">
        <f>IFERROR(__xludf.DUMMYFUNCTION("""COMPUTED_VALUE"""),"NUBANK")</f>
        <v>NUBANK</v>
      </c>
      <c r="J722" s="21" t="str">
        <f>IFERROR(__xludf.DUMMYFUNCTION("""COMPUTED_VALUE"""),"#Lazer #Comida #Variavel")</f>
        <v>#Lazer #Comida #Variavel</v>
      </c>
      <c r="K722" s="216"/>
      <c r="L722" s="216"/>
      <c r="M722" s="216"/>
      <c r="N722" s="216"/>
      <c r="O722" s="216"/>
      <c r="P722" s="216"/>
      <c r="Q722" s="216"/>
    </row>
    <row r="723">
      <c r="A723" s="11" t="str">
        <f>IFERROR(__xludf.DUMMYFUNCTION("""COMPUTED_VALUE"""),"PAGO")</f>
        <v>PAGO</v>
      </c>
      <c r="B723" s="98" t="str">
        <f>IFERROR(__xludf.DUMMYFUNCTION("""COMPUTED_VALUE"""),"Doação Darlan Pereira de Araújo - Protetor de animais -Manaus - AM")</f>
        <v>Doação Darlan Pereira de Araújo - Protetor de animais -Manaus - AM</v>
      </c>
      <c r="C723" s="13">
        <f>IFERROR(__xludf.DUMMYFUNCTION("""COMPUTED_VALUE"""),27.0)</f>
        <v>27</v>
      </c>
      <c r="D723" s="13" t="str">
        <f>IFERROR(__xludf.DUMMYFUNCTION("""COMPUTED_VALUE"""),"SEX.")</f>
        <v>SEX.</v>
      </c>
      <c r="E723" s="13">
        <f>IFERROR(__xludf.DUMMYFUNCTION("""COMPUTED_VALUE"""),8.0)</f>
        <v>8</v>
      </c>
      <c r="F723" s="15"/>
      <c r="G723" s="16"/>
      <c r="H723" s="227">
        <f>IFERROR(__xludf.DUMMYFUNCTION("""COMPUTED_VALUE"""),300.0)</f>
        <v>300</v>
      </c>
      <c r="I723" s="21" t="str">
        <f>IFERROR(__xludf.DUMMYFUNCTION("""COMPUTED_VALUE"""),"NUBANK")</f>
        <v>NUBANK</v>
      </c>
      <c r="J723" s="21" t="str">
        <f>IFERROR(__xludf.DUMMYFUNCTION("""COMPUTED_VALUE"""),"#Doação #Extra #Variavel")</f>
        <v>#Doação #Extra #Variavel</v>
      </c>
      <c r="K723" s="216"/>
      <c r="L723" s="216"/>
      <c r="M723" s="216"/>
      <c r="N723" s="216"/>
      <c r="O723" s="216"/>
      <c r="P723" s="216"/>
      <c r="Q723" s="216"/>
    </row>
    <row r="724">
      <c r="A724" s="11" t="str">
        <f>IFERROR(__xludf.DUMMYFUNCTION("""COMPUTED_VALUE"""),"PAGO")</f>
        <v>PAGO</v>
      </c>
      <c r="B724" s="98" t="str">
        <f>IFERROR(__xludf.DUMMYFUNCTION("""COMPUTED_VALUE"""),"Shibata  - clique e retire")</f>
        <v>Shibata  - clique e retire</v>
      </c>
      <c r="C724" s="13">
        <f>IFERROR(__xludf.DUMMYFUNCTION("""COMPUTED_VALUE"""),28.0)</f>
        <v>28</v>
      </c>
      <c r="D724" s="13" t="str">
        <f>IFERROR(__xludf.DUMMYFUNCTION("""COMPUTED_VALUE"""),"SÁB.")</f>
        <v>SÁB.</v>
      </c>
      <c r="E724" s="13">
        <f>IFERROR(__xludf.DUMMYFUNCTION("""COMPUTED_VALUE"""),8.0)</f>
        <v>8</v>
      </c>
      <c r="F724" s="15"/>
      <c r="G724" s="16"/>
      <c r="H724" s="227">
        <f>IFERROR(__xludf.DUMMYFUNCTION("""COMPUTED_VALUE"""),225.28)</f>
        <v>225.28</v>
      </c>
      <c r="I724" s="21" t="str">
        <f>IFERROR(__xludf.DUMMYFUNCTION("""COMPUTED_VALUE"""),"NUBANK")</f>
        <v>NUBANK</v>
      </c>
      <c r="J724" s="21" t="str">
        <f>IFERROR(__xludf.DUMMYFUNCTION("""COMPUTED_VALUE"""),"#Moradia #Essencial #Mercado #Variavel #Alimentação ")</f>
        <v>#Moradia #Essencial #Mercado #Variavel #Alimentação </v>
      </c>
      <c r="K724" s="216"/>
      <c r="L724" s="216"/>
      <c r="M724" s="216"/>
      <c r="N724" s="216"/>
      <c r="O724" s="216"/>
      <c r="P724" s="216"/>
      <c r="Q724" s="216"/>
    </row>
    <row r="725">
      <c r="A725" s="11" t="str">
        <f>IFERROR(__xludf.DUMMYFUNCTION("""COMPUTED_VALUE"""),"PAGO")</f>
        <v>PAGO</v>
      </c>
      <c r="B725" s="98" t="str">
        <f>IFERROR(__xludf.DUMMYFUNCTION("""COMPUTED_VALUE"""),"Levitar SJC - sorvetes")</f>
        <v>Levitar SJC - sorvetes</v>
      </c>
      <c r="C725" s="13">
        <f>IFERROR(__xludf.DUMMYFUNCTION("""COMPUTED_VALUE"""),29.0)</f>
        <v>29</v>
      </c>
      <c r="D725" s="13" t="str">
        <f>IFERROR(__xludf.DUMMYFUNCTION("""COMPUTED_VALUE"""),"DOM.")</f>
        <v>DOM.</v>
      </c>
      <c r="E725" s="13">
        <f>IFERROR(__xludf.DUMMYFUNCTION("""COMPUTED_VALUE"""),8.0)</f>
        <v>8</v>
      </c>
      <c r="F725" s="15"/>
      <c r="G725" s="16"/>
      <c r="H725" s="227">
        <f>IFERROR(__xludf.DUMMYFUNCTION("""COMPUTED_VALUE"""),35.5)</f>
        <v>35.5</v>
      </c>
      <c r="I725" s="21" t="str">
        <f>IFERROR(__xludf.DUMMYFUNCTION("""COMPUTED_VALUE"""),"NUBANK")</f>
        <v>NUBANK</v>
      </c>
      <c r="J725" s="21" t="str">
        <f>IFERROR(__xludf.DUMMYFUNCTION("""COMPUTED_VALUE"""),"#Lazer #Comida #Variavel")</f>
        <v>#Lazer #Comida #Variavel</v>
      </c>
      <c r="K725" s="216"/>
      <c r="L725" s="216"/>
      <c r="M725" s="216"/>
      <c r="N725" s="216"/>
      <c r="O725" s="216"/>
      <c r="P725" s="216"/>
      <c r="Q725" s="216"/>
    </row>
    <row r="726">
      <c r="A726" s="11" t="str">
        <f>IFERROR(__xludf.DUMMYFUNCTION("""COMPUTED_VALUE"""),"PAGO")</f>
        <v>PAGO</v>
      </c>
      <c r="B726" s="98" t="str">
        <f>IFERROR(__xludf.DUMMYFUNCTION("""COMPUTED_VALUE"""),"Frango Assado e Panceta - Cidade Jardim SJC")</f>
        <v>Frango Assado e Panceta - Cidade Jardim SJC</v>
      </c>
      <c r="C726" s="13">
        <f>IFERROR(__xludf.DUMMYFUNCTION("""COMPUTED_VALUE"""),29.0)</f>
        <v>29</v>
      </c>
      <c r="D726" s="13" t="str">
        <f>IFERROR(__xludf.DUMMYFUNCTION("""COMPUTED_VALUE"""),"DOM.")</f>
        <v>DOM.</v>
      </c>
      <c r="E726" s="13">
        <f>IFERROR(__xludf.DUMMYFUNCTION("""COMPUTED_VALUE"""),8.0)</f>
        <v>8</v>
      </c>
      <c r="F726" s="15"/>
      <c r="G726" s="16"/>
      <c r="H726" s="227">
        <f>IFERROR(__xludf.DUMMYFUNCTION("""COMPUTED_VALUE"""),66.35)</f>
        <v>66.35</v>
      </c>
      <c r="I726" s="21" t="str">
        <f>IFERROR(__xludf.DUMMYFUNCTION("""COMPUTED_VALUE"""),"NUBANK")</f>
        <v>NUBANK</v>
      </c>
      <c r="J726" s="21" t="str">
        <f>IFERROR(__xludf.DUMMYFUNCTION("""COMPUTED_VALUE"""),"#Lazer #Comida #Variavel")</f>
        <v>#Lazer #Comida #Variavel</v>
      </c>
      <c r="K726" s="216"/>
      <c r="L726" s="216"/>
      <c r="M726" s="216"/>
      <c r="N726" s="216"/>
      <c r="O726" s="216"/>
      <c r="P726" s="216"/>
      <c r="Q726" s="216"/>
    </row>
    <row r="727">
      <c r="A727" s="11" t="str">
        <f>IFERROR(__xludf.DUMMYFUNCTION("""COMPUTED_VALUE"""),"PAGO")</f>
        <v>PAGO</v>
      </c>
      <c r="B727" s="98" t="str">
        <f>IFERROR(__xludf.DUMMYFUNCTION("""COMPUTED_VALUE"""),"Coaching / Psicologa - Candice Oliveira")</f>
        <v>Coaching / Psicologa - Candice Oliveira</v>
      </c>
      <c r="C727" s="13">
        <f>IFERROR(__xludf.DUMMYFUNCTION("""COMPUTED_VALUE"""),30.0)</f>
        <v>30</v>
      </c>
      <c r="D727" s="13" t="str">
        <f>IFERROR(__xludf.DUMMYFUNCTION("""COMPUTED_VALUE"""),"SEG.")</f>
        <v>SEG.</v>
      </c>
      <c r="E727" s="13">
        <f>IFERROR(__xludf.DUMMYFUNCTION("""COMPUTED_VALUE"""),8.0)</f>
        <v>8</v>
      </c>
      <c r="F727" s="15"/>
      <c r="G727" s="16"/>
      <c r="H727" s="227">
        <f>IFERROR(__xludf.DUMMYFUNCTION("""COMPUTED_VALUE"""),100.0)</f>
        <v>100</v>
      </c>
      <c r="I727" s="21" t="str">
        <f>IFERROR(__xludf.DUMMYFUNCTION("""COMPUTED_VALUE"""),"NUBANK")</f>
        <v>NUBANK</v>
      </c>
      <c r="J727" s="21" t="str">
        <f>IFERROR(__xludf.DUMMYFUNCTION("""COMPUTED_VALUE"""),"#Coaching #Fixo")</f>
        <v>#Coaching #Fixo</v>
      </c>
      <c r="K727" s="216"/>
      <c r="L727" s="216"/>
      <c r="M727" s="216"/>
      <c r="N727" s="216"/>
      <c r="O727" s="216"/>
      <c r="P727" s="216"/>
      <c r="Q727" s="216"/>
    </row>
    <row r="728">
      <c r="A728" s="11" t="str">
        <f>IFERROR(__xludf.DUMMYFUNCTION("""COMPUTED_VALUE"""),"PAGO")</f>
        <v>PAGO</v>
      </c>
      <c r="B728" s="98" t="str">
        <f>IFERROR(__xludf.DUMMYFUNCTION("""COMPUTED_VALUE"""),"Recarga Sodexo Alimentação IBM")</f>
        <v>Recarga Sodexo Alimentação IBM</v>
      </c>
      <c r="C728" s="13">
        <f>IFERROR(__xludf.DUMMYFUNCTION("""COMPUTED_VALUE"""),30.0)</f>
        <v>30</v>
      </c>
      <c r="D728" s="13" t="str">
        <f>IFERROR(__xludf.DUMMYFUNCTION("""COMPUTED_VALUE"""),"SEG.")</f>
        <v>SEG.</v>
      </c>
      <c r="E728" s="13">
        <f>IFERROR(__xludf.DUMMYFUNCTION("""COMPUTED_VALUE"""),8.0)</f>
        <v>8</v>
      </c>
      <c r="F728" s="15"/>
      <c r="G728" s="16">
        <f>IFERROR(__xludf.DUMMYFUNCTION("""COMPUTED_VALUE"""),330.0)</f>
        <v>330</v>
      </c>
      <c r="H728" s="227"/>
      <c r="I728" s="21" t="str">
        <f>IFERROR(__xludf.DUMMYFUNCTION("""COMPUTED_VALUE"""),"SODEXO-ALI-IBM")</f>
        <v>SODEXO-ALI-IBM</v>
      </c>
      <c r="J728" s="21" t="str">
        <f>IFERROR(__xludf.DUMMYFUNCTION("""COMPUTED_VALUE""")," #Recebimentos #Alimentação #Fixo")</f>
        <v> #Recebimentos #Alimentação #Fixo</v>
      </c>
      <c r="K728" s="216"/>
      <c r="L728" s="216"/>
      <c r="M728" s="216"/>
      <c r="N728" s="216"/>
      <c r="O728" s="216"/>
      <c r="P728" s="216"/>
      <c r="Q728" s="216"/>
    </row>
    <row r="729">
      <c r="A729" s="11" t="str">
        <f>IFERROR(__xludf.DUMMYFUNCTION("""COMPUTED_VALUE"""),"PAGO")</f>
        <v>PAGO</v>
      </c>
      <c r="B729" s="98" t="str">
        <f>IFERROR(__xludf.DUMMYFUNCTION("""COMPUTED_VALUE"""),"Recarga Sodexo Refeição IBM")</f>
        <v>Recarga Sodexo Refeição IBM</v>
      </c>
      <c r="C729" s="13">
        <f>IFERROR(__xludf.DUMMYFUNCTION("""COMPUTED_VALUE"""),30.0)</f>
        <v>30</v>
      </c>
      <c r="D729" s="13" t="str">
        <f>IFERROR(__xludf.DUMMYFUNCTION("""COMPUTED_VALUE"""),"SEG.")</f>
        <v>SEG.</v>
      </c>
      <c r="E729" s="13">
        <f>IFERROR(__xludf.DUMMYFUNCTION("""COMPUTED_VALUE"""),8.0)</f>
        <v>8</v>
      </c>
      <c r="F729" s="15"/>
      <c r="G729" s="16">
        <f>IFERROR(__xludf.DUMMYFUNCTION("""COMPUTED_VALUE"""),700.0)</f>
        <v>700</v>
      </c>
      <c r="H729" s="227"/>
      <c r="I729" s="21" t="str">
        <f>IFERROR(__xludf.DUMMYFUNCTION("""COMPUTED_VALUE"""),"SODEXO-REF-IBM")</f>
        <v>SODEXO-REF-IBM</v>
      </c>
      <c r="J729" s="21" t="str">
        <f>IFERROR(__xludf.DUMMYFUNCTION("""COMPUTED_VALUE"""),"#Recebimentos #Alimentação #Fixo")</f>
        <v>#Recebimentos #Alimentação #Fixo</v>
      </c>
      <c r="K729" s="216"/>
      <c r="L729" s="216"/>
      <c r="M729" s="216"/>
      <c r="N729" s="216"/>
      <c r="O729" s="216"/>
      <c r="P729" s="216"/>
      <c r="Q729" s="216"/>
    </row>
    <row r="730">
      <c r="A730" s="11" t="str">
        <f>IFERROR(__xludf.DUMMYFUNCTION("""COMPUTED_VALUE"""),"PAGO")</f>
        <v>PAGO</v>
      </c>
      <c r="B730" s="98" t="str">
        <f>IFERROR(__xludf.DUMMYFUNCTION("""COMPUTED_VALUE"""),"Salario - IBM (com horas extras - trabalhos de fim de semana)")</f>
        <v>Salario - IBM (com horas extras - trabalhos de fim de semana)</v>
      </c>
      <c r="C730" s="13">
        <f>IFERROR(__xludf.DUMMYFUNCTION("""COMPUTED_VALUE"""),31.0)</f>
        <v>31</v>
      </c>
      <c r="D730" s="13" t="str">
        <f>IFERROR(__xludf.DUMMYFUNCTION("""COMPUTED_VALUE"""),"TER.")</f>
        <v>TER.</v>
      </c>
      <c r="E730" s="13">
        <f>IFERROR(__xludf.DUMMYFUNCTION("""COMPUTED_VALUE"""),8.0)</f>
        <v>8</v>
      </c>
      <c r="F730" s="15"/>
      <c r="G730" s="16">
        <f>IFERROR(__xludf.DUMMYFUNCTION("""COMPUTED_VALUE"""),4169.06)</f>
        <v>4169.06</v>
      </c>
      <c r="H730" s="227"/>
      <c r="I730" s="21" t="str">
        <f>IFERROR(__xludf.DUMMYFUNCTION("""COMPUTED_VALUE"""),"SANTANDER")</f>
        <v>SANTANDER</v>
      </c>
      <c r="J730" s="21" t="str">
        <f>IFERROR(__xludf.DUMMYFUNCTION("""COMPUTED_VALUE"""),"#Recebimentos #Salario #Fixo")</f>
        <v>#Recebimentos #Salario #Fixo</v>
      </c>
      <c r="K730" s="216"/>
      <c r="L730" s="216"/>
      <c r="M730" s="216"/>
      <c r="N730" s="216"/>
      <c r="O730" s="216"/>
      <c r="P730" s="216"/>
      <c r="Q730" s="216"/>
    </row>
    <row r="731">
      <c r="A731" s="11" t="str">
        <f>IFERROR(__xludf.DUMMYFUNCTION("""COMPUTED_VALUE"""),"CONTAS")</f>
        <v>CONTAS</v>
      </c>
      <c r="B731" s="98" t="str">
        <f>IFERROR(__xludf.DUMMYFUNCTION("""COMPUTED_VALUE"""),"Transferencia via PIX")</f>
        <v>Transferencia via PIX</v>
      </c>
      <c r="C731" s="13">
        <f>IFERROR(__xludf.DUMMYFUNCTION("""COMPUTED_VALUE"""),31.0)</f>
        <v>31</v>
      </c>
      <c r="D731" s="13" t="str">
        <f>IFERROR(__xludf.DUMMYFUNCTION("""COMPUTED_VALUE"""),"TER.")</f>
        <v>TER.</v>
      </c>
      <c r="E731" s="13">
        <f>IFERROR(__xludf.DUMMYFUNCTION("""COMPUTED_VALUE"""),8.0)</f>
        <v>8</v>
      </c>
      <c r="F731" s="15"/>
      <c r="G731" s="16"/>
      <c r="H731" s="227">
        <f>IFERROR(__xludf.DUMMYFUNCTION("""COMPUTED_VALUE"""),4169.06)</f>
        <v>4169.06</v>
      </c>
      <c r="I731" s="21" t="str">
        <f>IFERROR(__xludf.DUMMYFUNCTION("""COMPUTED_VALUE"""),"SANTANDER")</f>
        <v>SANTANDER</v>
      </c>
      <c r="J731" s="21"/>
      <c r="K731" s="216"/>
      <c r="L731" s="216"/>
      <c r="M731" s="216"/>
      <c r="N731" s="216"/>
      <c r="O731" s="216"/>
      <c r="P731" s="216"/>
      <c r="Q731" s="216"/>
    </row>
    <row r="732">
      <c r="A732" s="11" t="str">
        <f>IFERROR(__xludf.DUMMYFUNCTION("""COMPUTED_VALUE"""),"CONTAS")</f>
        <v>CONTAS</v>
      </c>
      <c r="B732" s="98" t="str">
        <f>IFERROR(__xludf.DUMMYFUNCTION("""COMPUTED_VALUE"""),"Recebimento via PIX")</f>
        <v>Recebimento via PIX</v>
      </c>
      <c r="C732" s="13">
        <f>IFERROR(__xludf.DUMMYFUNCTION("""COMPUTED_VALUE"""),31.0)</f>
        <v>31</v>
      </c>
      <c r="D732" s="13" t="str">
        <f>IFERROR(__xludf.DUMMYFUNCTION("""COMPUTED_VALUE"""),"TER.")</f>
        <v>TER.</v>
      </c>
      <c r="E732" s="13">
        <f>IFERROR(__xludf.DUMMYFUNCTION("""COMPUTED_VALUE"""),8.0)</f>
        <v>8</v>
      </c>
      <c r="F732" s="15"/>
      <c r="G732" s="16">
        <f>IFERROR(__xludf.DUMMYFUNCTION("""COMPUTED_VALUE"""),4169.06)</f>
        <v>4169.06</v>
      </c>
      <c r="H732" s="227"/>
      <c r="I732" s="21" t="str">
        <f>IFERROR(__xludf.DUMMYFUNCTION("""COMPUTED_VALUE"""),"NUBANK")</f>
        <v>NUBANK</v>
      </c>
      <c r="J732" s="21"/>
      <c r="K732" s="216"/>
      <c r="L732" s="216"/>
      <c r="M732" s="216"/>
      <c r="N732" s="216"/>
      <c r="O732" s="216"/>
      <c r="P732" s="216"/>
      <c r="Q732" s="216"/>
    </row>
    <row r="733">
      <c r="A733" s="11"/>
      <c r="B733" s="98"/>
      <c r="C733" s="13"/>
      <c r="D733" s="13"/>
      <c r="E733" s="13"/>
      <c r="F733" s="15"/>
      <c r="G733" s="16"/>
      <c r="H733" s="227"/>
      <c r="I733" s="21"/>
      <c r="J733" s="21"/>
      <c r="K733" s="216"/>
      <c r="L733" s="216"/>
      <c r="M733" s="216"/>
      <c r="N733" s="216"/>
      <c r="O733" s="216"/>
      <c r="P733" s="216"/>
      <c r="Q733" s="216"/>
    </row>
    <row r="734">
      <c r="A734" s="11"/>
      <c r="B734" s="98"/>
      <c r="C734" s="13"/>
      <c r="D734" s="13"/>
      <c r="E734" s="13"/>
      <c r="F734" s="15"/>
      <c r="G734" s="16"/>
      <c r="H734" s="227"/>
      <c r="I734" s="21"/>
      <c r="J734" s="21"/>
      <c r="K734" s="216"/>
      <c r="L734" s="216"/>
      <c r="M734" s="216"/>
      <c r="N734" s="216"/>
      <c r="O734" s="216"/>
      <c r="P734" s="216"/>
      <c r="Q734" s="216"/>
    </row>
    <row r="735">
      <c r="A735" s="11" t="str">
        <f>IFERROR(__xludf.DUMMYFUNCTION("""COMPUTED_VALUE"""),"PAGO")</f>
        <v>PAGO</v>
      </c>
      <c r="B735" s="98" t="str">
        <f>IFERROR(__xludf.DUMMYFUNCTION("""COMPUTED_VALUE"""),"Entrada mes anterior")</f>
        <v>Entrada mes anterior</v>
      </c>
      <c r="C735" s="13">
        <f>IFERROR(__xludf.DUMMYFUNCTION("""COMPUTED_VALUE"""),1.0)</f>
        <v>1</v>
      </c>
      <c r="D735" s="13" t="str">
        <f>IFERROR(__xludf.DUMMYFUNCTION("""COMPUTED_VALUE"""),"QUA.")</f>
        <v>QUA.</v>
      </c>
      <c r="E735" s="13">
        <f>IFERROR(__xludf.DUMMYFUNCTION("""COMPUTED_VALUE"""),9.0)</f>
        <v>9</v>
      </c>
      <c r="F735" s="15"/>
      <c r="G735" s="16">
        <f>IFERROR(__xludf.DUMMYFUNCTION("""COMPUTED_VALUE"""),51.21000000000089)</f>
        <v>51.21</v>
      </c>
      <c r="H735" s="227"/>
      <c r="I735" s="21" t="str">
        <f>IFERROR(__xludf.DUMMYFUNCTION("""COMPUTED_VALUE"""),"ITAU")</f>
        <v>ITAU</v>
      </c>
      <c r="J735" s="21" t="str">
        <f>IFERROR(__xludf.DUMMYFUNCTION("""COMPUTED_VALUE"""),"#Recebimentos #Ajuste #Variavel")</f>
        <v>#Recebimentos #Ajuste #Variavel</v>
      </c>
      <c r="K735" s="216"/>
      <c r="L735" s="216"/>
      <c r="M735" s="216"/>
      <c r="N735" s="216"/>
      <c r="O735" s="216"/>
      <c r="P735" s="216"/>
      <c r="Q735" s="216"/>
    </row>
    <row r="736">
      <c r="A736" s="11" t="str">
        <f>IFERROR(__xludf.DUMMYFUNCTION("""COMPUTED_VALUE"""),"PAGO")</f>
        <v>PAGO</v>
      </c>
      <c r="B736" s="98" t="str">
        <f>IFERROR(__xludf.DUMMYFUNCTION("""COMPUTED_VALUE"""),"Entrada mes anterior")</f>
        <v>Entrada mes anterior</v>
      </c>
      <c r="C736" s="13">
        <f>IFERROR(__xludf.DUMMYFUNCTION("""COMPUTED_VALUE"""),1.0)</f>
        <v>1</v>
      </c>
      <c r="D736" s="13" t="str">
        <f>IFERROR(__xludf.DUMMYFUNCTION("""COMPUTED_VALUE"""),"QUA.")</f>
        <v>QUA.</v>
      </c>
      <c r="E736" s="13">
        <f>IFERROR(__xludf.DUMMYFUNCTION("""COMPUTED_VALUE"""),9.0)</f>
        <v>9</v>
      </c>
      <c r="F736" s="15"/>
      <c r="G736" s="16">
        <f>IFERROR(__xludf.DUMMYFUNCTION("""COMPUTED_VALUE"""),2.850000000000364)</f>
        <v>2.85</v>
      </c>
      <c r="H736" s="227"/>
      <c r="I736" s="21" t="str">
        <f>IFERROR(__xludf.DUMMYFUNCTION("""COMPUTED_VALUE"""),"INTER")</f>
        <v>INTER</v>
      </c>
      <c r="J736" s="21" t="str">
        <f>IFERROR(__xludf.DUMMYFUNCTION("""COMPUTED_VALUE"""),"#Recebimentos #Ajuste #Variavel")</f>
        <v>#Recebimentos #Ajuste #Variavel</v>
      </c>
      <c r="K736" s="216"/>
      <c r="L736" s="216"/>
      <c r="M736" s="216"/>
      <c r="N736" s="216"/>
      <c r="O736" s="216"/>
      <c r="P736" s="216"/>
      <c r="Q736" s="216"/>
    </row>
    <row r="737">
      <c r="A737" s="11" t="str">
        <f>IFERROR(__xludf.DUMMYFUNCTION("""COMPUTED_VALUE"""),"PAGO")</f>
        <v>PAGO</v>
      </c>
      <c r="B737" s="98" t="str">
        <f>IFERROR(__xludf.DUMMYFUNCTION("""COMPUTED_VALUE"""),"Entrada mes anterior")</f>
        <v>Entrada mes anterior</v>
      </c>
      <c r="C737" s="13">
        <f>IFERROR(__xludf.DUMMYFUNCTION("""COMPUTED_VALUE"""),1.0)</f>
        <v>1</v>
      </c>
      <c r="D737" s="13" t="str">
        <f>IFERROR(__xludf.DUMMYFUNCTION("""COMPUTED_VALUE"""),"QUA.")</f>
        <v>QUA.</v>
      </c>
      <c r="E737" s="13">
        <f>IFERROR(__xludf.DUMMYFUNCTION("""COMPUTED_VALUE"""),9.0)</f>
        <v>9</v>
      </c>
      <c r="F737" s="15"/>
      <c r="G737" s="16">
        <f>IFERROR(__xludf.DUMMYFUNCTION("""COMPUTED_VALUE"""),-6.639133687258436E-13)</f>
        <v>0</v>
      </c>
      <c r="H737" s="227"/>
      <c r="I737" s="21" t="str">
        <f>IFERROR(__xludf.DUMMYFUNCTION("""COMPUTED_VALUE"""),"INTER-PJ")</f>
        <v>INTER-PJ</v>
      </c>
      <c r="J737" s="21" t="str">
        <f>IFERROR(__xludf.DUMMYFUNCTION("""COMPUTED_VALUE"""),"#Recebimentos #Ajuste #Variavel")</f>
        <v>#Recebimentos #Ajuste #Variavel</v>
      </c>
      <c r="K737" s="216"/>
      <c r="L737" s="216"/>
      <c r="M737" s="216"/>
      <c r="N737" s="216"/>
      <c r="O737" s="216"/>
      <c r="P737" s="216"/>
      <c r="Q737" s="216"/>
    </row>
    <row r="738">
      <c r="A738" s="11" t="str">
        <f>IFERROR(__xludf.DUMMYFUNCTION("""COMPUTED_VALUE"""),"PAGO")</f>
        <v>PAGO</v>
      </c>
      <c r="B738" s="98" t="str">
        <f>IFERROR(__xludf.DUMMYFUNCTION("""COMPUTED_VALUE"""),"Entrada mes anterior")</f>
        <v>Entrada mes anterior</v>
      </c>
      <c r="C738" s="13">
        <f>IFERROR(__xludf.DUMMYFUNCTION("""COMPUTED_VALUE"""),1.0)</f>
        <v>1</v>
      </c>
      <c r="D738" s="13" t="str">
        <f>IFERROR(__xludf.DUMMYFUNCTION("""COMPUTED_VALUE"""),"QUA.")</f>
        <v>QUA.</v>
      </c>
      <c r="E738" s="13">
        <f>IFERROR(__xludf.DUMMYFUNCTION("""COMPUTED_VALUE"""),9.0)</f>
        <v>9</v>
      </c>
      <c r="F738" s="15"/>
      <c r="G738" s="16">
        <f>IFERROR(__xludf.DUMMYFUNCTION("""COMPUTED_VALUE"""),6136.610000000006)</f>
        <v>6136.61</v>
      </c>
      <c r="H738" s="227"/>
      <c r="I738" s="21" t="str">
        <f>IFERROR(__xludf.DUMMYFUNCTION("""COMPUTED_VALUE"""),"NUBANK")</f>
        <v>NUBANK</v>
      </c>
      <c r="J738" s="21" t="str">
        <f>IFERROR(__xludf.DUMMYFUNCTION("""COMPUTED_VALUE"""),"#Recebimentos #Ajuste #Variavel")</f>
        <v>#Recebimentos #Ajuste #Variavel</v>
      </c>
      <c r="K738" s="216"/>
      <c r="L738" s="216"/>
      <c r="M738" s="216"/>
      <c r="N738" s="216"/>
      <c r="O738" s="216"/>
      <c r="P738" s="216"/>
      <c r="Q738" s="216"/>
    </row>
    <row r="739">
      <c r="A739" s="11" t="str">
        <f>IFERROR(__xludf.DUMMYFUNCTION("""COMPUTED_VALUE"""),"PAGO")</f>
        <v>PAGO</v>
      </c>
      <c r="B739" s="98" t="str">
        <f>IFERROR(__xludf.DUMMYFUNCTION("""COMPUTED_VALUE"""),"Entrada mes anterior")</f>
        <v>Entrada mes anterior</v>
      </c>
      <c r="C739" s="13">
        <f>IFERROR(__xludf.DUMMYFUNCTION("""COMPUTED_VALUE"""),1.0)</f>
        <v>1</v>
      </c>
      <c r="D739" s="13" t="str">
        <f>IFERROR(__xludf.DUMMYFUNCTION("""COMPUTED_VALUE"""),"QUA.")</f>
        <v>QUA.</v>
      </c>
      <c r="E739" s="13">
        <f>IFERROR(__xludf.DUMMYFUNCTION("""COMPUTED_VALUE"""),9.0)</f>
        <v>9</v>
      </c>
      <c r="F739" s="15"/>
      <c r="G739" s="16">
        <f>IFERROR(__xludf.DUMMYFUNCTION("""COMPUTED_VALUE"""),9.52)</f>
        <v>9.52</v>
      </c>
      <c r="H739" s="227"/>
      <c r="I739" s="21" t="str">
        <f>IFERROR(__xludf.DUMMYFUNCTION("""COMPUTED_VALUE"""),"C6BANK")</f>
        <v>C6BANK</v>
      </c>
      <c r="J739" s="21" t="str">
        <f>IFERROR(__xludf.DUMMYFUNCTION("""COMPUTED_VALUE"""),"#Recebimentos #Ajuste #Variavel")</f>
        <v>#Recebimentos #Ajuste #Variavel</v>
      </c>
      <c r="K739" s="216"/>
      <c r="L739" s="216"/>
      <c r="M739" s="216"/>
      <c r="N739" s="216"/>
      <c r="O739" s="216"/>
      <c r="P739" s="216"/>
      <c r="Q739" s="216"/>
    </row>
    <row r="740">
      <c r="A740" s="11" t="str">
        <f>IFERROR(__xludf.DUMMYFUNCTION("""COMPUTED_VALUE"""),"PAGO")</f>
        <v>PAGO</v>
      </c>
      <c r="B740" s="98" t="str">
        <f>IFERROR(__xludf.DUMMYFUNCTION("""COMPUTED_VALUE"""),"Entrada mes anterior")</f>
        <v>Entrada mes anterior</v>
      </c>
      <c r="C740" s="13">
        <f>IFERROR(__xludf.DUMMYFUNCTION("""COMPUTED_VALUE"""),1.0)</f>
        <v>1</v>
      </c>
      <c r="D740" s="13" t="str">
        <f>IFERROR(__xludf.DUMMYFUNCTION("""COMPUTED_VALUE"""),"QUA.")</f>
        <v>QUA.</v>
      </c>
      <c r="E740" s="13">
        <f>IFERROR(__xludf.DUMMYFUNCTION("""COMPUTED_VALUE"""),9.0)</f>
        <v>9</v>
      </c>
      <c r="F740" s="15"/>
      <c r="G740" s="16">
        <f>IFERROR(__xludf.DUMMYFUNCTION("""COMPUTED_VALUE"""),0.0)</f>
        <v>0</v>
      </c>
      <c r="H740" s="227"/>
      <c r="I740" s="21" t="str">
        <f>IFERROR(__xludf.DUMMYFUNCTION("""COMPUTED_VALUE"""),"SANTANDER")</f>
        <v>SANTANDER</v>
      </c>
      <c r="J740" s="21" t="str">
        <f>IFERROR(__xludf.DUMMYFUNCTION("""COMPUTED_VALUE"""),"#Recebimentos #Ajuste #Variavel")</f>
        <v>#Recebimentos #Ajuste #Variavel</v>
      </c>
      <c r="K740" s="216"/>
      <c r="L740" s="216"/>
      <c r="M740" s="216"/>
      <c r="N740" s="216"/>
      <c r="O740" s="216"/>
      <c r="P740" s="216"/>
      <c r="Q740" s="216"/>
    </row>
    <row r="741">
      <c r="A741" s="11" t="str">
        <f>IFERROR(__xludf.DUMMYFUNCTION("""COMPUTED_VALUE"""),"PAGO")</f>
        <v>PAGO</v>
      </c>
      <c r="B741" s="98" t="str">
        <f>IFERROR(__xludf.DUMMYFUNCTION("""COMPUTED_VALUE"""),"Entrada mes anterior")</f>
        <v>Entrada mes anterior</v>
      </c>
      <c r="C741" s="13">
        <f>IFERROR(__xludf.DUMMYFUNCTION("""COMPUTED_VALUE"""),1.0)</f>
        <v>1</v>
      </c>
      <c r="D741" s="13" t="str">
        <f>IFERROR(__xludf.DUMMYFUNCTION("""COMPUTED_VALUE"""),"QUA.")</f>
        <v>QUA.</v>
      </c>
      <c r="E741" s="13">
        <f>IFERROR(__xludf.DUMMYFUNCTION("""COMPUTED_VALUE"""),9.0)</f>
        <v>9</v>
      </c>
      <c r="F741" s="15"/>
      <c r="G741" s="16">
        <f>IFERROR(__xludf.DUMMYFUNCTION("""COMPUTED_VALUE"""),733.5299999999999)</f>
        <v>733.53</v>
      </c>
      <c r="H741" s="227"/>
      <c r="I741" s="21" t="str">
        <f>IFERROR(__xludf.DUMMYFUNCTION("""COMPUTED_VALUE"""),"SODEXO-REF-IBM")</f>
        <v>SODEXO-REF-IBM</v>
      </c>
      <c r="J741" s="21" t="str">
        <f>IFERROR(__xludf.DUMMYFUNCTION("""COMPUTED_VALUE"""),"#Recebimentos #Ajuste #Variavel")</f>
        <v>#Recebimentos #Ajuste #Variavel</v>
      </c>
      <c r="K741" s="216"/>
      <c r="L741" s="216"/>
      <c r="M741" s="216"/>
      <c r="N741" s="216"/>
      <c r="O741" s="216"/>
      <c r="P741" s="216"/>
      <c r="Q741" s="216"/>
    </row>
    <row r="742">
      <c r="A742" s="11" t="str">
        <f>IFERROR(__xludf.DUMMYFUNCTION("""COMPUTED_VALUE"""),"PAGO")</f>
        <v>PAGO</v>
      </c>
      <c r="B742" s="98" t="str">
        <f>IFERROR(__xludf.DUMMYFUNCTION("""COMPUTED_VALUE"""),"Entrada mes anterior")</f>
        <v>Entrada mes anterior</v>
      </c>
      <c r="C742" s="13">
        <f>IFERROR(__xludf.DUMMYFUNCTION("""COMPUTED_VALUE"""),1.0)</f>
        <v>1</v>
      </c>
      <c r="D742" s="13" t="str">
        <f>IFERROR(__xludf.DUMMYFUNCTION("""COMPUTED_VALUE"""),"QUA.")</f>
        <v>QUA.</v>
      </c>
      <c r="E742" s="13">
        <f>IFERROR(__xludf.DUMMYFUNCTION("""COMPUTED_VALUE"""),9.0)</f>
        <v>9</v>
      </c>
      <c r="F742" s="15"/>
      <c r="G742" s="16">
        <f>IFERROR(__xludf.DUMMYFUNCTION("""COMPUTED_VALUE"""),329.99999999999994)</f>
        <v>330</v>
      </c>
      <c r="H742" s="227"/>
      <c r="I742" s="21" t="str">
        <f>IFERROR(__xludf.DUMMYFUNCTION("""COMPUTED_VALUE"""),"SODEXO-ALI-IBM")</f>
        <v>SODEXO-ALI-IBM</v>
      </c>
      <c r="J742" s="21" t="str">
        <f>IFERROR(__xludf.DUMMYFUNCTION("""COMPUTED_VALUE"""),"#Recebimentos #Ajuste #Variavel")</f>
        <v>#Recebimentos #Ajuste #Variavel</v>
      </c>
      <c r="K742" s="216"/>
      <c r="L742" s="216"/>
      <c r="M742" s="216"/>
      <c r="N742" s="216"/>
      <c r="O742" s="216"/>
      <c r="P742" s="216"/>
      <c r="Q742" s="216"/>
    </row>
    <row r="743">
      <c r="A743" s="11" t="str">
        <f>IFERROR(__xludf.DUMMYFUNCTION("""COMPUTED_VALUE"""),"PAGO")</f>
        <v>PAGO</v>
      </c>
      <c r="B743" s="98" t="str">
        <f>IFERROR(__xludf.DUMMYFUNCTION("""COMPUTED_VALUE"""),"Recarga TIM Cicero 11 948825242")</f>
        <v>Recarga TIM Cicero 11 948825242</v>
      </c>
      <c r="C743" s="13">
        <f>IFERROR(__xludf.DUMMYFUNCTION("""COMPUTED_VALUE"""),1.0)</f>
        <v>1</v>
      </c>
      <c r="D743" s="13" t="str">
        <f>IFERROR(__xludf.DUMMYFUNCTION("""COMPUTED_VALUE"""),"QUA.")</f>
        <v>QUA.</v>
      </c>
      <c r="E743" s="13">
        <f>IFERROR(__xludf.DUMMYFUNCTION("""COMPUTED_VALUE"""),9.0)</f>
        <v>9</v>
      </c>
      <c r="F743" s="15"/>
      <c r="G743" s="16"/>
      <c r="H743" s="227">
        <f>IFERROR(__xludf.DUMMYFUNCTION("""COMPUTED_VALUE"""),20.0)</f>
        <v>20</v>
      </c>
      <c r="I743" s="21" t="str">
        <f>IFERROR(__xludf.DUMMYFUNCTION("""COMPUTED_VALUE"""),"NUBANK")</f>
        <v>NUBANK</v>
      </c>
      <c r="J743" s="21" t="str">
        <f>IFERROR(__xludf.DUMMYFUNCTION("""COMPUTED_VALUE"""),"#Variavel #Recarga #TIM ")</f>
        <v>#Variavel #Recarga #TIM </v>
      </c>
      <c r="K743" s="216"/>
      <c r="L743" s="216"/>
      <c r="M743" s="216"/>
      <c r="N743" s="216"/>
      <c r="O743" s="216"/>
      <c r="P743" s="216"/>
      <c r="Q743" s="216"/>
    </row>
    <row r="744">
      <c r="A744" s="11" t="str">
        <f>IFERROR(__xludf.DUMMYFUNCTION("""COMPUTED_VALUE"""),"CONTAS")</f>
        <v>CONTAS</v>
      </c>
      <c r="B744" s="98" t="str">
        <f>IFERROR(__xludf.DUMMYFUNCTION("""COMPUTED_VALUE"""),"Transferencia via PIX")</f>
        <v>Transferencia via PIX</v>
      </c>
      <c r="C744" s="13">
        <f>IFERROR(__xludf.DUMMYFUNCTION("""COMPUTED_VALUE"""),1.0)</f>
        <v>1</v>
      </c>
      <c r="D744" s="13" t="str">
        <f>IFERROR(__xludf.DUMMYFUNCTION("""COMPUTED_VALUE"""),"QUA.")</f>
        <v>QUA.</v>
      </c>
      <c r="E744" s="13">
        <f>IFERROR(__xludf.DUMMYFUNCTION("""COMPUTED_VALUE"""),9.0)</f>
        <v>9</v>
      </c>
      <c r="F744" s="15"/>
      <c r="G744" s="16"/>
      <c r="H744" s="227">
        <f>IFERROR(__xludf.DUMMYFUNCTION("""COMPUTED_VALUE"""),400.0)</f>
        <v>400</v>
      </c>
      <c r="I744" s="21" t="str">
        <f>IFERROR(__xludf.DUMMYFUNCTION("""COMPUTED_VALUE"""),"NUBANK")</f>
        <v>NUBANK</v>
      </c>
      <c r="J744" s="21"/>
      <c r="K744" s="216"/>
      <c r="L744" s="216"/>
      <c r="M744" s="216"/>
      <c r="N744" s="216"/>
      <c r="O744" s="216"/>
      <c r="P744" s="216"/>
      <c r="Q744" s="216"/>
    </row>
    <row r="745">
      <c r="A745" s="11" t="str">
        <f>IFERROR(__xludf.DUMMYFUNCTION("""COMPUTED_VALUE"""),"CONTAS")</f>
        <v>CONTAS</v>
      </c>
      <c r="B745" s="98" t="str">
        <f>IFERROR(__xludf.DUMMYFUNCTION("""COMPUTED_VALUE"""),"Recebimento via PIX")</f>
        <v>Recebimento via PIX</v>
      </c>
      <c r="C745" s="13">
        <f>IFERROR(__xludf.DUMMYFUNCTION("""COMPUTED_VALUE"""),1.0)</f>
        <v>1</v>
      </c>
      <c r="D745" s="13" t="str">
        <f>IFERROR(__xludf.DUMMYFUNCTION("""COMPUTED_VALUE"""),"QUA.")</f>
        <v>QUA.</v>
      </c>
      <c r="E745" s="13">
        <f>IFERROR(__xludf.DUMMYFUNCTION("""COMPUTED_VALUE"""),9.0)</f>
        <v>9</v>
      </c>
      <c r="F745" s="15"/>
      <c r="G745" s="16">
        <f>IFERROR(__xludf.DUMMYFUNCTION("""COMPUTED_VALUE"""),400.0)</f>
        <v>400</v>
      </c>
      <c r="H745" s="227"/>
      <c r="I745" s="21" t="str">
        <f>IFERROR(__xludf.DUMMYFUNCTION("""COMPUTED_VALUE"""),"ITAU")</f>
        <v>ITAU</v>
      </c>
      <c r="J745" s="21"/>
      <c r="K745" s="216"/>
      <c r="L745" s="216"/>
      <c r="M745" s="216"/>
      <c r="N745" s="216"/>
      <c r="O745" s="216"/>
      <c r="P745" s="216"/>
      <c r="Q745" s="216"/>
    </row>
    <row r="746">
      <c r="A746" s="11" t="str">
        <f>IFERROR(__xludf.DUMMYFUNCTION("""COMPUTED_VALUE"""),"PAGO")</f>
        <v>PAGO</v>
      </c>
      <c r="B746" s="98" t="str">
        <f>IFERROR(__xludf.DUMMYFUNCTION("""COMPUTED_VALUE"""),"Agua - DEBITO AUTO")</f>
        <v>Agua - DEBITO AUTO</v>
      </c>
      <c r="C746" s="13">
        <f>IFERROR(__xludf.DUMMYFUNCTION("""COMPUTED_VALUE"""),2.0)</f>
        <v>2</v>
      </c>
      <c r="D746" s="13" t="str">
        <f>IFERROR(__xludf.DUMMYFUNCTION("""COMPUTED_VALUE"""),"QUI.")</f>
        <v>QUI.</v>
      </c>
      <c r="E746" s="13">
        <f>IFERROR(__xludf.DUMMYFUNCTION("""COMPUTED_VALUE"""),9.0)</f>
        <v>9</v>
      </c>
      <c r="F746" s="15"/>
      <c r="G746" s="16"/>
      <c r="H746" s="227">
        <f>IFERROR(__xludf.DUMMYFUNCTION("""COMPUTED_VALUE"""),67.05)</f>
        <v>67.05</v>
      </c>
      <c r="I746" s="21" t="str">
        <f>IFERROR(__xludf.DUMMYFUNCTION("""COMPUTED_VALUE"""),"ITAU")</f>
        <v>ITAU</v>
      </c>
      <c r="J746" s="21" t="str">
        <f>IFERROR(__xludf.DUMMYFUNCTION("""COMPUTED_VALUE"""),"#Moradia #Essencial #Agua #Fixo")</f>
        <v>#Moradia #Essencial #Agua #Fixo</v>
      </c>
      <c r="K746" s="216"/>
      <c r="L746" s="216"/>
      <c r="M746" s="216"/>
      <c r="N746" s="216"/>
      <c r="O746" s="216"/>
      <c r="P746" s="216"/>
      <c r="Q746" s="216"/>
    </row>
    <row r="747">
      <c r="A747" s="11" t="str">
        <f>IFERROR(__xludf.DUMMYFUNCTION("""COMPUTED_VALUE"""),"PAGO")</f>
        <v>PAGO</v>
      </c>
      <c r="B747" s="98" t="str">
        <f>IFERROR(__xludf.DUMMYFUNCTION("""COMPUTED_VALUE"""),"Estacionamento - Espaço Andromeda - Oftalmologista")</f>
        <v>Estacionamento - Espaço Andromeda - Oftalmologista</v>
      </c>
      <c r="C747" s="13">
        <f>IFERROR(__xludf.DUMMYFUNCTION("""COMPUTED_VALUE"""),2.0)</f>
        <v>2</v>
      </c>
      <c r="D747" s="13" t="str">
        <f>IFERROR(__xludf.DUMMYFUNCTION("""COMPUTED_VALUE"""),"QUI.")</f>
        <v>QUI.</v>
      </c>
      <c r="E747" s="13">
        <f>IFERROR(__xludf.DUMMYFUNCTION("""COMPUTED_VALUE"""),9.0)</f>
        <v>9</v>
      </c>
      <c r="F747" s="15"/>
      <c r="G747" s="16"/>
      <c r="H747" s="227">
        <f>IFERROR(__xludf.DUMMYFUNCTION("""COMPUTED_VALUE"""),6.0)</f>
        <v>6</v>
      </c>
      <c r="I747" s="21" t="str">
        <f>IFERROR(__xludf.DUMMYFUNCTION("""COMPUTED_VALUE"""),"NUBANK")</f>
        <v>NUBANK</v>
      </c>
      <c r="J747" s="21" t="str">
        <f>IFERROR(__xludf.DUMMYFUNCTION("""COMPUTED_VALUE"""),"#Carro #Estacionamento #Variavel")</f>
        <v>#Carro #Estacionamento #Variavel</v>
      </c>
      <c r="K747" s="216"/>
      <c r="L747" s="216"/>
      <c r="M747" s="216"/>
      <c r="N747" s="216"/>
      <c r="O747" s="216"/>
      <c r="P747" s="216"/>
      <c r="Q747" s="216"/>
    </row>
    <row r="748">
      <c r="A748" s="11" t="str">
        <f>IFERROR(__xludf.DUMMYFUNCTION("""COMPUTED_VALUE"""),"PAGO")</f>
        <v>PAGO</v>
      </c>
      <c r="B748" s="98" t="str">
        <f>IFERROR(__xludf.DUMMYFUNCTION("""COMPUTED_VALUE"""),"Leroy: 8 mascaras PFF2")</f>
        <v>Leroy: 8 mascaras PFF2</v>
      </c>
      <c r="C748" s="13">
        <f>IFERROR(__xludf.DUMMYFUNCTION("""COMPUTED_VALUE"""),2.0)</f>
        <v>2</v>
      </c>
      <c r="D748" s="13" t="str">
        <f>IFERROR(__xludf.DUMMYFUNCTION("""COMPUTED_VALUE"""),"QUI.")</f>
        <v>QUI.</v>
      </c>
      <c r="E748" s="13">
        <f>IFERROR(__xludf.DUMMYFUNCTION("""COMPUTED_VALUE"""),1.0)</f>
        <v>1</v>
      </c>
      <c r="F748" s="15"/>
      <c r="G748" s="16"/>
      <c r="H748" s="227">
        <f>IFERROR(__xludf.DUMMYFUNCTION("""COMPUTED_VALUE"""),27.12)</f>
        <v>27.12</v>
      </c>
      <c r="I748" s="21" t="str">
        <f>IFERROR(__xludf.DUMMYFUNCTION("""COMPUTED_VALUE"""),"NUBANK")</f>
        <v>NUBANK</v>
      </c>
      <c r="J748" s="21" t="str">
        <f>IFERROR(__xludf.DUMMYFUNCTION("""COMPUTED_VALUE"""),"#Saude #Familia #Variavel")</f>
        <v>#Saude #Familia #Variavel</v>
      </c>
      <c r="K748" s="216"/>
      <c r="L748" s="216"/>
      <c r="M748" s="216"/>
      <c r="N748" s="216"/>
      <c r="O748" s="216"/>
      <c r="P748" s="216"/>
      <c r="Q748" s="216"/>
    </row>
    <row r="749">
      <c r="A749" s="11" t="str">
        <f>IFERROR(__xludf.DUMMYFUNCTION("""COMPUTED_VALUE"""),"PAGO")</f>
        <v>PAGO</v>
      </c>
      <c r="B749" s="98" t="str">
        <f>IFERROR(__xludf.DUMMYFUNCTION("""COMPUTED_VALUE"""),"Combustivel - Posto Rede Nova")</f>
        <v>Combustivel - Posto Rede Nova</v>
      </c>
      <c r="C749" s="13">
        <f>IFERROR(__xludf.DUMMYFUNCTION("""COMPUTED_VALUE"""),2.0)</f>
        <v>2</v>
      </c>
      <c r="D749" s="13" t="str">
        <f>IFERROR(__xludf.DUMMYFUNCTION("""COMPUTED_VALUE"""),"QUI.")</f>
        <v>QUI.</v>
      </c>
      <c r="E749" s="13">
        <f>IFERROR(__xludf.DUMMYFUNCTION("""COMPUTED_VALUE"""),9.0)</f>
        <v>9</v>
      </c>
      <c r="F749" s="15"/>
      <c r="G749" s="16"/>
      <c r="H749" s="227">
        <f>IFERROR(__xludf.DUMMYFUNCTION("""COMPUTED_VALUE"""),217.69)</f>
        <v>217.69</v>
      </c>
      <c r="I749" s="21" t="str">
        <f>IFERROR(__xludf.DUMMYFUNCTION("""COMPUTED_VALUE"""),"NUBANK")</f>
        <v>NUBANK</v>
      </c>
      <c r="J749" s="21" t="str">
        <f>IFERROR(__xludf.DUMMYFUNCTION("""COMPUTED_VALUE"""),"#Carro #Combustivel #Variavel")</f>
        <v>#Carro #Combustivel #Variavel</v>
      </c>
      <c r="K749" s="216"/>
      <c r="L749" s="216"/>
      <c r="M749" s="216"/>
      <c r="N749" s="216"/>
      <c r="O749" s="216"/>
      <c r="P749" s="216"/>
      <c r="Q749" s="216"/>
    </row>
    <row r="750">
      <c r="A750" s="11" t="str">
        <f>IFERROR(__xludf.DUMMYFUNCTION("""COMPUTED_VALUE"""),"PAGO")</f>
        <v>PAGO</v>
      </c>
      <c r="B750" s="98" t="str">
        <f>IFERROR(__xludf.DUMMYFUNCTION("""COMPUTED_VALUE"""),"Levitar SJC - sorvetes")</f>
        <v>Levitar SJC - sorvetes</v>
      </c>
      <c r="C750" s="13">
        <f>IFERROR(__xludf.DUMMYFUNCTION("""COMPUTED_VALUE"""),2.0)</f>
        <v>2</v>
      </c>
      <c r="D750" s="13" t="str">
        <f>IFERROR(__xludf.DUMMYFUNCTION("""COMPUTED_VALUE"""),"QUI.")</f>
        <v>QUI.</v>
      </c>
      <c r="E750" s="13">
        <f>IFERROR(__xludf.DUMMYFUNCTION("""COMPUTED_VALUE"""),9.0)</f>
        <v>9</v>
      </c>
      <c r="F750" s="15"/>
      <c r="G750" s="16"/>
      <c r="H750" s="227">
        <f>IFERROR(__xludf.DUMMYFUNCTION("""COMPUTED_VALUE"""),31.9)</f>
        <v>31.9</v>
      </c>
      <c r="I750" s="21" t="str">
        <f>IFERROR(__xludf.DUMMYFUNCTION("""COMPUTED_VALUE"""),"NUBANK")</f>
        <v>NUBANK</v>
      </c>
      <c r="J750" s="21" t="str">
        <f>IFERROR(__xludf.DUMMYFUNCTION("""COMPUTED_VALUE"""),"#Lazer #Comida #Variavel")</f>
        <v>#Lazer #Comida #Variavel</v>
      </c>
      <c r="K750" s="216"/>
      <c r="L750" s="216"/>
      <c r="M750" s="216"/>
      <c r="N750" s="216"/>
      <c r="O750" s="216"/>
      <c r="P750" s="216"/>
      <c r="Q750" s="216"/>
    </row>
    <row r="751">
      <c r="A751" s="11" t="str">
        <f>IFERROR(__xludf.DUMMYFUNCTION("""COMPUTED_VALUE"""),"PAGO")</f>
        <v>PAGO</v>
      </c>
      <c r="B751" s="98" t="str">
        <f>IFERROR(__xludf.DUMMYFUNCTION("""COMPUTED_VALUE"""),"iFood - Krueger Lanchonete")</f>
        <v>iFood - Krueger Lanchonete</v>
      </c>
      <c r="C751" s="13">
        <f>IFERROR(__xludf.DUMMYFUNCTION("""COMPUTED_VALUE"""),3.0)</f>
        <v>3</v>
      </c>
      <c r="D751" s="13" t="str">
        <f>IFERROR(__xludf.DUMMYFUNCTION("""COMPUTED_VALUE"""),"SEX.")</f>
        <v>SEX.</v>
      </c>
      <c r="E751" s="13">
        <f>IFERROR(__xludf.DUMMYFUNCTION("""COMPUTED_VALUE"""),9.0)</f>
        <v>9</v>
      </c>
      <c r="F751" s="15"/>
      <c r="G751" s="16"/>
      <c r="H751" s="227">
        <f>IFERROR(__xludf.DUMMYFUNCTION("""COMPUTED_VALUE"""),70.8)</f>
        <v>70.8</v>
      </c>
      <c r="I751" s="21" t="str">
        <f>IFERROR(__xludf.DUMMYFUNCTION("""COMPUTED_VALUE"""),"SODEXO-REF-IBM")</f>
        <v>SODEXO-REF-IBM</v>
      </c>
      <c r="J751" s="21" t="str">
        <f>IFERROR(__xludf.DUMMYFUNCTION("""COMPUTED_VALUE"""),"#Lazer #Comida #Variavel")</f>
        <v>#Lazer #Comida #Variavel</v>
      </c>
      <c r="K751" s="216"/>
      <c r="L751" s="216"/>
      <c r="M751" s="216"/>
      <c r="N751" s="216"/>
      <c r="O751" s="216"/>
      <c r="P751" s="216"/>
      <c r="Q751" s="216"/>
    </row>
    <row r="752">
      <c r="A752" s="11" t="str">
        <f>IFERROR(__xludf.DUMMYFUNCTION("""COMPUTED_VALUE"""),"PAGO")</f>
        <v>PAGO</v>
      </c>
      <c r="B752" s="98" t="str">
        <f>IFERROR(__xludf.DUMMYFUNCTION("""COMPUTED_VALUE"""),"Polyotica Shibata - 2 óculos 1,5 graus para perto")</f>
        <v>Polyotica Shibata - 2 óculos 1,5 graus para perto</v>
      </c>
      <c r="C752" s="13">
        <f>IFERROR(__xludf.DUMMYFUNCTION("""COMPUTED_VALUE"""),4.0)</f>
        <v>4</v>
      </c>
      <c r="D752" s="13" t="str">
        <f>IFERROR(__xludf.DUMMYFUNCTION("""COMPUTED_VALUE"""),"SÁB.")</f>
        <v>SÁB.</v>
      </c>
      <c r="E752" s="13">
        <f>IFERROR(__xludf.DUMMYFUNCTION("""COMPUTED_VALUE"""),9.0)</f>
        <v>9</v>
      </c>
      <c r="F752" s="15"/>
      <c r="G752" s="16"/>
      <c r="H752" s="227">
        <f>IFERROR(__xludf.DUMMYFUNCTION("""COMPUTED_VALUE"""),1777.0)</f>
        <v>1777</v>
      </c>
      <c r="I752" s="21" t="str">
        <f>IFERROR(__xludf.DUMMYFUNCTION("""COMPUTED_VALUE"""),"NUBANK")</f>
        <v>NUBANK</v>
      </c>
      <c r="J752" s="21" t="str">
        <f>IFERROR(__xludf.DUMMYFUNCTION("""COMPUTED_VALUE"""),"#Saude #Variavel #Cicero")</f>
        <v>#Saude #Variavel #Cicero</v>
      </c>
      <c r="K752" s="216"/>
      <c r="L752" s="216"/>
      <c r="M752" s="216"/>
      <c r="N752" s="216"/>
      <c r="O752" s="216"/>
      <c r="P752" s="216"/>
      <c r="Q752" s="216"/>
    </row>
    <row r="753">
      <c r="A753" s="11" t="str">
        <f>IFERROR(__xludf.DUMMYFUNCTION("""COMPUTED_VALUE"""),"PAGO")</f>
        <v>PAGO</v>
      </c>
      <c r="B753" s="98" t="str">
        <f>IFERROR(__xludf.DUMMYFUNCTION("""COMPUTED_VALUE"""),"Shibata")</f>
        <v>Shibata</v>
      </c>
      <c r="C753" s="13">
        <f>IFERROR(__xludf.DUMMYFUNCTION("""COMPUTED_VALUE"""),4.0)</f>
        <v>4</v>
      </c>
      <c r="D753" s="13" t="str">
        <f>IFERROR(__xludf.DUMMYFUNCTION("""COMPUTED_VALUE"""),"SÁB.")</f>
        <v>SÁB.</v>
      </c>
      <c r="E753" s="13">
        <f>IFERROR(__xludf.DUMMYFUNCTION("""COMPUTED_VALUE"""),9.0)</f>
        <v>9</v>
      </c>
      <c r="F753" s="15"/>
      <c r="G753" s="16"/>
      <c r="H753" s="227">
        <f>IFERROR(__xludf.DUMMYFUNCTION("""COMPUTED_VALUE"""),216.67)</f>
        <v>216.67</v>
      </c>
      <c r="I753" s="21" t="str">
        <f>IFERROR(__xludf.DUMMYFUNCTION("""COMPUTED_VALUE"""),"SODEXO-REF-IBM")</f>
        <v>SODEXO-REF-IBM</v>
      </c>
      <c r="J753" s="21" t="str">
        <f>IFERROR(__xludf.DUMMYFUNCTION("""COMPUTED_VALUE"""),"#Moradia #Essencial #Mercado #Variavel #Alimentação ")</f>
        <v>#Moradia #Essencial #Mercado #Variavel #Alimentação </v>
      </c>
      <c r="K753" s="216"/>
      <c r="L753" s="216"/>
      <c r="M753" s="216"/>
      <c r="N753" s="216"/>
      <c r="O753" s="216"/>
      <c r="P753" s="216"/>
      <c r="Q753" s="216"/>
    </row>
    <row r="754">
      <c r="A754" s="11" t="str">
        <f>IFERROR(__xludf.DUMMYFUNCTION("""COMPUTED_VALUE"""),"PAGO")</f>
        <v>PAGO</v>
      </c>
      <c r="B754" s="98" t="str">
        <f>IFERROR(__xludf.DUMMYFUNCTION("""COMPUTED_VALUE"""),"Psicologa - Kelley Nascimento (para Roberta) PIX 31993029435")</f>
        <v>Psicologa - Kelley Nascimento (para Roberta) PIX 31993029435</v>
      </c>
      <c r="C754" s="13">
        <f>IFERROR(__xludf.DUMMYFUNCTION("""COMPUTED_VALUE"""),5.0)</f>
        <v>5</v>
      </c>
      <c r="D754" s="13" t="str">
        <f>IFERROR(__xludf.DUMMYFUNCTION("""COMPUTED_VALUE"""),"DOM.")</f>
        <v>DOM.</v>
      </c>
      <c r="E754" s="13">
        <f>IFERROR(__xludf.DUMMYFUNCTION("""COMPUTED_VALUE"""),9.0)</f>
        <v>9</v>
      </c>
      <c r="F754" s="15">
        <f>IFERROR(__xludf.DUMMYFUNCTION("""COMPUTED_VALUE"""),44442.0)</f>
        <v>44442</v>
      </c>
      <c r="G754" s="16"/>
      <c r="H754" s="227">
        <f>IFERROR(__xludf.DUMMYFUNCTION("""COMPUTED_VALUE"""),400.0)</f>
        <v>400</v>
      </c>
      <c r="I754" s="21" t="str">
        <f>IFERROR(__xludf.DUMMYFUNCTION("""COMPUTED_VALUE"""),"NUBANK")</f>
        <v>NUBANK</v>
      </c>
      <c r="J754" s="21" t="str">
        <f>IFERROR(__xludf.DUMMYFUNCTION("""COMPUTED_VALUE"""),"#Psicologa #Fixo #Roberta")</f>
        <v>#Psicologa #Fixo #Roberta</v>
      </c>
      <c r="K754" s="216"/>
      <c r="L754" s="216"/>
      <c r="M754" s="216"/>
      <c r="N754" s="216"/>
      <c r="O754" s="216"/>
      <c r="P754" s="216"/>
      <c r="Q754" s="216"/>
    </row>
    <row r="755">
      <c r="A755" s="11" t="str">
        <f>IFERROR(__xludf.DUMMYFUNCTION("""COMPUTED_VALUE"""),"PAGO")</f>
        <v>PAGO</v>
      </c>
      <c r="B755" s="98" t="str">
        <f>IFERROR(__xludf.DUMMYFUNCTION("""COMPUTED_VALUE"""),"Aluguel de Itaquera - Joice")</f>
        <v>Aluguel de Itaquera - Joice</v>
      </c>
      <c r="C755" s="13">
        <f>IFERROR(__xludf.DUMMYFUNCTION("""COMPUTED_VALUE"""),6.0)</f>
        <v>6</v>
      </c>
      <c r="D755" s="13" t="str">
        <f>IFERROR(__xludf.DUMMYFUNCTION("""COMPUTED_VALUE"""),"SEG.")</f>
        <v>SEG.</v>
      </c>
      <c r="E755" s="13">
        <f>IFERROR(__xludf.DUMMYFUNCTION("""COMPUTED_VALUE"""),9.0)</f>
        <v>9</v>
      </c>
      <c r="F755" s="15"/>
      <c r="G755" s="16">
        <f>IFERROR(__xludf.DUMMYFUNCTION("""COMPUTED_VALUE"""),500.0)</f>
        <v>500</v>
      </c>
      <c r="H755" s="227"/>
      <c r="I755" s="21" t="str">
        <f>IFERROR(__xludf.DUMMYFUNCTION("""COMPUTED_VALUE"""),"NUBANK")</f>
        <v>NUBANK</v>
      </c>
      <c r="J755" s="21" t="str">
        <f>IFERROR(__xludf.DUMMYFUNCTION("""COMPUTED_VALUE"""),"#Recebimentos #Aluguel #Itaquera #Variavel")</f>
        <v>#Recebimentos #Aluguel #Itaquera #Variavel</v>
      </c>
      <c r="K755" s="216"/>
      <c r="L755" s="216"/>
      <c r="M755" s="216"/>
      <c r="N755" s="216"/>
      <c r="O755" s="216"/>
      <c r="P755" s="216"/>
      <c r="Q755" s="216"/>
    </row>
    <row r="756">
      <c r="A756" s="11" t="str">
        <f>IFERROR(__xludf.DUMMYFUNCTION("""COMPUTED_VALUE"""),"PAGO")</f>
        <v>PAGO</v>
      </c>
      <c r="B756" s="98" t="str">
        <f>IFERROR(__xludf.DUMMYFUNCTION("""COMPUTED_VALUE"""),"Transferencia via PIX - Roberta (aluguel)")</f>
        <v>Transferencia via PIX - Roberta (aluguel)</v>
      </c>
      <c r="C756" s="13">
        <f>IFERROR(__xludf.DUMMYFUNCTION("""COMPUTED_VALUE"""),6.0)</f>
        <v>6</v>
      </c>
      <c r="D756" s="13" t="str">
        <f>IFERROR(__xludf.DUMMYFUNCTION("""COMPUTED_VALUE"""),"SEG.")</f>
        <v>SEG.</v>
      </c>
      <c r="E756" s="13">
        <f>IFERROR(__xludf.DUMMYFUNCTION("""COMPUTED_VALUE"""),9.0)</f>
        <v>9</v>
      </c>
      <c r="F756" s="15"/>
      <c r="G756" s="16"/>
      <c r="H756" s="227">
        <f>IFERROR(__xludf.DUMMYFUNCTION("""COMPUTED_VALUE"""),500.0)</f>
        <v>500</v>
      </c>
      <c r="I756" s="21" t="str">
        <f>IFERROR(__xludf.DUMMYFUNCTION("""COMPUTED_VALUE"""),"NUBANK")</f>
        <v>NUBANK</v>
      </c>
      <c r="J756" s="21" t="str">
        <f>IFERROR(__xludf.DUMMYFUNCTION("""COMPUTED_VALUE"""),"#Roberta #Aluguel #Itaquera #Variavel")</f>
        <v>#Roberta #Aluguel #Itaquera #Variavel</v>
      </c>
      <c r="K756" s="216"/>
      <c r="L756" s="216"/>
      <c r="M756" s="216"/>
      <c r="N756" s="216"/>
      <c r="O756" s="216"/>
      <c r="P756" s="216"/>
      <c r="Q756" s="216"/>
    </row>
    <row r="757">
      <c r="A757" s="11" t="str">
        <f>IFERROR(__xludf.DUMMYFUNCTION("""COMPUTED_VALUE"""),"PAGO")</f>
        <v>PAGO</v>
      </c>
      <c r="B757" s="98" t="str">
        <f>IFERROR(__xludf.DUMMYFUNCTION("""COMPUTED_VALUE"""),"Doação - Edilson F. Santos - desempregado - Linkedin")</f>
        <v>Doação - Edilson F. Santos - desempregado - Linkedin</v>
      </c>
      <c r="C757" s="13">
        <f>IFERROR(__xludf.DUMMYFUNCTION("""COMPUTED_VALUE"""),6.0)</f>
        <v>6</v>
      </c>
      <c r="D757" s="13" t="str">
        <f>IFERROR(__xludf.DUMMYFUNCTION("""COMPUTED_VALUE"""),"SEG.")</f>
        <v>SEG.</v>
      </c>
      <c r="E757" s="13">
        <f>IFERROR(__xludf.DUMMYFUNCTION("""COMPUTED_VALUE"""),9.0)</f>
        <v>9</v>
      </c>
      <c r="F757" s="15"/>
      <c r="G757" s="16"/>
      <c r="H757" s="227">
        <f>IFERROR(__xludf.DUMMYFUNCTION("""COMPUTED_VALUE"""),100.0)</f>
        <v>100</v>
      </c>
      <c r="I757" s="21" t="str">
        <f>IFERROR(__xludf.DUMMYFUNCTION("""COMPUTED_VALUE"""),"NUBANK")</f>
        <v>NUBANK</v>
      </c>
      <c r="J757" s="21" t="str">
        <f>IFERROR(__xludf.DUMMYFUNCTION("""COMPUTED_VALUE"""),"#Doação #Extra #Variavel")</f>
        <v>#Doação #Extra #Variavel</v>
      </c>
      <c r="K757" s="216"/>
      <c r="L757" s="216"/>
      <c r="M757" s="216"/>
      <c r="N757" s="216"/>
      <c r="O757" s="216"/>
      <c r="P757" s="216"/>
      <c r="Q757" s="216"/>
    </row>
    <row r="758">
      <c r="A758" s="11" t="str">
        <f>IFERROR(__xludf.DUMMYFUNCTION("""COMPUTED_VALUE"""),"PAGO")</f>
        <v>PAGO</v>
      </c>
      <c r="B758" s="98" t="str">
        <f>IFERROR(__xludf.DUMMYFUNCTION("""COMPUTED_VALUE"""),"Rendimento")</f>
        <v>Rendimento</v>
      </c>
      <c r="C758" s="13">
        <f>IFERROR(__xludf.DUMMYFUNCTION("""COMPUTED_VALUE"""),7.0)</f>
        <v>7</v>
      </c>
      <c r="D758" s="13" t="str">
        <f>IFERROR(__xludf.DUMMYFUNCTION("""COMPUTED_VALUE"""),"TER.")</f>
        <v>TER.</v>
      </c>
      <c r="E758" s="13">
        <f>IFERROR(__xludf.DUMMYFUNCTION("""COMPUTED_VALUE"""),9.0)</f>
        <v>9</v>
      </c>
      <c r="F758" s="15"/>
      <c r="G758" s="16">
        <f>IFERROR(__xludf.DUMMYFUNCTION("""COMPUTED_VALUE"""),15.01)</f>
        <v>15.01</v>
      </c>
      <c r="H758" s="227"/>
      <c r="I758" s="21" t="str">
        <f>IFERROR(__xludf.DUMMYFUNCTION("""COMPUTED_VALUE"""),"NUBANK")</f>
        <v>NUBANK</v>
      </c>
      <c r="J758" s="21" t="str">
        <f>IFERROR(__xludf.DUMMYFUNCTION("""COMPUTED_VALUE"""),"#Recebimentos #Rendimentos #Variavel")</f>
        <v>#Recebimentos #Rendimentos #Variavel</v>
      </c>
      <c r="K758" s="216"/>
      <c r="L758" s="216"/>
      <c r="M758" s="216"/>
      <c r="N758" s="216"/>
      <c r="O758" s="216"/>
      <c r="P758" s="216"/>
      <c r="Q758" s="216"/>
    </row>
    <row r="759">
      <c r="A759" s="11" t="str">
        <f>IFERROR(__xludf.DUMMYFUNCTION("""COMPUTED_VALUE"""),"PAGO")</f>
        <v>PAGO</v>
      </c>
      <c r="B759" s="98" t="str">
        <f>IFERROR(__xludf.DUMMYFUNCTION("""COMPUTED_VALUE"""),"iFood - Pizza Go (gigante 16 pedaços)")</f>
        <v>iFood - Pizza Go (gigante 16 pedaços)</v>
      </c>
      <c r="C759" s="13">
        <f>IFERROR(__xludf.DUMMYFUNCTION("""COMPUTED_VALUE"""),7.0)</f>
        <v>7</v>
      </c>
      <c r="D759" s="13" t="str">
        <f>IFERROR(__xludf.DUMMYFUNCTION("""COMPUTED_VALUE"""),"TER.")</f>
        <v>TER.</v>
      </c>
      <c r="E759" s="13">
        <f>IFERROR(__xludf.DUMMYFUNCTION("""COMPUTED_VALUE"""),9.0)</f>
        <v>9</v>
      </c>
      <c r="F759" s="15"/>
      <c r="G759" s="16"/>
      <c r="H759" s="227">
        <f>IFERROR(__xludf.DUMMYFUNCTION("""COMPUTED_VALUE"""),78.0)</f>
        <v>78</v>
      </c>
      <c r="I759" s="21" t="str">
        <f>IFERROR(__xludf.DUMMYFUNCTION("""COMPUTED_VALUE"""),"NUBANK")</f>
        <v>NUBANK</v>
      </c>
      <c r="J759" s="21" t="str">
        <f>IFERROR(__xludf.DUMMYFUNCTION("""COMPUTED_VALUE"""),"#Lazer #Comida #Variavel")</f>
        <v>#Lazer #Comida #Variavel</v>
      </c>
      <c r="K759" s="216"/>
      <c r="L759" s="216"/>
      <c r="M759" s="216"/>
      <c r="N759" s="216"/>
      <c r="O759" s="216"/>
      <c r="P759" s="216"/>
      <c r="Q759" s="216"/>
    </row>
    <row r="760">
      <c r="A760" s="11" t="str">
        <f>IFERROR(__xludf.DUMMYFUNCTION("""COMPUTED_VALUE"""),"PAGO")</f>
        <v>PAGO</v>
      </c>
      <c r="B760" s="98" t="str">
        <f>IFERROR(__xludf.DUMMYFUNCTION("""COMPUTED_VALUE"""),"Cartao Roberta")</f>
        <v>Cartao Roberta</v>
      </c>
      <c r="C760" s="13">
        <f>IFERROR(__xludf.DUMMYFUNCTION("""COMPUTED_VALUE"""),8.0)</f>
        <v>8</v>
      </c>
      <c r="D760" s="13" t="str">
        <f>IFERROR(__xludf.DUMMYFUNCTION("""COMPUTED_VALUE"""),"QUA.")</f>
        <v>QUA.</v>
      </c>
      <c r="E760" s="13">
        <f>IFERROR(__xludf.DUMMYFUNCTION("""COMPUTED_VALUE"""),9.0)</f>
        <v>9</v>
      </c>
      <c r="F760" s="15">
        <f>IFERROR(__xludf.DUMMYFUNCTION("""COMPUTED_VALUE"""),44440.0)</f>
        <v>44440</v>
      </c>
      <c r="G760" s="16"/>
      <c r="H760" s="227">
        <f>IFERROR(__xludf.DUMMYFUNCTION("""COMPUTED_VALUE"""),234.45)</f>
        <v>234.45</v>
      </c>
      <c r="I760" s="21" t="str">
        <f>IFERROR(__xludf.DUMMYFUNCTION("""COMPUTED_VALUE"""),"NUBANK")</f>
        <v>NUBANK</v>
      </c>
      <c r="J760" s="21"/>
      <c r="K760" s="216"/>
      <c r="L760" s="216"/>
      <c r="M760" s="216"/>
      <c r="N760" s="216"/>
      <c r="O760" s="216"/>
      <c r="P760" s="216"/>
      <c r="Q760" s="216"/>
    </row>
    <row r="761">
      <c r="A761" s="11" t="str">
        <f>IFERROR(__xludf.DUMMYFUNCTION("""COMPUTED_VALUE"""),"CREDITO")</f>
        <v>CREDITO</v>
      </c>
      <c r="B761" s="98" t="str">
        <f>IFERROR(__xludf.DUMMYFUNCTION("""COMPUTED_VALUE"""),"EBANX SHOPPE - VESTUARIO CURITIBA")</f>
        <v>EBANX SHOPPE - VESTUARIO CURITIBA</v>
      </c>
      <c r="C761" s="13"/>
      <c r="D761" s="13"/>
      <c r="E761" s="13">
        <f>IFERROR(__xludf.DUMMYFUNCTION("""COMPUTED_VALUE"""),9.0)</f>
        <v>9</v>
      </c>
      <c r="F761" s="15">
        <f>IFERROR(__xludf.DUMMYFUNCTION("""COMPUTED_VALUE"""),44408.0)</f>
        <v>44408</v>
      </c>
      <c r="G761" s="16"/>
      <c r="H761" s="227">
        <f>IFERROR(__xludf.DUMMYFUNCTION("""COMPUTED_VALUE"""),-43.06)</f>
        <v>-43.06</v>
      </c>
      <c r="I761" s="21"/>
      <c r="J761" s="21" t="str">
        <f>IFERROR(__xludf.DUMMYFUNCTION("""COMPUTED_VALUE"""),"#CartaoDeCredito #Roberta #Variavel #Carlos #Eduardo")</f>
        <v>#CartaoDeCredito #Roberta #Variavel #Carlos #Eduardo</v>
      </c>
      <c r="K761" s="216"/>
      <c r="L761" s="216"/>
      <c r="M761" s="216"/>
      <c r="N761" s="216"/>
      <c r="O761" s="216"/>
      <c r="P761" s="216"/>
      <c r="Q761" s="216"/>
    </row>
    <row r="762">
      <c r="A762" s="11" t="str">
        <f>IFERROR(__xludf.DUMMYFUNCTION("""COMPUTED_VALUE"""),"CREDITO")</f>
        <v>CREDITO</v>
      </c>
      <c r="B762" s="98" t="str">
        <f>IFERROR(__xludf.DUMMYFUNCTION("""COMPUTED_VALUE"""),"SPITI DIVERSOS .SAO PAULO")</f>
        <v>SPITI DIVERSOS .SAO PAULO</v>
      </c>
      <c r="C762" s="13"/>
      <c r="D762" s="13"/>
      <c r="E762" s="13">
        <f>IFERROR(__xludf.DUMMYFUNCTION("""COMPUTED_VALUE"""),9.0)</f>
        <v>9</v>
      </c>
      <c r="F762" s="15">
        <f>IFERROR(__xludf.DUMMYFUNCTION("""COMPUTED_VALUE"""),44409.0)</f>
        <v>44409</v>
      </c>
      <c r="G762" s="16"/>
      <c r="H762" s="227">
        <f>IFERROR(__xludf.DUMMYFUNCTION("""COMPUTED_VALUE"""),1.0)</f>
        <v>1</v>
      </c>
      <c r="I762" s="21"/>
      <c r="J762" s="21"/>
      <c r="K762" s="216"/>
      <c r="L762" s="216"/>
      <c r="M762" s="216"/>
      <c r="N762" s="216"/>
      <c r="O762" s="216"/>
      <c r="P762" s="216"/>
      <c r="Q762" s="216"/>
    </row>
    <row r="763">
      <c r="A763" s="11" t="str">
        <f>IFERROR(__xludf.DUMMYFUNCTION("""COMPUTED_VALUE"""),"CREDITO")</f>
        <v>CREDITO</v>
      </c>
      <c r="B763" s="98" t="str">
        <f>IFERROR(__xludf.DUMMYFUNCTION("""COMPUTED_VALUE"""),"LOJA VIRTUAL TORRAO - VESTUARIO 01/02")</f>
        <v>LOJA VIRTUAL TORRAO - VESTUARIO 01/02</v>
      </c>
      <c r="C763" s="13"/>
      <c r="D763" s="13"/>
      <c r="E763" s="13">
        <f>IFERROR(__xludf.DUMMYFUNCTION("""COMPUTED_VALUE"""),9.0)</f>
        <v>9</v>
      </c>
      <c r="F763" s="15">
        <f>IFERROR(__xludf.DUMMYFUNCTION("""COMPUTED_VALUE"""),44410.0)</f>
        <v>44410</v>
      </c>
      <c r="G763" s="16"/>
      <c r="H763" s="227">
        <f>IFERROR(__xludf.DUMMYFUNCTION("""COMPUTED_VALUE"""),58.94)</f>
        <v>58.94</v>
      </c>
      <c r="I763" s="21"/>
      <c r="J763" s="21" t="str">
        <f>IFERROR(__xludf.DUMMYFUNCTION("""COMPUTED_VALUE"""),"#CartaoDeCredito #Roberta #Variavel #Carlos #Eduardo")</f>
        <v>#CartaoDeCredito #Roberta #Variavel #Carlos #Eduardo</v>
      </c>
      <c r="K763" s="216"/>
      <c r="L763" s="216"/>
      <c r="M763" s="216"/>
      <c r="N763" s="216"/>
      <c r="O763" s="216"/>
      <c r="P763" s="216"/>
      <c r="Q763" s="216"/>
    </row>
    <row r="764">
      <c r="A764" s="11" t="str">
        <f>IFERROR(__xludf.DUMMYFUNCTION("""COMPUTED_VALUE"""),"CREDITO")</f>
        <v>CREDITO</v>
      </c>
      <c r="B764" s="98" t="str">
        <f>IFERROR(__xludf.DUMMYFUNCTION("""COMPUTED_VALUE"""),"CASA DAS LINHAS KIUKIM - DIVERSOS SAO JOSE DOS")</f>
        <v>CASA DAS LINHAS KIUKIM - DIVERSOS SAO JOSE DOS</v>
      </c>
      <c r="C764" s="13"/>
      <c r="D764" s="13"/>
      <c r="E764" s="13">
        <f>IFERROR(__xludf.DUMMYFUNCTION("""COMPUTED_VALUE"""),9.0)</f>
        <v>9</v>
      </c>
      <c r="F764" s="15">
        <f>IFERROR(__xludf.DUMMYFUNCTION("""COMPUTED_VALUE"""),44411.0)</f>
        <v>44411</v>
      </c>
      <c r="G764" s="16"/>
      <c r="H764" s="227">
        <f>IFERROR(__xludf.DUMMYFUNCTION("""COMPUTED_VALUE"""),37.5)</f>
        <v>37.5</v>
      </c>
      <c r="I764" s="21"/>
      <c r="J764" s="21" t="str">
        <f>IFERROR(__xludf.DUMMYFUNCTION("""COMPUTED_VALUE"""),"#CartaoDeCredito #Roberta #Variavel #Carlos #Eduardo")</f>
        <v>#CartaoDeCredito #Roberta #Variavel #Carlos #Eduardo</v>
      </c>
      <c r="K764" s="216"/>
      <c r="L764" s="216"/>
      <c r="M764" s="216"/>
      <c r="N764" s="216"/>
      <c r="O764" s="216"/>
      <c r="P764" s="216"/>
      <c r="Q764" s="216"/>
    </row>
    <row r="765">
      <c r="A765" s="11" t="str">
        <f>IFERROR(__xludf.DUMMYFUNCTION("""COMPUTED_VALUE"""),"CREDITO")</f>
        <v>CREDITO</v>
      </c>
      <c r="B765" s="98" t="str">
        <f>IFERROR(__xludf.DUMMYFUNCTION("""COMPUTED_VALUE"""),"VITELA DE PRATA - ALIMENTAÇÃO SAO JOSE DOS")</f>
        <v>VITELA DE PRATA - ALIMENTAÇÃO SAO JOSE DOS</v>
      </c>
      <c r="C765" s="13"/>
      <c r="D765" s="13"/>
      <c r="E765" s="13">
        <f>IFERROR(__xludf.DUMMYFUNCTION("""COMPUTED_VALUE"""),9.0)</f>
        <v>9</v>
      </c>
      <c r="F765" s="15">
        <f>IFERROR(__xludf.DUMMYFUNCTION("""COMPUTED_VALUE"""),44411.0)</f>
        <v>44411</v>
      </c>
      <c r="G765" s="16"/>
      <c r="H765" s="227">
        <f>IFERROR(__xludf.DUMMYFUNCTION("""COMPUTED_VALUE"""),44.22)</f>
        <v>44.22</v>
      </c>
      <c r="I765" s="21"/>
      <c r="J765" s="21" t="str">
        <f>IFERROR(__xludf.DUMMYFUNCTION("""COMPUTED_VALUE"""),"#CartaoDeCredito #Roberta #Lazer #Variavel")</f>
        <v>#CartaoDeCredito #Roberta #Lazer #Variavel</v>
      </c>
      <c r="K765" s="216"/>
      <c r="L765" s="216"/>
      <c r="M765" s="216"/>
      <c r="N765" s="216"/>
      <c r="O765" s="216"/>
      <c r="P765" s="216"/>
      <c r="Q765" s="216"/>
    </row>
    <row r="766">
      <c r="A766" s="11" t="str">
        <f>IFERROR(__xludf.DUMMYFUNCTION("""COMPUTED_VALUE"""),"CREDITO")</f>
        <v>CREDITO</v>
      </c>
      <c r="B766" s="98" t="str">
        <f>IFERROR(__xludf.DUMMYFUNCTION("""COMPUTED_VALUE"""),"DROGARIA SAO PAULO - SAUDE SAO JOSE DOS")</f>
        <v>DROGARIA SAO PAULO - SAUDE SAO JOSE DOS</v>
      </c>
      <c r="C766" s="13"/>
      <c r="D766" s="13"/>
      <c r="E766" s="13">
        <f>IFERROR(__xludf.DUMMYFUNCTION("""COMPUTED_VALUE"""),9.0)</f>
        <v>9</v>
      </c>
      <c r="F766" s="15">
        <f>IFERROR(__xludf.DUMMYFUNCTION("""COMPUTED_VALUE"""),44411.0)</f>
        <v>44411</v>
      </c>
      <c r="G766" s="16"/>
      <c r="H766" s="227">
        <f>IFERROR(__xludf.DUMMYFUNCTION("""COMPUTED_VALUE"""),9.84)</f>
        <v>9.84</v>
      </c>
      <c r="I766" s="21"/>
      <c r="J766" s="21" t="str">
        <f>IFERROR(__xludf.DUMMYFUNCTION("""COMPUTED_VALUE"""),"#CartaoDeCredito #Roberta #Variavel #Carlos #Eduardo")</f>
        <v>#CartaoDeCredito #Roberta #Variavel #Carlos #Eduardo</v>
      </c>
      <c r="K766" s="216"/>
      <c r="L766" s="216"/>
      <c r="M766" s="216"/>
      <c r="N766" s="216"/>
      <c r="O766" s="216"/>
      <c r="P766" s="216"/>
      <c r="Q766" s="216"/>
    </row>
    <row r="767">
      <c r="A767" s="11" t="str">
        <f>IFERROR(__xludf.DUMMYFUNCTION("""COMPUTED_VALUE"""),"CREDITO")</f>
        <v>CREDITO</v>
      </c>
      <c r="B767" s="98" t="str">
        <f>IFERROR(__xludf.DUMMYFUNCTION("""COMPUTED_VALUE"""),"EBANX SHOPPE - DIVERSOS CURITIBA")</f>
        <v>EBANX SHOPPE - DIVERSOS CURITIBA</v>
      </c>
      <c r="C767" s="13"/>
      <c r="D767" s="13"/>
      <c r="E767" s="13">
        <f>IFERROR(__xludf.DUMMYFUNCTION("""COMPUTED_VALUE"""),9.0)</f>
        <v>9</v>
      </c>
      <c r="F767" s="15">
        <f>IFERROR(__xludf.DUMMYFUNCTION("""COMPUTED_VALUE"""),44421.0)</f>
        <v>44421</v>
      </c>
      <c r="G767" s="16"/>
      <c r="H767" s="227">
        <f>IFERROR(__xludf.DUMMYFUNCTION("""COMPUTED_VALUE"""),30.32)</f>
        <v>30.32</v>
      </c>
      <c r="I767" s="21"/>
      <c r="J767" s="21" t="str">
        <f>IFERROR(__xludf.DUMMYFUNCTION("""COMPUTED_VALUE"""),"#CartaoDeCredito #Roberta #Variavel #Carlos #Eduardo")</f>
        <v>#CartaoDeCredito #Roberta #Variavel #Carlos #Eduardo</v>
      </c>
      <c r="K767" s="216"/>
      <c r="L767" s="216"/>
      <c r="M767" s="216"/>
      <c r="N767" s="216"/>
      <c r="O767" s="216"/>
      <c r="P767" s="216"/>
      <c r="Q767" s="216"/>
    </row>
    <row r="768">
      <c r="A768" s="11" t="str">
        <f>IFERROR(__xludf.DUMMYFUNCTION("""COMPUTED_VALUE"""),"CREDITO")</f>
        <v>CREDITO</v>
      </c>
      <c r="B768" s="98" t="str">
        <f>IFERROR(__xludf.DUMMYFUNCTION("""COMPUTED_VALUE"""),"EBANX SHOPPE - VESTUARIO CURITIBA")</f>
        <v>EBANX SHOPPE - VESTUARIO CURITIBA</v>
      </c>
      <c r="C768" s="13"/>
      <c r="D768" s="13"/>
      <c r="E768" s="13">
        <f>IFERROR(__xludf.DUMMYFUNCTION("""COMPUTED_VALUE"""),9.0)</f>
        <v>9</v>
      </c>
      <c r="F768" s="15">
        <f>IFERROR(__xludf.DUMMYFUNCTION("""COMPUTED_VALUE"""),44422.0)</f>
        <v>44422</v>
      </c>
      <c r="G768" s="16"/>
      <c r="H768" s="227">
        <f>IFERROR(__xludf.DUMMYFUNCTION("""COMPUTED_VALUE"""),14.7)</f>
        <v>14.7</v>
      </c>
      <c r="I768" s="21"/>
      <c r="J768" s="21" t="str">
        <f>IFERROR(__xludf.DUMMYFUNCTION("""COMPUTED_VALUE"""),"#CartaoDeCredito #Roberta #Variavel #Carlos #Eduardo")</f>
        <v>#CartaoDeCredito #Roberta #Variavel #Carlos #Eduardo</v>
      </c>
      <c r="K768" s="216"/>
      <c r="L768" s="216"/>
      <c r="M768" s="216"/>
      <c r="N768" s="216"/>
      <c r="O768" s="216"/>
      <c r="P768" s="216"/>
      <c r="Q768" s="216"/>
    </row>
    <row r="769">
      <c r="A769" s="11" t="str">
        <f>IFERROR(__xludf.DUMMYFUNCTION("""COMPUTED_VALUE"""),"CREDITO")</f>
        <v>CREDITO</v>
      </c>
      <c r="B769" s="98" t="str">
        <f>IFERROR(__xludf.DUMMYFUNCTION("""COMPUTED_VALUE"""),"SEGURO RESIDENCIAL ITAU")</f>
        <v>SEGURO RESIDENCIAL ITAU</v>
      </c>
      <c r="C769" s="13"/>
      <c r="D769" s="13"/>
      <c r="E769" s="13">
        <f>IFERROR(__xludf.DUMMYFUNCTION("""COMPUTED_VALUE"""),9.0)</f>
        <v>9</v>
      </c>
      <c r="F769" s="15">
        <f>IFERROR(__xludf.DUMMYFUNCTION("""COMPUTED_VALUE"""),44426.0)</f>
        <v>44426</v>
      </c>
      <c r="G769" s="16"/>
      <c r="H769" s="227">
        <f>IFERROR(__xludf.DUMMYFUNCTION("""COMPUTED_VALUE"""),13.7)</f>
        <v>13.7</v>
      </c>
      <c r="I769" s="21"/>
      <c r="J769" s="21" t="str">
        <f>IFERROR(__xludf.DUMMYFUNCTION("""COMPUTED_VALUE"""),"#CartaoDeCredito #Roberta #Essencial #Fixo #Moradia")</f>
        <v>#CartaoDeCredito #Roberta #Essencial #Fixo #Moradia</v>
      </c>
      <c r="K769" s="216"/>
      <c r="L769" s="216"/>
      <c r="M769" s="216"/>
      <c r="N769" s="216"/>
      <c r="O769" s="216"/>
      <c r="P769" s="216"/>
      <c r="Q769" s="216"/>
    </row>
    <row r="770">
      <c r="A770" s="11" t="str">
        <f>IFERROR(__xludf.DUMMYFUNCTION("""COMPUTED_VALUE"""),"CREDITO")</f>
        <v>CREDITO</v>
      </c>
      <c r="B770" s="98" t="str">
        <f>IFERROR(__xludf.DUMMYFUNCTION("""COMPUTED_VALUE"""),"EBANX SHOPPE - DIVERSOS CURITIBA")</f>
        <v>EBANX SHOPPE - DIVERSOS CURITIBA</v>
      </c>
      <c r="C770" s="13"/>
      <c r="D770" s="13"/>
      <c r="E770" s="13">
        <f>IFERROR(__xludf.DUMMYFUNCTION("""COMPUTED_VALUE"""),9.0)</f>
        <v>9</v>
      </c>
      <c r="F770" s="15">
        <f>IFERROR(__xludf.DUMMYFUNCTION("""COMPUTED_VALUE"""),44434.0)</f>
        <v>44434</v>
      </c>
      <c r="G770" s="16"/>
      <c r="H770" s="227">
        <f>IFERROR(__xludf.DUMMYFUNCTION("""COMPUTED_VALUE"""),67.29)</f>
        <v>67.29</v>
      </c>
      <c r="I770" s="21"/>
      <c r="J770" s="21" t="str">
        <f>IFERROR(__xludf.DUMMYFUNCTION("""COMPUTED_VALUE"""),"#CartaoDeCredito #Roberta #Variavel #Carlos #Eduardo")</f>
        <v>#CartaoDeCredito #Roberta #Variavel #Carlos #Eduardo</v>
      </c>
      <c r="K770" s="216"/>
      <c r="L770" s="216"/>
      <c r="M770" s="216"/>
      <c r="N770" s="216"/>
      <c r="O770" s="216"/>
      <c r="P770" s="216"/>
      <c r="Q770" s="216"/>
    </row>
    <row r="771">
      <c r="A771" s="11" t="str">
        <f>IFERROR(__xludf.DUMMYFUNCTION("""COMPUTED_VALUE"""),"PAGO")</f>
        <v>PAGO</v>
      </c>
      <c r="B771" s="98" t="str">
        <f>IFERROR(__xludf.DUMMYFUNCTION("""COMPUTED_VALUE"""),"Convenio Sr. Antonio - São Cristovão")</f>
        <v>Convenio Sr. Antonio - São Cristovão</v>
      </c>
      <c r="C771" s="13">
        <f>IFERROR(__xludf.DUMMYFUNCTION("""COMPUTED_VALUE"""),8.0)</f>
        <v>8</v>
      </c>
      <c r="D771" s="13" t="str">
        <f>IFERROR(__xludf.DUMMYFUNCTION("""COMPUTED_VALUE"""),"QUA.")</f>
        <v>QUA.</v>
      </c>
      <c r="E771" s="13">
        <f>IFERROR(__xludf.DUMMYFUNCTION("""COMPUTED_VALUE"""),9.0)</f>
        <v>9</v>
      </c>
      <c r="F771" s="15">
        <f>IFERROR(__xludf.DUMMYFUNCTION("""COMPUTED_VALUE"""),44440.0)</f>
        <v>44440</v>
      </c>
      <c r="G771" s="16"/>
      <c r="H771" s="227">
        <f>IFERROR(__xludf.DUMMYFUNCTION("""COMPUTED_VALUE"""),495.76)</f>
        <v>495.76</v>
      </c>
      <c r="I771" s="21" t="str">
        <f>IFERROR(__xludf.DUMMYFUNCTION("""COMPUTED_VALUE"""),"NUBANK")</f>
        <v>NUBANK</v>
      </c>
      <c r="J771" s="21" t="str">
        <f>IFERROR(__xludf.DUMMYFUNCTION("""COMPUTED_VALUE"""),"#Essencial #Saude #Convenio #Papai #Fixo")</f>
        <v>#Essencial #Saude #Convenio #Papai #Fixo</v>
      </c>
      <c r="K771" s="216"/>
      <c r="L771" s="216"/>
      <c r="M771" s="216"/>
      <c r="N771" s="216"/>
      <c r="O771" s="216"/>
      <c r="P771" s="216"/>
      <c r="Q771" s="216"/>
    </row>
    <row r="772">
      <c r="A772" s="11" t="str">
        <f>IFERROR(__xludf.DUMMYFUNCTION("""COMPUTED_VALUE"""),"PAGO")</f>
        <v>PAGO</v>
      </c>
      <c r="B772" s="98" t="str">
        <f>IFERROR(__xludf.DUMMYFUNCTION("""COMPUTED_VALUE"""),"Fatura VIVOFIBRA INTERNET")</f>
        <v>Fatura VIVOFIBRA INTERNET</v>
      </c>
      <c r="C772" s="13">
        <f>IFERROR(__xludf.DUMMYFUNCTION("""COMPUTED_VALUE"""),8.0)</f>
        <v>8</v>
      </c>
      <c r="D772" s="13" t="str">
        <f>IFERROR(__xludf.DUMMYFUNCTION("""COMPUTED_VALUE"""),"QUA.")</f>
        <v>QUA.</v>
      </c>
      <c r="E772" s="13">
        <f>IFERROR(__xludf.DUMMYFUNCTION("""COMPUTED_VALUE"""),9.0)</f>
        <v>9</v>
      </c>
      <c r="F772" s="15">
        <f>IFERROR(__xludf.DUMMYFUNCTION("""COMPUTED_VALUE"""),44440.0)</f>
        <v>44440</v>
      </c>
      <c r="G772" s="16"/>
      <c r="H772" s="227">
        <f>IFERROR(__xludf.DUMMYFUNCTION("""COMPUTED_VALUE"""),107.09)</f>
        <v>107.09</v>
      </c>
      <c r="I772" s="21" t="str">
        <f>IFERROR(__xludf.DUMMYFUNCTION("""COMPUTED_VALUE"""),"NUBANK")</f>
        <v>NUBANK</v>
      </c>
      <c r="J772" s="21" t="str">
        <f>IFERROR(__xludf.DUMMYFUNCTION("""COMPUTED_VALUE"""),"#Essencial #Internet #Fixo ")</f>
        <v>#Essencial #Internet #Fixo </v>
      </c>
      <c r="K772" s="216"/>
      <c r="L772" s="216"/>
      <c r="M772" s="216"/>
      <c r="N772" s="216"/>
      <c r="O772" s="216"/>
      <c r="P772" s="216"/>
      <c r="Q772" s="216"/>
    </row>
    <row r="773">
      <c r="A773" s="11" t="str">
        <f>IFERROR(__xludf.DUMMYFUNCTION("""COMPUTED_VALUE"""),"PAGO")</f>
        <v>PAGO</v>
      </c>
      <c r="B773" s="98" t="str">
        <f>IFERROR(__xludf.DUMMYFUNCTION("""COMPUTED_VALUE"""),"Fatura VIVOFIBRA NETFLIX")</f>
        <v>Fatura VIVOFIBRA NETFLIX</v>
      </c>
      <c r="C773" s="13">
        <f>IFERROR(__xludf.DUMMYFUNCTION("""COMPUTED_VALUE"""),8.0)</f>
        <v>8</v>
      </c>
      <c r="D773" s="13" t="str">
        <f>IFERROR(__xludf.DUMMYFUNCTION("""COMPUTED_VALUE"""),"QUA.")</f>
        <v>QUA.</v>
      </c>
      <c r="E773" s="13">
        <f>IFERROR(__xludf.DUMMYFUNCTION("""COMPUTED_VALUE"""),9.0)</f>
        <v>9</v>
      </c>
      <c r="F773" s="15">
        <f>IFERROR(__xludf.DUMMYFUNCTION("""COMPUTED_VALUE"""),44440.0)</f>
        <v>44440</v>
      </c>
      <c r="G773" s="16"/>
      <c r="H773" s="227">
        <f>IFERROR(__xludf.DUMMYFUNCTION("""COMPUTED_VALUE"""),32.9)</f>
        <v>32.9</v>
      </c>
      <c r="I773" s="21" t="str">
        <f>IFERROR(__xludf.DUMMYFUNCTION("""COMPUTED_VALUE"""),"NUBANK")</f>
        <v>NUBANK</v>
      </c>
      <c r="J773" s="21" t="str">
        <f>IFERROR(__xludf.DUMMYFUNCTION("""COMPUTED_VALUE"""),"#Essencial #Streaming #Fixo ")</f>
        <v>#Essencial #Streaming #Fixo </v>
      </c>
      <c r="K773" s="216"/>
      <c r="L773" s="216"/>
      <c r="M773" s="216"/>
      <c r="N773" s="216"/>
      <c r="O773" s="216"/>
      <c r="P773" s="216"/>
      <c r="Q773" s="216"/>
    </row>
    <row r="774">
      <c r="A774" s="11" t="str">
        <f>IFERROR(__xludf.DUMMYFUNCTION("""COMPUTED_VALUE"""),"PAGO")</f>
        <v>PAGO</v>
      </c>
      <c r="B774" s="98" t="str">
        <f>IFERROR(__xludf.DUMMYFUNCTION("""COMPUTED_VALUE"""),"Shibata - clique e retire")</f>
        <v>Shibata - clique e retire</v>
      </c>
      <c r="C774" s="13">
        <f>IFERROR(__xludf.DUMMYFUNCTION("""COMPUTED_VALUE"""),8.0)</f>
        <v>8</v>
      </c>
      <c r="D774" s="13" t="str">
        <f>IFERROR(__xludf.DUMMYFUNCTION("""COMPUTED_VALUE"""),"QUA.")</f>
        <v>QUA.</v>
      </c>
      <c r="E774" s="13">
        <f>IFERROR(__xludf.DUMMYFUNCTION("""COMPUTED_VALUE"""),9.0)</f>
        <v>9</v>
      </c>
      <c r="F774" s="15"/>
      <c r="G774" s="16"/>
      <c r="H774" s="227">
        <f>IFERROR(__xludf.DUMMYFUNCTION("""COMPUTED_VALUE"""),207.62)</f>
        <v>207.62</v>
      </c>
      <c r="I774" s="21" t="str">
        <f>IFERROR(__xludf.DUMMYFUNCTION("""COMPUTED_VALUE"""),"SODEXO-REF-IBM")</f>
        <v>SODEXO-REF-IBM</v>
      </c>
      <c r="J774" s="21" t="str">
        <f>IFERROR(__xludf.DUMMYFUNCTION("""COMPUTED_VALUE"""),"#Moradia #Essencial #Mercado #Variavel #Alimentação ")</f>
        <v>#Moradia #Essencial #Mercado #Variavel #Alimentação </v>
      </c>
      <c r="K774" s="216"/>
      <c r="L774" s="216"/>
      <c r="M774" s="216"/>
      <c r="N774" s="216"/>
      <c r="O774" s="216"/>
      <c r="P774" s="216"/>
      <c r="Q774" s="216"/>
    </row>
    <row r="775">
      <c r="A775" s="11" t="str">
        <f>IFERROR(__xludf.DUMMYFUNCTION("""COMPUTED_VALUE"""),"PAGO")</f>
        <v>PAGO</v>
      </c>
      <c r="B775" s="98" t="str">
        <f>IFERROR(__xludf.DUMMYFUNCTION("""COMPUTED_VALUE"""),"Brasileirinho")</f>
        <v>Brasileirinho</v>
      </c>
      <c r="C775" s="13">
        <f>IFERROR(__xludf.DUMMYFUNCTION("""COMPUTED_VALUE"""),8.0)</f>
        <v>8</v>
      </c>
      <c r="D775" s="13" t="str">
        <f>IFERROR(__xludf.DUMMYFUNCTION("""COMPUTED_VALUE"""),"QUA.")</f>
        <v>QUA.</v>
      </c>
      <c r="E775" s="13">
        <f>IFERROR(__xludf.DUMMYFUNCTION("""COMPUTED_VALUE"""),9.0)</f>
        <v>9</v>
      </c>
      <c r="F775" s="15"/>
      <c r="G775" s="16"/>
      <c r="H775" s="227">
        <f>IFERROR(__xludf.DUMMYFUNCTION("""COMPUTED_VALUE"""),48.98)</f>
        <v>48.98</v>
      </c>
      <c r="I775" s="21" t="str">
        <f>IFERROR(__xludf.DUMMYFUNCTION("""COMPUTED_VALUE"""),"NUBANK")</f>
        <v>NUBANK</v>
      </c>
      <c r="J775" s="21" t="str">
        <f>IFERROR(__xludf.DUMMYFUNCTION("""COMPUTED_VALUE"""),"#Lazer #Comida #Variavel")</f>
        <v>#Lazer #Comida #Variavel</v>
      </c>
      <c r="K775" s="216"/>
      <c r="L775" s="216"/>
      <c r="M775" s="216"/>
      <c r="N775" s="216"/>
      <c r="O775" s="216"/>
      <c r="P775" s="216"/>
      <c r="Q775" s="216"/>
    </row>
    <row r="776">
      <c r="A776" s="11" t="str">
        <f>IFERROR(__xludf.DUMMYFUNCTION("""COMPUTED_VALUE"""),"PAGO")</f>
        <v>PAGO</v>
      </c>
      <c r="B776" s="98" t="str">
        <f>IFERROR(__xludf.DUMMYFUNCTION("""COMPUTED_VALUE"""),"Colégio Evoluti SJC")</f>
        <v>Colégio Evoluti SJC</v>
      </c>
      <c r="C776" s="13">
        <f>IFERROR(__xludf.DUMMYFUNCTION("""COMPUTED_VALUE"""),10.0)</f>
        <v>10</v>
      </c>
      <c r="D776" s="13" t="str">
        <f>IFERROR(__xludf.DUMMYFUNCTION("""COMPUTED_VALUE"""),"SEX.")</f>
        <v>SEX.</v>
      </c>
      <c r="E776" s="13">
        <f>IFERROR(__xludf.DUMMYFUNCTION("""COMPUTED_VALUE"""),9.0)</f>
        <v>9</v>
      </c>
      <c r="F776" s="15">
        <f>IFERROR(__xludf.DUMMYFUNCTION("""COMPUTED_VALUE"""),44440.0)</f>
        <v>44440</v>
      </c>
      <c r="G776" s="16"/>
      <c r="H776" s="227">
        <f>IFERROR(__xludf.DUMMYFUNCTION("""COMPUTED_VALUE"""),643.0)</f>
        <v>643</v>
      </c>
      <c r="I776" s="21" t="str">
        <f>IFERROR(__xludf.DUMMYFUNCTION("""COMPUTED_VALUE"""),"NUBANK")</f>
        <v>NUBANK</v>
      </c>
      <c r="J776" s="21" t="str">
        <f>IFERROR(__xludf.DUMMYFUNCTION("""COMPUTED_VALUE"""),"#Essencial #Escola #Eduardo #Fixo")</f>
        <v>#Essencial #Escola #Eduardo #Fixo</v>
      </c>
      <c r="K776" s="216"/>
      <c r="L776" s="216"/>
      <c r="M776" s="216"/>
      <c r="N776" s="216"/>
      <c r="O776" s="216"/>
      <c r="P776" s="216"/>
      <c r="Q776" s="216"/>
    </row>
    <row r="777">
      <c r="A777" s="11" t="str">
        <f>IFERROR(__xludf.DUMMYFUNCTION("""COMPUTED_VALUE"""),"PAGO")</f>
        <v>PAGO</v>
      </c>
      <c r="B777" s="98" t="str">
        <f>IFERROR(__xludf.DUMMYFUNCTION("""COMPUTED_VALUE"""),"Convenio Uniodonto - pagar ate outubro")</f>
        <v>Convenio Uniodonto - pagar ate outubro</v>
      </c>
      <c r="C777" s="13">
        <f>IFERROR(__xludf.DUMMYFUNCTION("""COMPUTED_VALUE"""),10.0)</f>
        <v>10</v>
      </c>
      <c r="D777" s="13" t="str">
        <f>IFERROR(__xludf.DUMMYFUNCTION("""COMPUTED_VALUE"""),"SEX.")</f>
        <v>SEX.</v>
      </c>
      <c r="E777" s="13">
        <f>IFERROR(__xludf.DUMMYFUNCTION("""COMPUTED_VALUE"""),9.0)</f>
        <v>9</v>
      </c>
      <c r="F777" s="15">
        <f>IFERROR(__xludf.DUMMYFUNCTION("""COMPUTED_VALUE"""),44440.0)</f>
        <v>44440</v>
      </c>
      <c r="G777" s="16"/>
      <c r="H777" s="227">
        <f>IFERROR(__xludf.DUMMYFUNCTION("""COMPUTED_VALUE"""),102.0)</f>
        <v>102</v>
      </c>
      <c r="I777" s="21" t="str">
        <f>IFERROR(__xludf.DUMMYFUNCTION("""COMPUTED_VALUE"""),"NUBANK")</f>
        <v>NUBANK</v>
      </c>
      <c r="J777" s="21" t="str">
        <f>IFERROR(__xludf.DUMMYFUNCTION("""COMPUTED_VALUE"""),"#Essencial #Saude #Convenio #Familia #Fixo")</f>
        <v>#Essencial #Saude #Convenio #Familia #Fixo</v>
      </c>
      <c r="K777" s="216"/>
      <c r="L777" s="216"/>
      <c r="M777" s="216"/>
      <c r="N777" s="216"/>
      <c r="O777" s="216"/>
      <c r="P777" s="216"/>
      <c r="Q777" s="216"/>
    </row>
    <row r="778">
      <c r="A778" s="11" t="str">
        <f>IFERROR(__xludf.DUMMYFUNCTION("""COMPUTED_VALUE"""),"PAGO")</f>
        <v>PAGO</v>
      </c>
      <c r="B778" s="98" t="str">
        <f>IFERROR(__xludf.DUMMYFUNCTION("""COMPUTED_VALUE"""),"Facillita Passadoria - passar roupas - PIX para Roberta")</f>
        <v>Facillita Passadoria - passar roupas - PIX para Roberta</v>
      </c>
      <c r="C778" s="13">
        <f>IFERROR(__xludf.DUMMYFUNCTION("""COMPUTED_VALUE"""),10.0)</f>
        <v>10</v>
      </c>
      <c r="D778" s="13" t="str">
        <f>IFERROR(__xludf.DUMMYFUNCTION("""COMPUTED_VALUE"""),"SEX.")</f>
        <v>SEX.</v>
      </c>
      <c r="E778" s="13">
        <f>IFERROR(__xludf.DUMMYFUNCTION("""COMPUTED_VALUE"""),9.0)</f>
        <v>9</v>
      </c>
      <c r="F778" s="15"/>
      <c r="G778" s="16"/>
      <c r="H778" s="227">
        <f>IFERROR(__xludf.DUMMYFUNCTION("""COMPUTED_VALUE"""),170.0)</f>
        <v>170</v>
      </c>
      <c r="I778" s="21" t="str">
        <f>IFERROR(__xludf.DUMMYFUNCTION("""COMPUTED_VALUE"""),"ITAU")</f>
        <v>ITAU</v>
      </c>
      <c r="J778" s="21" t="str">
        <f>IFERROR(__xludf.DUMMYFUNCTION("""COMPUTED_VALUE"""),"#Essencial #Roupas #Passar #Roberta #Variavel")</f>
        <v>#Essencial #Roupas #Passar #Roberta #Variavel</v>
      </c>
      <c r="K778" s="216"/>
      <c r="L778" s="216"/>
      <c r="M778" s="216"/>
      <c r="N778" s="216"/>
      <c r="O778" s="216"/>
      <c r="P778" s="216"/>
      <c r="Q778" s="216"/>
    </row>
    <row r="779">
      <c r="A779" s="11" t="str">
        <f>IFERROR(__xludf.DUMMYFUNCTION("""COMPUTED_VALUE"""),"PAGO")</f>
        <v>PAGO</v>
      </c>
      <c r="B779" s="98" t="str">
        <f>IFERROR(__xludf.DUMMYFUNCTION("""COMPUTED_VALUE"""),"EBANX SHOPPE - DIVERSOS CURITIBA")</f>
        <v>EBANX SHOPPE - DIVERSOS CURITIBA</v>
      </c>
      <c r="C779" s="13">
        <f>IFERROR(__xludf.DUMMYFUNCTION("""COMPUTED_VALUE"""),10.0)</f>
        <v>10</v>
      </c>
      <c r="D779" s="13" t="str">
        <f>IFERROR(__xludf.DUMMYFUNCTION("""COMPUTED_VALUE"""),"SEX.")</f>
        <v>SEX.</v>
      </c>
      <c r="E779" s="13">
        <f>IFERROR(__xludf.DUMMYFUNCTION("""COMPUTED_VALUE"""),9.0)</f>
        <v>9</v>
      </c>
      <c r="F779" s="15"/>
      <c r="G779" s="16"/>
      <c r="H779" s="227">
        <f>IFERROR(__xludf.DUMMYFUNCTION("""COMPUTED_VALUE"""),7.98)</f>
        <v>7.98</v>
      </c>
      <c r="I779" s="21" t="str">
        <f>IFERROR(__xludf.DUMMYFUNCTION("""COMPUTED_VALUE"""),"ITAU")</f>
        <v>ITAU</v>
      </c>
      <c r="J779" s="21" t="str">
        <f>IFERROR(__xludf.DUMMYFUNCTION("""COMPUTED_VALUE"""),"#Roberta #Variavel #Carlos #Eduardo")</f>
        <v>#Roberta #Variavel #Carlos #Eduardo</v>
      </c>
      <c r="K779" s="216"/>
      <c r="L779" s="216"/>
      <c r="M779" s="216"/>
      <c r="N779" s="216"/>
      <c r="O779" s="216"/>
      <c r="P779" s="216"/>
      <c r="Q779" s="216"/>
    </row>
    <row r="780">
      <c r="A780" s="11" t="str">
        <f>IFERROR(__xludf.DUMMYFUNCTION("""COMPUTED_VALUE"""),"PAGO")</f>
        <v>PAGO</v>
      </c>
      <c r="B780" s="98" t="str">
        <f>IFERROR(__xludf.DUMMYFUNCTION("""COMPUTED_VALUE"""),"Shibata - clique e retire")</f>
        <v>Shibata - clique e retire</v>
      </c>
      <c r="C780" s="13">
        <f>IFERROR(__xludf.DUMMYFUNCTION("""COMPUTED_VALUE"""),12.0)</f>
        <v>12</v>
      </c>
      <c r="D780" s="13" t="str">
        <f>IFERROR(__xludf.DUMMYFUNCTION("""COMPUTED_VALUE"""),"DOM.")</f>
        <v>DOM.</v>
      </c>
      <c r="E780" s="13">
        <f>IFERROR(__xludf.DUMMYFUNCTION("""COMPUTED_VALUE"""),9.0)</f>
        <v>9</v>
      </c>
      <c r="F780" s="15"/>
      <c r="G780" s="16"/>
      <c r="H780" s="227">
        <f>IFERROR(__xludf.DUMMYFUNCTION("""COMPUTED_VALUE"""),174.12)</f>
        <v>174.12</v>
      </c>
      <c r="I780" s="21" t="str">
        <f>IFERROR(__xludf.DUMMYFUNCTION("""COMPUTED_VALUE"""),"SODEXO-ALI-IBM")</f>
        <v>SODEXO-ALI-IBM</v>
      </c>
      <c r="J780" s="21" t="str">
        <f>IFERROR(__xludf.DUMMYFUNCTION("""COMPUTED_VALUE"""),"#Moradia #Essencial #Mercado #Variavel #Alimentação ")</f>
        <v>#Moradia #Essencial #Mercado #Variavel #Alimentação </v>
      </c>
      <c r="K780" s="216"/>
      <c r="L780" s="216"/>
      <c r="M780" s="216"/>
      <c r="N780" s="216"/>
      <c r="O780" s="216"/>
      <c r="P780" s="216"/>
      <c r="Q780" s="216"/>
    </row>
    <row r="781">
      <c r="A781" s="11" t="str">
        <f>IFERROR(__xludf.DUMMYFUNCTION("""COMPUTED_VALUE"""),"PAGO")</f>
        <v>PAGO</v>
      </c>
      <c r="B781" s="98" t="str">
        <f>IFERROR(__xludf.DUMMYFUNCTION("""COMPUTED_VALUE"""),"Cartao NuBank")</f>
        <v>Cartao NuBank</v>
      </c>
      <c r="C781" s="13">
        <f>IFERROR(__xludf.DUMMYFUNCTION("""COMPUTED_VALUE"""),12.0)</f>
        <v>12</v>
      </c>
      <c r="D781" s="13" t="str">
        <f>IFERROR(__xludf.DUMMYFUNCTION("""COMPUTED_VALUE"""),"DOM.")</f>
        <v>DOM.</v>
      </c>
      <c r="E781" s="13">
        <f>IFERROR(__xludf.DUMMYFUNCTION("""COMPUTED_VALUE"""),9.0)</f>
        <v>9</v>
      </c>
      <c r="F781" s="15">
        <f>IFERROR(__xludf.DUMMYFUNCTION("""COMPUTED_VALUE"""),44443.0)</f>
        <v>44443</v>
      </c>
      <c r="G781" s="16"/>
      <c r="H781" s="227">
        <f>IFERROR(__xludf.DUMMYFUNCTION("""COMPUTED_VALUE"""),375.17999999999995)</f>
        <v>375.18</v>
      </c>
      <c r="I781" s="21" t="str">
        <f>IFERROR(__xludf.DUMMYFUNCTION("""COMPUTED_VALUE"""),"NUBANK")</f>
        <v>NUBANK</v>
      </c>
      <c r="J781" s="21"/>
      <c r="K781" s="216"/>
      <c r="L781" s="216"/>
      <c r="M781" s="216"/>
      <c r="N781" s="216"/>
      <c r="O781" s="216"/>
      <c r="P781" s="216"/>
      <c r="Q781" s="216"/>
    </row>
    <row r="782">
      <c r="A782" s="11" t="str">
        <f>IFERROR(__xludf.DUMMYFUNCTION("""COMPUTED_VALUE"""),"CREDITO")</f>
        <v>CREDITO</v>
      </c>
      <c r="B782" s="98" t="str">
        <f>IFERROR(__xludf.DUMMYFUNCTION("""COMPUTED_VALUE"""),"Assaí Atacadista (compra do dia 07/08 = 809,68)")</f>
        <v>Assaí Atacadista (compra do dia 07/08 = 809,68)</v>
      </c>
      <c r="C782" s="13"/>
      <c r="D782" s="13"/>
      <c r="E782" s="13">
        <f>IFERROR(__xludf.DUMMYFUNCTION("""COMPUTED_VALUE"""),9.0)</f>
        <v>9</v>
      </c>
      <c r="F782" s="15"/>
      <c r="G782" s="16"/>
      <c r="H782" s="227">
        <f>IFERROR(__xludf.DUMMYFUNCTION("""COMPUTED_VALUE"""),318.52)</f>
        <v>318.52</v>
      </c>
      <c r="I782" s="21"/>
      <c r="J782" s="21" t="str">
        <f>IFERROR(__xludf.DUMMYFUNCTION("""COMPUTED_VALUE"""),"#CartaoDeCredito #Cicero #Moradia #Essencial #Mercado #Fixo #Alimentação ")</f>
        <v>#CartaoDeCredito #Cicero #Moradia #Essencial #Mercado #Fixo #Alimentação </v>
      </c>
      <c r="K782" s="216"/>
      <c r="L782" s="216"/>
      <c r="M782" s="216"/>
      <c r="N782" s="216"/>
      <c r="O782" s="216"/>
      <c r="P782" s="216"/>
      <c r="Q782" s="216"/>
    </row>
    <row r="783">
      <c r="A783" s="11" t="str">
        <f>IFERROR(__xludf.DUMMYFUNCTION("""COMPUTED_VALUE"""),"CREDITO")</f>
        <v>CREDITO</v>
      </c>
      <c r="B783" s="98" t="str">
        <f>IFERROR(__xludf.DUMMYFUNCTION("""COMPUTED_VALUE"""),"Assaí Atacadista - bebidas (compra do dia 07/08 = 809,68)")</f>
        <v>Assaí Atacadista - bebidas (compra do dia 07/08 = 809,68)</v>
      </c>
      <c r="C783" s="13"/>
      <c r="D783" s="13"/>
      <c r="E783" s="13">
        <f>IFERROR(__xludf.DUMMYFUNCTION("""COMPUTED_VALUE"""),9.0)</f>
        <v>9</v>
      </c>
      <c r="F783" s="15"/>
      <c r="G783" s="16"/>
      <c r="H783" s="227">
        <f>IFERROR(__xludf.DUMMYFUNCTION("""COMPUTED_VALUE"""),34.86)</f>
        <v>34.86</v>
      </c>
      <c r="I783" s="21"/>
      <c r="J783" s="21" t="str">
        <f>IFERROR(__xludf.DUMMYFUNCTION("""COMPUTED_VALUE"""),"#CartaoDeCredito #Cicero #Moradia #Essencial #Mercado #Fixo #Alimentação ")</f>
        <v>#CartaoDeCredito #Cicero #Moradia #Essencial #Mercado #Fixo #Alimentação </v>
      </c>
      <c r="K783" s="216"/>
      <c r="L783" s="216"/>
      <c r="M783" s="216"/>
      <c r="N783" s="216"/>
      <c r="O783" s="216"/>
      <c r="P783" s="216"/>
      <c r="Q783" s="216"/>
    </row>
    <row r="784">
      <c r="A784" s="11" t="str">
        <f>IFERROR(__xludf.DUMMYFUNCTION("""COMPUTED_VALUE"""),"CREDITO")</f>
        <v>CREDITO</v>
      </c>
      <c r="B784" s="98" t="str">
        <f>IFERROR(__xludf.DUMMYFUNCTION("""COMPUTED_VALUE"""),"Uber - volta da oficina Fix Center - troca de pneus")</f>
        <v>Uber - volta da oficina Fix Center - troca de pneus</v>
      </c>
      <c r="C784" s="13"/>
      <c r="D784" s="13"/>
      <c r="E784" s="13">
        <f>IFERROR(__xludf.DUMMYFUNCTION("""COMPUTED_VALUE"""),9.0)</f>
        <v>9</v>
      </c>
      <c r="F784" s="15"/>
      <c r="G784" s="16"/>
      <c r="H784" s="227">
        <f>IFERROR(__xludf.DUMMYFUNCTION("""COMPUTED_VALUE"""),11.9)</f>
        <v>11.9</v>
      </c>
      <c r="I784" s="21"/>
      <c r="J784" s="21" t="str">
        <f>IFERROR(__xludf.DUMMYFUNCTION("""COMPUTED_VALUE"""),"#CartaoDeCredito #Cicero #Carro #Uber #Variavel")</f>
        <v>#CartaoDeCredito #Cicero #Carro #Uber #Variavel</v>
      </c>
      <c r="K784" s="216"/>
      <c r="L784" s="216"/>
      <c r="M784" s="216"/>
      <c r="N784" s="216"/>
      <c r="O784" s="216"/>
      <c r="P784" s="216"/>
      <c r="Q784" s="216"/>
    </row>
    <row r="785">
      <c r="A785" s="11" t="str">
        <f>IFERROR(__xludf.DUMMYFUNCTION("""COMPUTED_VALUE"""),"CREDITO")</f>
        <v>CREDITO</v>
      </c>
      <c r="B785" s="98" t="str">
        <f>IFERROR(__xludf.DUMMYFUNCTION("""COMPUTED_VALUE"""),"Amazonprimebr")</f>
        <v>Amazonprimebr</v>
      </c>
      <c r="C785" s="13"/>
      <c r="D785" s="13"/>
      <c r="E785" s="13">
        <f>IFERROR(__xludf.DUMMYFUNCTION("""COMPUTED_VALUE"""),9.0)</f>
        <v>9</v>
      </c>
      <c r="F785" s="15"/>
      <c r="G785" s="16"/>
      <c r="H785" s="227">
        <f>IFERROR(__xludf.DUMMYFUNCTION("""COMPUTED_VALUE"""),9.9)</f>
        <v>9.9</v>
      </c>
      <c r="I785" s="21"/>
      <c r="J785" s="21" t="str">
        <f>IFERROR(__xludf.DUMMYFUNCTION("""COMPUTED_VALUE"""),"#CartaoDeCredito #Cicero #Streaming #Fixo ")</f>
        <v>#CartaoDeCredito #Cicero #Streaming #Fixo </v>
      </c>
      <c r="K785" s="216"/>
      <c r="L785" s="216"/>
      <c r="M785" s="216"/>
      <c r="N785" s="216"/>
      <c r="O785" s="216"/>
      <c r="P785" s="216"/>
      <c r="Q785" s="216"/>
    </row>
    <row r="786">
      <c r="A786" s="11" t="str">
        <f>IFERROR(__xludf.DUMMYFUNCTION("""COMPUTED_VALUE"""),"PAGO")</f>
        <v>PAGO</v>
      </c>
      <c r="B786" s="98" t="str">
        <f>IFERROR(__xludf.DUMMYFUNCTION("""COMPUTED_VALUE"""),"Shibata")</f>
        <v>Shibata</v>
      </c>
      <c r="C786" s="13">
        <f>IFERROR(__xludf.DUMMYFUNCTION("""COMPUTED_VALUE"""),13.0)</f>
        <v>13</v>
      </c>
      <c r="D786" s="13" t="str">
        <f>IFERROR(__xludf.DUMMYFUNCTION("""COMPUTED_VALUE"""),"SEG.")</f>
        <v>SEG.</v>
      </c>
      <c r="E786" s="13">
        <f>IFERROR(__xludf.DUMMYFUNCTION("""COMPUTED_VALUE"""),9.0)</f>
        <v>9</v>
      </c>
      <c r="F786" s="15"/>
      <c r="G786" s="16"/>
      <c r="H786" s="227">
        <f>IFERROR(__xludf.DUMMYFUNCTION("""COMPUTED_VALUE"""),51.52)</f>
        <v>51.52</v>
      </c>
      <c r="I786" s="21" t="str">
        <f>IFERROR(__xludf.DUMMYFUNCTION("""COMPUTED_VALUE"""),"SODEXO-ALI-IBM")</f>
        <v>SODEXO-ALI-IBM</v>
      </c>
      <c r="J786" s="21" t="str">
        <f>IFERROR(__xludf.DUMMYFUNCTION("""COMPUTED_VALUE"""),"#Moradia #Essencial #Mercado #Variavel #Alimentação ")</f>
        <v>#Moradia #Essencial #Mercado #Variavel #Alimentação </v>
      </c>
      <c r="K786" s="216"/>
      <c r="L786" s="216"/>
      <c r="M786" s="216"/>
      <c r="N786" s="216"/>
      <c r="O786" s="216"/>
      <c r="P786" s="216"/>
      <c r="Q786" s="216"/>
    </row>
    <row r="787">
      <c r="A787" s="11" t="str">
        <f>IFERROR(__xludf.DUMMYFUNCTION("""COMPUTED_VALUE"""),"PAGO")</f>
        <v>PAGO</v>
      </c>
      <c r="B787" s="98" t="str">
        <f>IFERROR(__xludf.DUMMYFUNCTION("""COMPUTED_VALUE"""),"Coaching / Psicologa - Candice Oliveira")</f>
        <v>Coaching / Psicologa - Candice Oliveira</v>
      </c>
      <c r="C787" s="13">
        <f>IFERROR(__xludf.DUMMYFUNCTION("""COMPUTED_VALUE"""),13.0)</f>
        <v>13</v>
      </c>
      <c r="D787" s="13" t="str">
        <f>IFERROR(__xludf.DUMMYFUNCTION("""COMPUTED_VALUE"""),"SEG.")</f>
        <v>SEG.</v>
      </c>
      <c r="E787" s="13">
        <f>IFERROR(__xludf.DUMMYFUNCTION("""COMPUTED_VALUE"""),9.0)</f>
        <v>9</v>
      </c>
      <c r="F787" s="15"/>
      <c r="G787" s="16"/>
      <c r="H787" s="227">
        <f>IFERROR(__xludf.DUMMYFUNCTION("""COMPUTED_VALUE"""),100.0)</f>
        <v>100</v>
      </c>
      <c r="I787" s="21" t="str">
        <f>IFERROR(__xludf.DUMMYFUNCTION("""COMPUTED_VALUE"""),"ITAU")</f>
        <v>ITAU</v>
      </c>
      <c r="J787" s="21" t="str">
        <f>IFERROR(__xludf.DUMMYFUNCTION("""COMPUTED_VALUE"""),"#Coaching #Fixo")</f>
        <v>#Coaching #Fixo</v>
      </c>
      <c r="K787" s="216"/>
      <c r="L787" s="216"/>
      <c r="M787" s="216"/>
      <c r="N787" s="216"/>
      <c r="O787" s="216"/>
      <c r="P787" s="216"/>
      <c r="Q787" s="216"/>
    </row>
    <row r="788">
      <c r="A788" s="11" t="str">
        <f>IFERROR(__xludf.DUMMYFUNCTION("""COMPUTED_VALUE"""),"PAGO")</f>
        <v>PAGO</v>
      </c>
      <c r="B788" s="98" t="str">
        <f>IFERROR(__xludf.DUMMYFUNCTION("""COMPUTED_VALUE"""),"Salario - IBM")</f>
        <v>Salario - IBM</v>
      </c>
      <c r="C788" s="13">
        <f>IFERROR(__xludf.DUMMYFUNCTION("""COMPUTED_VALUE"""),15.0)</f>
        <v>15</v>
      </c>
      <c r="D788" s="13" t="str">
        <f>IFERROR(__xludf.DUMMYFUNCTION("""COMPUTED_VALUE"""),"QUA.")</f>
        <v>QUA.</v>
      </c>
      <c r="E788" s="13">
        <f>IFERROR(__xludf.DUMMYFUNCTION("""COMPUTED_VALUE"""),9.0)</f>
        <v>9</v>
      </c>
      <c r="F788" s="15"/>
      <c r="G788" s="16">
        <f>IFERROR(__xludf.DUMMYFUNCTION("""COMPUTED_VALUE"""),5100.0)</f>
        <v>5100</v>
      </c>
      <c r="H788" s="227"/>
      <c r="I788" s="21" t="str">
        <f>IFERROR(__xludf.DUMMYFUNCTION("""COMPUTED_VALUE"""),"SANTANDER")</f>
        <v>SANTANDER</v>
      </c>
      <c r="J788" s="21" t="str">
        <f>IFERROR(__xludf.DUMMYFUNCTION("""COMPUTED_VALUE"""),"#Recebimentos #Salario #Fixo")</f>
        <v>#Recebimentos #Salario #Fixo</v>
      </c>
      <c r="K788" s="216"/>
      <c r="L788" s="216"/>
      <c r="M788" s="216"/>
      <c r="N788" s="216"/>
      <c r="O788" s="216"/>
      <c r="P788" s="216"/>
      <c r="Q788" s="216"/>
    </row>
    <row r="789">
      <c r="A789" s="11" t="str">
        <f>IFERROR(__xludf.DUMMYFUNCTION("""COMPUTED_VALUE"""),"CONTAS")</f>
        <v>CONTAS</v>
      </c>
      <c r="B789" s="98" t="str">
        <f>IFERROR(__xludf.DUMMYFUNCTION("""COMPUTED_VALUE"""),"Transferencia via PIX")</f>
        <v>Transferencia via PIX</v>
      </c>
      <c r="C789" s="13">
        <f>IFERROR(__xludf.DUMMYFUNCTION("""COMPUTED_VALUE"""),15.0)</f>
        <v>15</v>
      </c>
      <c r="D789" s="13" t="str">
        <f>IFERROR(__xludf.DUMMYFUNCTION("""COMPUTED_VALUE"""),"QUA.")</f>
        <v>QUA.</v>
      </c>
      <c r="E789" s="13">
        <f>IFERROR(__xludf.DUMMYFUNCTION("""COMPUTED_VALUE"""),9.0)</f>
        <v>9</v>
      </c>
      <c r="F789" s="15"/>
      <c r="G789" s="16"/>
      <c r="H789" s="227">
        <f>IFERROR(__xludf.DUMMYFUNCTION("""COMPUTED_VALUE"""),5100.0)</f>
        <v>5100</v>
      </c>
      <c r="I789" s="21" t="str">
        <f>IFERROR(__xludf.DUMMYFUNCTION("""COMPUTED_VALUE"""),"SANTANDER")</f>
        <v>SANTANDER</v>
      </c>
      <c r="J789" s="21"/>
      <c r="K789" s="216"/>
      <c r="L789" s="216"/>
      <c r="M789" s="216"/>
      <c r="N789" s="216"/>
      <c r="O789" s="216"/>
      <c r="P789" s="216"/>
      <c r="Q789" s="216"/>
    </row>
    <row r="790">
      <c r="A790" s="11" t="str">
        <f>IFERROR(__xludf.DUMMYFUNCTION("""COMPUTED_VALUE"""),"CONTAS")</f>
        <v>CONTAS</v>
      </c>
      <c r="B790" s="98" t="str">
        <f>IFERROR(__xludf.DUMMYFUNCTION("""COMPUTED_VALUE"""),"Recebimento via PIX")</f>
        <v>Recebimento via PIX</v>
      </c>
      <c r="C790" s="13">
        <f>IFERROR(__xludf.DUMMYFUNCTION("""COMPUTED_VALUE"""),15.0)</f>
        <v>15</v>
      </c>
      <c r="D790" s="13" t="str">
        <f>IFERROR(__xludf.DUMMYFUNCTION("""COMPUTED_VALUE"""),"QUA.")</f>
        <v>QUA.</v>
      </c>
      <c r="E790" s="13">
        <f>IFERROR(__xludf.DUMMYFUNCTION("""COMPUTED_VALUE"""),9.0)</f>
        <v>9</v>
      </c>
      <c r="F790" s="15"/>
      <c r="G790" s="16">
        <f>IFERROR(__xludf.DUMMYFUNCTION("""COMPUTED_VALUE"""),5100.0)</f>
        <v>5100</v>
      </c>
      <c r="H790" s="227"/>
      <c r="I790" s="21" t="str">
        <f>IFERROR(__xludf.DUMMYFUNCTION("""COMPUTED_VALUE"""),"NUBANK")</f>
        <v>NUBANK</v>
      </c>
      <c r="J790" s="21"/>
      <c r="K790" s="216"/>
      <c r="L790" s="216"/>
      <c r="M790" s="216"/>
      <c r="N790" s="216"/>
      <c r="O790" s="216"/>
      <c r="P790" s="216"/>
      <c r="Q790" s="216"/>
    </row>
    <row r="791">
      <c r="A791" s="11" t="str">
        <f>IFERROR(__xludf.DUMMYFUNCTION("""COMPUTED_VALUE"""),"PAGO")</f>
        <v>PAGO</v>
      </c>
      <c r="B791" s="98" t="str">
        <f>IFERROR(__xludf.DUMMYFUNCTION("""COMPUTED_VALUE"""),"Convenio Carlos")</f>
        <v>Convenio Carlos</v>
      </c>
      <c r="C791" s="13">
        <f>IFERROR(__xludf.DUMMYFUNCTION("""COMPUTED_VALUE"""),15.0)</f>
        <v>15</v>
      </c>
      <c r="D791" s="13" t="str">
        <f>IFERROR(__xludf.DUMMYFUNCTION("""COMPUTED_VALUE"""),"QUA.")</f>
        <v>QUA.</v>
      </c>
      <c r="E791" s="13">
        <f>IFERROR(__xludf.DUMMYFUNCTION("""COMPUTED_VALUE"""),9.0)</f>
        <v>9</v>
      </c>
      <c r="F791" s="15">
        <f>IFERROR(__xludf.DUMMYFUNCTION("""COMPUTED_VALUE"""),44440.0)</f>
        <v>44440</v>
      </c>
      <c r="G791" s="16"/>
      <c r="H791" s="227">
        <f>IFERROR(__xludf.DUMMYFUNCTION("""COMPUTED_VALUE"""),176.16)</f>
        <v>176.16</v>
      </c>
      <c r="I791" s="21" t="str">
        <f>IFERROR(__xludf.DUMMYFUNCTION("""COMPUTED_VALUE"""),"NUBANK")</f>
        <v>NUBANK</v>
      </c>
      <c r="J791" s="21" t="str">
        <f>IFERROR(__xludf.DUMMYFUNCTION("""COMPUTED_VALUE"""),"#Essencial #Saude #Convenio #Familia #Fixo ")</f>
        <v>#Essencial #Saude #Convenio #Familia #Fixo </v>
      </c>
      <c r="K791" s="216"/>
      <c r="L791" s="216"/>
      <c r="M791" s="216"/>
      <c r="N791" s="216"/>
      <c r="O791" s="216"/>
      <c r="P791" s="216"/>
      <c r="Q791" s="216"/>
    </row>
    <row r="792">
      <c r="A792" s="11" t="str">
        <f>IFERROR(__xludf.DUMMYFUNCTION("""COMPUTED_VALUE"""),"PAGO")</f>
        <v>PAGO</v>
      </c>
      <c r="B792" s="98" t="str">
        <f>IFERROR(__xludf.DUMMYFUNCTION("""COMPUTED_VALUE"""),"Convenio Eduardo")</f>
        <v>Convenio Eduardo</v>
      </c>
      <c r="C792" s="13">
        <f>IFERROR(__xludf.DUMMYFUNCTION("""COMPUTED_VALUE"""),15.0)</f>
        <v>15</v>
      </c>
      <c r="D792" s="13" t="str">
        <f>IFERROR(__xludf.DUMMYFUNCTION("""COMPUTED_VALUE"""),"QUA.")</f>
        <v>QUA.</v>
      </c>
      <c r="E792" s="13">
        <f>IFERROR(__xludf.DUMMYFUNCTION("""COMPUTED_VALUE"""),9.0)</f>
        <v>9</v>
      </c>
      <c r="F792" s="15">
        <f>IFERROR(__xludf.DUMMYFUNCTION("""COMPUTED_VALUE"""),44440.0)</f>
        <v>44440</v>
      </c>
      <c r="G792" s="16"/>
      <c r="H792" s="227">
        <f>IFERROR(__xludf.DUMMYFUNCTION("""COMPUTED_VALUE"""),176.16)</f>
        <v>176.16</v>
      </c>
      <c r="I792" s="21" t="str">
        <f>IFERROR(__xludf.DUMMYFUNCTION("""COMPUTED_VALUE"""),"NUBANK")</f>
        <v>NUBANK</v>
      </c>
      <c r="J792" s="21" t="str">
        <f>IFERROR(__xludf.DUMMYFUNCTION("""COMPUTED_VALUE"""),"#Essencial #Saude #Convenio #Familia #Fixo ")</f>
        <v>#Essencial #Saude #Convenio #Familia #Fixo </v>
      </c>
      <c r="K792" s="216"/>
      <c r="L792" s="216"/>
      <c r="M792" s="216"/>
      <c r="N792" s="216"/>
      <c r="O792" s="216"/>
      <c r="P792" s="216"/>
      <c r="Q792" s="216"/>
    </row>
    <row r="793">
      <c r="A793" s="11" t="str">
        <f>IFERROR(__xludf.DUMMYFUNCTION("""COMPUTED_VALUE"""),"PAGO")</f>
        <v>PAGO</v>
      </c>
      <c r="B793" s="98" t="str">
        <f>IFERROR(__xludf.DUMMYFUNCTION("""COMPUTED_VALUE"""),"Convenio Roberta")</f>
        <v>Convenio Roberta</v>
      </c>
      <c r="C793" s="13">
        <f>IFERROR(__xludf.DUMMYFUNCTION("""COMPUTED_VALUE"""),15.0)</f>
        <v>15</v>
      </c>
      <c r="D793" s="13" t="str">
        <f>IFERROR(__xludf.DUMMYFUNCTION("""COMPUTED_VALUE"""),"QUA.")</f>
        <v>QUA.</v>
      </c>
      <c r="E793" s="13">
        <f>IFERROR(__xludf.DUMMYFUNCTION("""COMPUTED_VALUE"""),9.0)</f>
        <v>9</v>
      </c>
      <c r="F793" s="15">
        <f>IFERROR(__xludf.DUMMYFUNCTION("""COMPUTED_VALUE"""),44440.0)</f>
        <v>44440</v>
      </c>
      <c r="G793" s="16"/>
      <c r="H793" s="227">
        <f>IFERROR(__xludf.DUMMYFUNCTION("""COMPUTED_VALUE"""),222.72)</f>
        <v>222.72</v>
      </c>
      <c r="I793" s="21" t="str">
        <f>IFERROR(__xludf.DUMMYFUNCTION("""COMPUTED_VALUE"""),"NUBANK")</f>
        <v>NUBANK</v>
      </c>
      <c r="J793" s="21" t="str">
        <f>IFERROR(__xludf.DUMMYFUNCTION("""COMPUTED_VALUE"""),"#Essencial #Saude #Convenio #Familia #Fixo ")</f>
        <v>#Essencial #Saude #Convenio #Familia #Fixo </v>
      </c>
      <c r="K793" s="216"/>
      <c r="L793" s="216"/>
      <c r="M793" s="216"/>
      <c r="N793" s="216"/>
      <c r="O793" s="216"/>
      <c r="P793" s="216"/>
      <c r="Q793" s="216"/>
    </row>
    <row r="794">
      <c r="A794" s="11" t="str">
        <f>IFERROR(__xludf.DUMMYFUNCTION("""COMPUTED_VALUE"""),"PAGO")</f>
        <v>PAGO</v>
      </c>
      <c r="B794" s="98" t="str">
        <f>IFERROR(__xludf.DUMMYFUNCTION("""COMPUTED_VALUE"""),"Recarga TIM Cicero 11 948825242")</f>
        <v>Recarga TIM Cicero 11 948825242</v>
      </c>
      <c r="C794" s="13">
        <f>IFERROR(__xludf.DUMMYFUNCTION("""COMPUTED_VALUE"""),15.0)</f>
        <v>15</v>
      </c>
      <c r="D794" s="13" t="str">
        <f>IFERROR(__xludf.DUMMYFUNCTION("""COMPUTED_VALUE"""),"QUA.")</f>
        <v>QUA.</v>
      </c>
      <c r="E794" s="13">
        <f>IFERROR(__xludf.DUMMYFUNCTION("""COMPUTED_VALUE"""),9.0)</f>
        <v>9</v>
      </c>
      <c r="F794" s="15"/>
      <c r="G794" s="16"/>
      <c r="H794" s="227">
        <f>IFERROR(__xludf.DUMMYFUNCTION("""COMPUTED_VALUE"""),20.0)</f>
        <v>20</v>
      </c>
      <c r="I794" s="21" t="str">
        <f>IFERROR(__xludf.DUMMYFUNCTION("""COMPUTED_VALUE"""),"NUBANK")</f>
        <v>NUBANK</v>
      </c>
      <c r="J794" s="21" t="str">
        <f>IFERROR(__xludf.DUMMYFUNCTION("""COMPUTED_VALUE"""),"#Variavel #Recarga #TIM ")</f>
        <v>#Variavel #Recarga #TIM </v>
      </c>
      <c r="K794" s="216"/>
      <c r="L794" s="216"/>
      <c r="M794" s="216"/>
      <c r="N794" s="216"/>
      <c r="O794" s="216"/>
      <c r="P794" s="216"/>
      <c r="Q794" s="216"/>
    </row>
    <row r="795">
      <c r="A795" s="11" t="str">
        <f>IFERROR(__xludf.DUMMYFUNCTION("""COMPUTED_VALUE"""),"PAGO")</f>
        <v>PAGO</v>
      </c>
      <c r="B795" s="98" t="str">
        <f>IFERROR(__xludf.DUMMYFUNCTION("""COMPUTED_VALUE"""),"Entrada prestação casa de Itaquera")</f>
        <v>Entrada prestação casa de Itaquera</v>
      </c>
      <c r="C795" s="13">
        <f>IFERROR(__xludf.DUMMYFUNCTION("""COMPUTED_VALUE"""),15.0)</f>
        <v>15</v>
      </c>
      <c r="D795" s="13" t="str">
        <f>IFERROR(__xludf.DUMMYFUNCTION("""COMPUTED_VALUE"""),"QUA.")</f>
        <v>QUA.</v>
      </c>
      <c r="E795" s="13">
        <f>IFERROR(__xludf.DUMMYFUNCTION("""COMPUTED_VALUE"""),9.0)</f>
        <v>9</v>
      </c>
      <c r="F795" s="15"/>
      <c r="G795" s="16">
        <f>IFERROR(__xludf.DUMMYFUNCTION("""COMPUTED_VALUE"""),2500.0)</f>
        <v>2500</v>
      </c>
      <c r="H795" s="227"/>
      <c r="I795" s="21" t="str">
        <f>IFERROR(__xludf.DUMMYFUNCTION("""COMPUTED_VALUE"""),"INTER")</f>
        <v>INTER</v>
      </c>
      <c r="J795" s="21" t="str">
        <f>IFERROR(__xludf.DUMMYFUNCTION("""COMPUTED_VALUE"""),"#Recebimentos #Prestação #Itaquera #Inter #Variavel")</f>
        <v>#Recebimentos #Prestação #Itaquera #Inter #Variavel</v>
      </c>
      <c r="K795" s="216"/>
      <c r="L795" s="216"/>
      <c r="M795" s="216"/>
      <c r="N795" s="216"/>
      <c r="O795" s="216"/>
      <c r="P795" s="216"/>
      <c r="Q795" s="216"/>
    </row>
    <row r="796">
      <c r="A796" s="11" t="str">
        <f>IFERROR(__xludf.DUMMYFUNCTION("""COMPUTED_VALUE"""),"CONTAS")</f>
        <v>CONTAS</v>
      </c>
      <c r="B796" s="98" t="str">
        <f>IFERROR(__xludf.DUMMYFUNCTION("""COMPUTED_VALUE"""),"Transferencia via PIX")</f>
        <v>Transferencia via PIX</v>
      </c>
      <c r="C796" s="13">
        <f>IFERROR(__xludf.DUMMYFUNCTION("""COMPUTED_VALUE"""),15.0)</f>
        <v>15</v>
      </c>
      <c r="D796" s="13" t="str">
        <f>IFERROR(__xludf.DUMMYFUNCTION("""COMPUTED_VALUE"""),"QUA.")</f>
        <v>QUA.</v>
      </c>
      <c r="E796" s="13">
        <f>IFERROR(__xludf.DUMMYFUNCTION("""COMPUTED_VALUE"""),9.0)</f>
        <v>9</v>
      </c>
      <c r="F796" s="15"/>
      <c r="G796" s="16"/>
      <c r="H796" s="227">
        <f>IFERROR(__xludf.DUMMYFUNCTION("""COMPUTED_VALUE"""),2500.0)</f>
        <v>2500</v>
      </c>
      <c r="I796" s="21" t="str">
        <f>IFERROR(__xludf.DUMMYFUNCTION("""COMPUTED_VALUE"""),"INTER")</f>
        <v>INTER</v>
      </c>
      <c r="J796" s="21"/>
      <c r="K796" s="216"/>
      <c r="L796" s="216"/>
      <c r="M796" s="216"/>
      <c r="N796" s="216"/>
      <c r="O796" s="216"/>
      <c r="P796" s="216"/>
      <c r="Q796" s="216"/>
    </row>
    <row r="797">
      <c r="A797" s="11" t="str">
        <f>IFERROR(__xludf.DUMMYFUNCTION("""COMPUTED_VALUE"""),"CONTAS")</f>
        <v>CONTAS</v>
      </c>
      <c r="B797" s="98" t="str">
        <f>IFERROR(__xludf.DUMMYFUNCTION("""COMPUTED_VALUE"""),"Recebimento via PIX")</f>
        <v>Recebimento via PIX</v>
      </c>
      <c r="C797" s="13">
        <f>IFERROR(__xludf.DUMMYFUNCTION("""COMPUTED_VALUE"""),15.0)</f>
        <v>15</v>
      </c>
      <c r="D797" s="13" t="str">
        <f>IFERROR(__xludf.DUMMYFUNCTION("""COMPUTED_VALUE"""),"QUA.")</f>
        <v>QUA.</v>
      </c>
      <c r="E797" s="13">
        <f>IFERROR(__xludf.DUMMYFUNCTION("""COMPUTED_VALUE"""),9.0)</f>
        <v>9</v>
      </c>
      <c r="F797" s="15"/>
      <c r="G797" s="16">
        <f>IFERROR(__xludf.DUMMYFUNCTION("""COMPUTED_VALUE"""),2500.0)</f>
        <v>2500</v>
      </c>
      <c r="H797" s="227"/>
      <c r="I797" s="21" t="str">
        <f>IFERROR(__xludf.DUMMYFUNCTION("""COMPUTED_VALUE"""),"NUBANK")</f>
        <v>NUBANK</v>
      </c>
      <c r="J797" s="21"/>
      <c r="K797" s="216"/>
      <c r="L797" s="216"/>
      <c r="M797" s="216"/>
      <c r="N797" s="216"/>
      <c r="O797" s="216"/>
      <c r="P797" s="216"/>
      <c r="Q797" s="216"/>
    </row>
    <row r="798">
      <c r="A798" s="11" t="str">
        <f>IFERROR(__xludf.DUMMYFUNCTION("""COMPUTED_VALUE"""),"PAGO")</f>
        <v>PAGO</v>
      </c>
      <c r="B798" s="98" t="str">
        <f>IFERROR(__xludf.DUMMYFUNCTION("""COMPUTED_VALUE"""),"Shibata")</f>
        <v>Shibata</v>
      </c>
      <c r="C798" s="13">
        <f>IFERROR(__xludf.DUMMYFUNCTION("""COMPUTED_VALUE"""),15.0)</f>
        <v>15</v>
      </c>
      <c r="D798" s="13" t="str">
        <f>IFERROR(__xludf.DUMMYFUNCTION("""COMPUTED_VALUE"""),"QUA.")</f>
        <v>QUA.</v>
      </c>
      <c r="E798" s="13">
        <f>IFERROR(__xludf.DUMMYFUNCTION("""COMPUTED_VALUE"""),9.0)</f>
        <v>9</v>
      </c>
      <c r="F798" s="15"/>
      <c r="G798" s="16"/>
      <c r="H798" s="227">
        <f>IFERROR(__xludf.DUMMYFUNCTION("""COMPUTED_VALUE"""),105.3)</f>
        <v>105.3</v>
      </c>
      <c r="I798" s="21" t="str">
        <f>IFERROR(__xludf.DUMMYFUNCTION("""COMPUTED_VALUE"""),"SODEXO-REF-IBM")</f>
        <v>SODEXO-REF-IBM</v>
      </c>
      <c r="J798" s="21" t="str">
        <f>IFERROR(__xludf.DUMMYFUNCTION("""COMPUTED_VALUE"""),"#Moradia #Essencial #Mercado #Variavel #Alimentação ")</f>
        <v>#Moradia #Essencial #Mercado #Variavel #Alimentação </v>
      </c>
      <c r="K798" s="216"/>
      <c r="L798" s="216"/>
      <c r="M798" s="216"/>
      <c r="N798" s="216"/>
      <c r="O798" s="216"/>
      <c r="P798" s="216"/>
      <c r="Q798" s="216"/>
    </row>
    <row r="799">
      <c r="A799" s="11" t="str">
        <f>IFERROR(__xludf.DUMMYFUNCTION("""COMPUTED_VALUE"""),"PAGO")</f>
        <v>PAGO</v>
      </c>
      <c r="B799" s="98" t="str">
        <f>IFERROR(__xludf.DUMMYFUNCTION("""COMPUTED_VALUE"""),"2 marmitas - edna de carvalho")</f>
        <v>2 marmitas - edna de carvalho</v>
      </c>
      <c r="C799" s="13">
        <f>IFERROR(__xludf.DUMMYFUNCTION("""COMPUTED_VALUE"""),17.0)</f>
        <v>17</v>
      </c>
      <c r="D799" s="13" t="str">
        <f>IFERROR(__xludf.DUMMYFUNCTION("""COMPUTED_VALUE"""),"SEX.")</f>
        <v>SEX.</v>
      </c>
      <c r="E799" s="13">
        <f>IFERROR(__xludf.DUMMYFUNCTION("""COMPUTED_VALUE"""),9.0)</f>
        <v>9</v>
      </c>
      <c r="F799" s="15"/>
      <c r="G799" s="16"/>
      <c r="H799" s="227">
        <f>IFERROR(__xludf.DUMMYFUNCTION("""COMPUTED_VALUE"""),32.0)</f>
        <v>32</v>
      </c>
      <c r="I799" s="21" t="str">
        <f>IFERROR(__xludf.DUMMYFUNCTION("""COMPUTED_VALUE"""),"NUBANK")</f>
        <v>NUBANK</v>
      </c>
      <c r="J799" s="21" t="str">
        <f>IFERROR(__xludf.DUMMYFUNCTION("""COMPUTED_VALUE"""),"#Lazer #Comida #Variavel")</f>
        <v>#Lazer #Comida #Variavel</v>
      </c>
      <c r="K799" s="216"/>
      <c r="L799" s="216"/>
      <c r="M799" s="216"/>
      <c r="N799" s="216"/>
      <c r="O799" s="216"/>
      <c r="P799" s="216"/>
      <c r="Q799" s="216"/>
    </row>
    <row r="800">
      <c r="A800" s="11" t="str">
        <f>IFERROR(__xludf.DUMMYFUNCTION("""COMPUTED_VALUE"""),"PAGO")</f>
        <v>PAGO</v>
      </c>
      <c r="B800" s="98" t="str">
        <f>IFERROR(__xludf.DUMMYFUNCTION("""COMPUTED_VALUE"""),"Assaí Atacadista")</f>
        <v>Assaí Atacadista</v>
      </c>
      <c r="C800" s="13">
        <f>IFERROR(__xludf.DUMMYFUNCTION("""COMPUTED_VALUE"""),18.0)</f>
        <v>18</v>
      </c>
      <c r="D800" s="13" t="str">
        <f>IFERROR(__xludf.DUMMYFUNCTION("""COMPUTED_VALUE"""),"SÁB.")</f>
        <v>SÁB.</v>
      </c>
      <c r="E800" s="13">
        <f>IFERROR(__xludf.DUMMYFUNCTION("""COMPUTED_VALUE"""),9.0)</f>
        <v>9</v>
      </c>
      <c r="F800" s="15"/>
      <c r="G800" s="16"/>
      <c r="H800" s="227">
        <f>IFERROR(__xludf.DUMMYFUNCTION("""COMPUTED_VALUE"""),704.86)</f>
        <v>704.86</v>
      </c>
      <c r="I800" s="21" t="str">
        <f>IFERROR(__xludf.DUMMYFUNCTION("""COMPUTED_VALUE"""),"NUBANK")</f>
        <v>NUBANK</v>
      </c>
      <c r="J800" s="21" t="str">
        <f>IFERROR(__xludf.DUMMYFUNCTION("""COMPUTED_VALUE"""),"#Moradia #Essencial #Mercado #Fixo #Alimentação ")</f>
        <v>#Moradia #Essencial #Mercado #Fixo #Alimentação </v>
      </c>
      <c r="K800" s="216"/>
      <c r="L800" s="216"/>
      <c r="M800" s="216"/>
      <c r="N800" s="216"/>
      <c r="O800" s="216"/>
      <c r="P800" s="216"/>
      <c r="Q800" s="216"/>
    </row>
    <row r="801">
      <c r="A801" s="11" t="str">
        <f>IFERROR(__xludf.DUMMYFUNCTION("""COMPUTED_VALUE"""),"PAGO")</f>
        <v>PAGO</v>
      </c>
      <c r="B801" s="98" t="str">
        <f>IFERROR(__xludf.DUMMYFUNCTION("""COMPUTED_VALUE"""),"Assaí Atacadista - Amarula")</f>
        <v>Assaí Atacadista - Amarula</v>
      </c>
      <c r="C801" s="13">
        <f>IFERROR(__xludf.DUMMYFUNCTION("""COMPUTED_VALUE"""),18.0)</f>
        <v>18</v>
      </c>
      <c r="D801" s="13" t="str">
        <f>IFERROR(__xludf.DUMMYFUNCTION("""COMPUTED_VALUE"""),"SÁB.")</f>
        <v>SÁB.</v>
      </c>
      <c r="E801" s="13">
        <f>IFERROR(__xludf.DUMMYFUNCTION("""COMPUTED_VALUE"""),9.0)</f>
        <v>9</v>
      </c>
      <c r="F801" s="15"/>
      <c r="G801" s="16"/>
      <c r="H801" s="227">
        <f>IFERROR(__xludf.DUMMYFUNCTION("""COMPUTED_VALUE"""),99.59)</f>
        <v>99.59</v>
      </c>
      <c r="I801" s="21" t="str">
        <f>IFERROR(__xludf.DUMMYFUNCTION("""COMPUTED_VALUE"""),"NUBANK")</f>
        <v>NUBANK</v>
      </c>
      <c r="J801" s="21" t="str">
        <f>IFERROR(__xludf.DUMMYFUNCTION("""COMPUTED_VALUE"""),"#Moradia #Essencial #Mercado #Fixo #Alimentação ")</f>
        <v>#Moradia #Essencial #Mercado #Fixo #Alimentação </v>
      </c>
      <c r="K801" s="216"/>
      <c r="L801" s="216"/>
      <c r="M801" s="216"/>
      <c r="N801" s="216"/>
      <c r="O801" s="216"/>
      <c r="P801" s="216"/>
      <c r="Q801" s="216"/>
    </row>
    <row r="802">
      <c r="A802" s="11" t="str">
        <f>IFERROR(__xludf.DUMMYFUNCTION("""COMPUTED_VALUE"""),"PAGO")</f>
        <v>PAGO</v>
      </c>
      <c r="B802" s="98" t="str">
        <f>IFERROR(__xludf.DUMMYFUNCTION("""COMPUTED_VALUE"""),"Márcia Uniforme - SJC")</f>
        <v>Márcia Uniforme - SJC</v>
      </c>
      <c r="C802" s="13">
        <f>IFERROR(__xludf.DUMMYFUNCTION("""COMPUTED_VALUE"""),18.0)</f>
        <v>18</v>
      </c>
      <c r="D802" s="13" t="str">
        <f>IFERROR(__xludf.DUMMYFUNCTION("""COMPUTED_VALUE"""),"SÁB.")</f>
        <v>SÁB.</v>
      </c>
      <c r="E802" s="13">
        <f>IFERROR(__xludf.DUMMYFUNCTION("""COMPUTED_VALUE"""),9.0)</f>
        <v>9</v>
      </c>
      <c r="F802" s="15"/>
      <c r="G802" s="16"/>
      <c r="H802" s="227">
        <f>IFERROR(__xludf.DUMMYFUNCTION("""COMPUTED_VALUE"""),56.0)</f>
        <v>56</v>
      </c>
      <c r="I802" s="21" t="str">
        <f>IFERROR(__xludf.DUMMYFUNCTION("""COMPUTED_VALUE"""),"NUBANK")</f>
        <v>NUBANK</v>
      </c>
      <c r="J802" s="21" t="str">
        <f>IFERROR(__xludf.DUMMYFUNCTION("""COMPUTED_VALUE"""),"#Eduardo #Uniforme #Variavel")</f>
        <v>#Eduardo #Uniforme #Variavel</v>
      </c>
      <c r="K802" s="216"/>
      <c r="L802" s="216"/>
      <c r="M802" s="216"/>
      <c r="N802" s="216"/>
      <c r="O802" s="216"/>
      <c r="P802" s="216"/>
      <c r="Q802" s="216"/>
    </row>
    <row r="803">
      <c r="A803" s="11" t="str">
        <f>IFERROR(__xludf.DUMMYFUNCTION("""COMPUTED_VALUE"""),"PAGO")</f>
        <v>PAGO</v>
      </c>
      <c r="B803" s="98" t="str">
        <f>IFERROR(__xludf.DUMMYFUNCTION("""COMPUTED_VALUE"""),"Murilo Cesar de Souza - 2 banquinhos de madeira - jacinto gallo")</f>
        <v>Murilo Cesar de Souza - 2 banquinhos de madeira - jacinto gallo</v>
      </c>
      <c r="C803" s="13">
        <f>IFERROR(__xludf.DUMMYFUNCTION("""COMPUTED_VALUE"""),18.0)</f>
        <v>18</v>
      </c>
      <c r="D803" s="13" t="str">
        <f>IFERROR(__xludf.DUMMYFUNCTION("""COMPUTED_VALUE"""),"SÁB.")</f>
        <v>SÁB.</v>
      </c>
      <c r="E803" s="13">
        <f>IFERROR(__xludf.DUMMYFUNCTION("""COMPUTED_VALUE"""),9.0)</f>
        <v>9</v>
      </c>
      <c r="F803" s="15"/>
      <c r="G803" s="16"/>
      <c r="H803" s="227">
        <f>IFERROR(__xludf.DUMMYFUNCTION("""COMPUTED_VALUE"""),90.0)</f>
        <v>90</v>
      </c>
      <c r="I803" s="21" t="str">
        <f>IFERROR(__xludf.DUMMYFUNCTION("""COMPUTED_VALUE"""),"NUBANK")</f>
        <v>NUBANK</v>
      </c>
      <c r="J803" s="21" t="str">
        <f>IFERROR(__xludf.DUMMYFUNCTION("""COMPUTED_VALUE"""),"#Eduardo #Carlos #Variavel #Moradia #Essencial")</f>
        <v>#Eduardo #Carlos #Variavel #Moradia #Essencial</v>
      </c>
      <c r="K803" s="216"/>
      <c r="L803" s="216"/>
      <c r="M803" s="216"/>
      <c r="N803" s="216"/>
      <c r="O803" s="216"/>
      <c r="P803" s="216"/>
      <c r="Q803" s="216"/>
    </row>
    <row r="804">
      <c r="A804" s="11" t="str">
        <f>IFERROR(__xludf.DUMMYFUNCTION("""COMPUTED_VALUE"""),"PAGO")</f>
        <v>PAGO</v>
      </c>
      <c r="B804" s="98" t="str">
        <f>IFERROR(__xludf.DUMMYFUNCTION("""COMPUTED_VALUE"""),"Farma Conde - Cidade Jardim x Jacinto Gallo")</f>
        <v>Farma Conde - Cidade Jardim x Jacinto Gallo</v>
      </c>
      <c r="C804" s="13">
        <f>IFERROR(__xludf.DUMMYFUNCTION("""COMPUTED_VALUE"""),19.0)</f>
        <v>19</v>
      </c>
      <c r="D804" s="13" t="str">
        <f>IFERROR(__xludf.DUMMYFUNCTION("""COMPUTED_VALUE"""),"DOM.")</f>
        <v>DOM.</v>
      </c>
      <c r="E804" s="13">
        <f>IFERROR(__xludf.DUMMYFUNCTION("""COMPUTED_VALUE"""),9.0)</f>
        <v>9</v>
      </c>
      <c r="F804" s="15"/>
      <c r="G804" s="16"/>
      <c r="H804" s="227">
        <f>IFERROR(__xludf.DUMMYFUNCTION("""COMPUTED_VALUE"""),26.76)</f>
        <v>26.76</v>
      </c>
      <c r="I804" s="21" t="str">
        <f>IFERROR(__xludf.DUMMYFUNCTION("""COMPUTED_VALUE"""),"NUBANK")</f>
        <v>NUBANK</v>
      </c>
      <c r="J804" s="21" t="str">
        <f>IFERROR(__xludf.DUMMYFUNCTION("""COMPUTED_VALUE"""),"#Remedios #Eduardo #Variavel ")</f>
        <v>#Remedios #Eduardo #Variavel </v>
      </c>
      <c r="K804" s="216"/>
      <c r="L804" s="216"/>
      <c r="M804" s="216"/>
      <c r="N804" s="216"/>
      <c r="O804" s="216"/>
      <c r="P804" s="216"/>
      <c r="Q804" s="216"/>
    </row>
    <row r="805">
      <c r="A805" s="11" t="str">
        <f>IFERROR(__xludf.DUMMYFUNCTION("""COMPUTED_VALUE"""),"PAGO")</f>
        <v>PAGO</v>
      </c>
      <c r="B805" s="98" t="str">
        <f>IFERROR(__xludf.DUMMYFUNCTION("""COMPUTED_VALUE"""),"Farmacia Pague Menos - Cidade Jardim")</f>
        <v>Farmacia Pague Menos - Cidade Jardim</v>
      </c>
      <c r="C805" s="13">
        <f>IFERROR(__xludf.DUMMYFUNCTION("""COMPUTED_VALUE"""),20.0)</f>
        <v>20</v>
      </c>
      <c r="D805" s="13" t="str">
        <f>IFERROR(__xludf.DUMMYFUNCTION("""COMPUTED_VALUE"""),"SEG.")</f>
        <v>SEG.</v>
      </c>
      <c r="E805" s="13">
        <f>IFERROR(__xludf.DUMMYFUNCTION("""COMPUTED_VALUE"""),9.0)</f>
        <v>9</v>
      </c>
      <c r="F805" s="15"/>
      <c r="G805" s="16"/>
      <c r="H805" s="227">
        <f>IFERROR(__xludf.DUMMYFUNCTION("""COMPUTED_VALUE"""),49.72)</f>
        <v>49.72</v>
      </c>
      <c r="I805" s="21" t="str">
        <f>IFERROR(__xludf.DUMMYFUNCTION("""COMPUTED_VALUE"""),"NUBANK")</f>
        <v>NUBANK</v>
      </c>
      <c r="J805" s="21" t="str">
        <f>IFERROR(__xludf.DUMMYFUNCTION("""COMPUTED_VALUE"""),"#Remedios #Eduardo #Variavel ")</f>
        <v>#Remedios #Eduardo #Variavel </v>
      </c>
      <c r="K805" s="216"/>
      <c r="L805" s="216"/>
      <c r="M805" s="216"/>
      <c r="N805" s="216"/>
      <c r="O805" s="216"/>
      <c r="P805" s="216"/>
      <c r="Q805" s="216"/>
    </row>
    <row r="806">
      <c r="A806" s="11" t="str">
        <f>IFERROR(__xludf.DUMMYFUNCTION("""COMPUTED_VALUE"""),"PAGO")</f>
        <v>PAGO</v>
      </c>
      <c r="B806" s="98" t="str">
        <f>IFERROR(__xludf.DUMMYFUNCTION("""COMPUTED_VALUE"""),"Farmacia Pague Menos - Cidade Jardim")</f>
        <v>Farmacia Pague Menos - Cidade Jardim</v>
      </c>
      <c r="C806" s="13">
        <f>IFERROR(__xludf.DUMMYFUNCTION("""COMPUTED_VALUE"""),20.0)</f>
        <v>20</v>
      </c>
      <c r="D806" s="13" t="str">
        <f>IFERROR(__xludf.DUMMYFUNCTION("""COMPUTED_VALUE"""),"SEG.")</f>
        <v>SEG.</v>
      </c>
      <c r="E806" s="13">
        <f>IFERROR(__xludf.DUMMYFUNCTION("""COMPUTED_VALUE"""),9.0)</f>
        <v>9</v>
      </c>
      <c r="F806" s="15"/>
      <c r="G806" s="16"/>
      <c r="H806" s="227">
        <f>IFERROR(__xludf.DUMMYFUNCTION("""COMPUTED_VALUE"""),50.0)</f>
        <v>50</v>
      </c>
      <c r="I806" s="21" t="str">
        <f>IFERROR(__xludf.DUMMYFUNCTION("""COMPUTED_VALUE"""),"NUBANK")</f>
        <v>NUBANK</v>
      </c>
      <c r="J806" s="21" t="str">
        <f>IFERROR(__xludf.DUMMYFUNCTION("""COMPUTED_VALUE"""),"#Lazer #Eduardo #Variavel ")</f>
        <v>#Lazer #Eduardo #Variavel </v>
      </c>
      <c r="K806" s="216"/>
      <c r="L806" s="216"/>
      <c r="M806" s="216"/>
      <c r="N806" s="216"/>
      <c r="O806" s="216"/>
      <c r="P806" s="216"/>
      <c r="Q806" s="216"/>
    </row>
    <row r="807">
      <c r="A807" s="11" t="str">
        <f>IFERROR(__xludf.DUMMYFUNCTION("""COMPUTED_VALUE"""),"PAGO")</f>
        <v>PAGO</v>
      </c>
      <c r="B807" s="98" t="str">
        <f>IFERROR(__xludf.DUMMYFUNCTION("""COMPUTED_VALUE"""),"Convenio Cicero")</f>
        <v>Convenio Cicero</v>
      </c>
      <c r="C807" s="13">
        <f>IFERROR(__xludf.DUMMYFUNCTION("""COMPUTED_VALUE"""),20.0)</f>
        <v>20</v>
      </c>
      <c r="D807" s="13" t="str">
        <f>IFERROR(__xludf.DUMMYFUNCTION("""COMPUTED_VALUE"""),"SEG.")</f>
        <v>SEG.</v>
      </c>
      <c r="E807" s="13">
        <f>IFERROR(__xludf.DUMMYFUNCTION("""COMPUTED_VALUE"""),9.0)</f>
        <v>9</v>
      </c>
      <c r="F807" s="15">
        <f>IFERROR(__xludf.DUMMYFUNCTION("""COMPUTED_VALUE"""),44440.0)</f>
        <v>44440</v>
      </c>
      <c r="G807" s="16"/>
      <c r="H807" s="227">
        <f>IFERROR(__xludf.DUMMYFUNCTION("""COMPUTED_VALUE"""),373.41)</f>
        <v>373.41</v>
      </c>
      <c r="I807" s="21" t="str">
        <f>IFERROR(__xludf.DUMMYFUNCTION("""COMPUTED_VALUE"""),"NUBANK")</f>
        <v>NUBANK</v>
      </c>
      <c r="J807" s="21" t="str">
        <f>IFERROR(__xludf.DUMMYFUNCTION("""COMPUTED_VALUE"""),"#Essencial #Saude #Convenio #Familia #Cicero #Fixo ")</f>
        <v>#Essencial #Saude #Convenio #Familia #Cicero #Fixo </v>
      </c>
      <c r="K807" s="216"/>
      <c r="L807" s="216"/>
      <c r="M807" s="216"/>
      <c r="N807" s="216"/>
      <c r="O807" s="216"/>
      <c r="P807" s="216"/>
      <c r="Q807" s="216"/>
    </row>
    <row r="808">
      <c r="A808" s="11" t="str">
        <f>IFERROR(__xludf.DUMMYFUNCTION("""COMPUTED_VALUE"""),"PAGO")</f>
        <v>PAGO</v>
      </c>
      <c r="B808" s="98" t="str">
        <f>IFERROR(__xludf.DUMMYFUNCTION("""COMPUTED_VALUE"""),"Shibata - clique e retire")</f>
        <v>Shibata - clique e retire</v>
      </c>
      <c r="C808" s="13">
        <f>IFERROR(__xludf.DUMMYFUNCTION("""COMPUTED_VALUE"""),22.0)</f>
        <v>22</v>
      </c>
      <c r="D808" s="13" t="str">
        <f>IFERROR(__xludf.DUMMYFUNCTION("""COMPUTED_VALUE"""),"QUA.")</f>
        <v>QUA.</v>
      </c>
      <c r="E808" s="13">
        <f>IFERROR(__xludf.DUMMYFUNCTION("""COMPUTED_VALUE"""),9.0)</f>
        <v>9</v>
      </c>
      <c r="F808" s="15"/>
      <c r="G808" s="16"/>
      <c r="H808" s="227">
        <f>IFERROR(__xludf.DUMMYFUNCTION("""COMPUTED_VALUE"""),150.3)</f>
        <v>150.3</v>
      </c>
      <c r="I808" s="21" t="str">
        <f>IFERROR(__xludf.DUMMYFUNCTION("""COMPUTED_VALUE"""),"NUBANK")</f>
        <v>NUBANK</v>
      </c>
      <c r="J808" s="21" t="str">
        <f>IFERROR(__xludf.DUMMYFUNCTION("""COMPUTED_VALUE"""),"#Moradia #Essencial #Mercado #Variavel #Alimentação ")</f>
        <v>#Moradia #Essencial #Mercado #Variavel #Alimentação </v>
      </c>
      <c r="K808" s="216"/>
      <c r="L808" s="216"/>
      <c r="M808" s="216"/>
      <c r="N808" s="216"/>
      <c r="O808" s="216"/>
      <c r="P808" s="216"/>
      <c r="Q808" s="216"/>
    </row>
    <row r="809">
      <c r="A809" s="11" t="str">
        <f>IFERROR(__xludf.DUMMYFUNCTION("""COMPUTED_VALUE"""),"CONTAS")</f>
        <v>CONTAS</v>
      </c>
      <c r="B809" s="98" t="str">
        <f>IFERROR(__xludf.DUMMYFUNCTION("""COMPUTED_VALUE"""),"Transferencia via PIX")</f>
        <v>Transferencia via PIX</v>
      </c>
      <c r="C809" s="13">
        <f>IFERROR(__xludf.DUMMYFUNCTION("""COMPUTED_VALUE"""),22.0)</f>
        <v>22</v>
      </c>
      <c r="D809" s="13" t="str">
        <f>IFERROR(__xludf.DUMMYFUNCTION("""COMPUTED_VALUE"""),"QUA.")</f>
        <v>QUA.</v>
      </c>
      <c r="E809" s="13">
        <f>IFERROR(__xludf.DUMMYFUNCTION("""COMPUTED_VALUE"""),9.0)</f>
        <v>9</v>
      </c>
      <c r="F809" s="15"/>
      <c r="G809" s="16"/>
      <c r="H809" s="227">
        <f>IFERROR(__xludf.DUMMYFUNCTION("""COMPUTED_VALUE"""),300.0)</f>
        <v>300</v>
      </c>
      <c r="I809" s="21" t="str">
        <f>IFERROR(__xludf.DUMMYFUNCTION("""COMPUTED_VALUE"""),"NUBANK")</f>
        <v>NUBANK</v>
      </c>
      <c r="J809" s="21"/>
      <c r="K809" s="216"/>
      <c r="L809" s="216"/>
      <c r="M809" s="216"/>
      <c r="N809" s="216"/>
      <c r="O809" s="216"/>
      <c r="P809" s="216"/>
      <c r="Q809" s="216"/>
    </row>
    <row r="810">
      <c r="A810" s="11" t="str">
        <f>IFERROR(__xludf.DUMMYFUNCTION("""COMPUTED_VALUE"""),"CONTAS")</f>
        <v>CONTAS</v>
      </c>
      <c r="B810" s="98" t="str">
        <f>IFERROR(__xludf.DUMMYFUNCTION("""COMPUTED_VALUE"""),"Recebimento via PIX")</f>
        <v>Recebimento via PIX</v>
      </c>
      <c r="C810" s="13">
        <f>IFERROR(__xludf.DUMMYFUNCTION("""COMPUTED_VALUE"""),22.0)</f>
        <v>22</v>
      </c>
      <c r="D810" s="13" t="str">
        <f>IFERROR(__xludf.DUMMYFUNCTION("""COMPUTED_VALUE"""),"QUA.")</f>
        <v>QUA.</v>
      </c>
      <c r="E810" s="13">
        <f>IFERROR(__xludf.DUMMYFUNCTION("""COMPUTED_VALUE"""),9.0)</f>
        <v>9</v>
      </c>
      <c r="F810" s="15"/>
      <c r="G810" s="16">
        <f>IFERROR(__xludf.DUMMYFUNCTION("""COMPUTED_VALUE"""),300.0)</f>
        <v>300</v>
      </c>
      <c r="H810" s="227"/>
      <c r="I810" s="21" t="str">
        <f>IFERROR(__xludf.DUMMYFUNCTION("""COMPUTED_VALUE"""),"ITAU")</f>
        <v>ITAU</v>
      </c>
      <c r="J810" s="21"/>
      <c r="K810" s="216"/>
      <c r="L810" s="216"/>
      <c r="M810" s="216"/>
      <c r="N810" s="216"/>
      <c r="O810" s="216"/>
      <c r="P810" s="216"/>
      <c r="Q810" s="216"/>
    </row>
    <row r="811">
      <c r="A811" s="11" t="str">
        <f>IFERROR(__xludf.DUMMYFUNCTION("""COMPUTED_VALUE"""),"PAGO")</f>
        <v>PAGO</v>
      </c>
      <c r="B811" s="98" t="str">
        <f>IFERROR(__xludf.DUMMYFUNCTION("""COMPUTED_VALUE"""),"Transferi para investimento - Nubank (reserva de oportunidades)")</f>
        <v>Transferi para investimento - Nubank (reserva de oportunidades)</v>
      </c>
      <c r="C811" s="13">
        <f>IFERROR(__xludf.DUMMYFUNCTION("""COMPUTED_VALUE"""),22.0)</f>
        <v>22</v>
      </c>
      <c r="D811" s="13" t="str">
        <f>IFERROR(__xludf.DUMMYFUNCTION("""COMPUTED_VALUE"""),"QUA.")</f>
        <v>QUA.</v>
      </c>
      <c r="E811" s="13">
        <f>IFERROR(__xludf.DUMMYFUNCTION("""COMPUTED_VALUE"""),9.0)</f>
        <v>9</v>
      </c>
      <c r="F811" s="15"/>
      <c r="G811" s="16"/>
      <c r="H811" s="227">
        <f>IFERROR(__xludf.DUMMYFUNCTION("""COMPUTED_VALUE"""),2500.0)</f>
        <v>2500</v>
      </c>
      <c r="I811" s="21" t="str">
        <f>IFERROR(__xludf.DUMMYFUNCTION("""COMPUTED_VALUE"""),"NUBANK")</f>
        <v>NUBANK</v>
      </c>
      <c r="J811" s="21" t="str">
        <f>IFERROR(__xludf.DUMMYFUNCTION("""COMPUTED_VALUE"""),"#Transferencia #Investimento #Variavel #Nubank")</f>
        <v>#Transferencia #Investimento #Variavel #Nubank</v>
      </c>
      <c r="K811" s="216"/>
      <c r="L811" s="216"/>
      <c r="M811" s="216"/>
      <c r="N811" s="216"/>
      <c r="O811" s="216"/>
      <c r="P811" s="216"/>
      <c r="Q811" s="216"/>
    </row>
    <row r="812">
      <c r="A812" s="11" t="str">
        <f>IFERROR(__xludf.DUMMYFUNCTION("""COMPUTED_VALUE"""),"PAGO")</f>
        <v>PAGO</v>
      </c>
      <c r="B812" s="98" t="str">
        <f>IFERROR(__xludf.DUMMYFUNCTION("""COMPUTED_VALUE"""),"Agua - ITAQUERA - SERÁ PAGO PELA JOICE (CASA ALUGADA)")</f>
        <v>Agua - ITAQUERA - SERÁ PAGO PELA JOICE (CASA ALUGADA)</v>
      </c>
      <c r="C812" s="13">
        <f>IFERROR(__xludf.DUMMYFUNCTION("""COMPUTED_VALUE"""),23.0)</f>
        <v>23</v>
      </c>
      <c r="D812" s="13" t="str">
        <f>IFERROR(__xludf.DUMMYFUNCTION("""COMPUTED_VALUE"""),"QUI.")</f>
        <v>QUI.</v>
      </c>
      <c r="E812" s="13">
        <f>IFERROR(__xludf.DUMMYFUNCTION("""COMPUTED_VALUE"""),9.0)</f>
        <v>9</v>
      </c>
      <c r="F812" s="15"/>
      <c r="G812" s="16"/>
      <c r="H812" s="227">
        <f>IFERROR(__xludf.DUMMYFUNCTION("""COMPUTED_VALUE"""),0.0)</f>
        <v>0</v>
      </c>
      <c r="I812" s="21" t="str">
        <f>IFERROR(__xludf.DUMMYFUNCTION("""COMPUTED_VALUE"""),"NUBANK")</f>
        <v>NUBANK</v>
      </c>
      <c r="J812" s="21" t="str">
        <f>IFERROR(__xludf.DUMMYFUNCTION("""COMPUTED_VALUE"""),"#Itaquera #Essencial #AjudaAlmir #Fixo")</f>
        <v>#Itaquera #Essencial #AjudaAlmir #Fixo</v>
      </c>
      <c r="K812" s="216"/>
      <c r="L812" s="216"/>
      <c r="M812" s="216"/>
      <c r="N812" s="216"/>
      <c r="O812" s="216"/>
      <c r="P812" s="216"/>
      <c r="Q812" s="216"/>
    </row>
    <row r="813">
      <c r="A813" s="11" t="str">
        <f>IFERROR(__xludf.DUMMYFUNCTION("""COMPUTED_VALUE"""),"PAGO")</f>
        <v>PAGO</v>
      </c>
      <c r="B813" s="98" t="str">
        <f>IFERROR(__xludf.DUMMYFUNCTION("""COMPUTED_VALUE"""),"Luz - DEBITO AUTO")</f>
        <v>Luz - DEBITO AUTO</v>
      </c>
      <c r="C813" s="13">
        <f>IFERROR(__xludf.DUMMYFUNCTION("""COMPUTED_VALUE"""),23.0)</f>
        <v>23</v>
      </c>
      <c r="D813" s="13" t="str">
        <f>IFERROR(__xludf.DUMMYFUNCTION("""COMPUTED_VALUE"""),"QUI.")</f>
        <v>QUI.</v>
      </c>
      <c r="E813" s="13">
        <f>IFERROR(__xludf.DUMMYFUNCTION("""COMPUTED_VALUE"""),9.0)</f>
        <v>9</v>
      </c>
      <c r="F813" s="15"/>
      <c r="G813" s="16"/>
      <c r="H813" s="227">
        <f>IFERROR(__xludf.DUMMYFUNCTION("""COMPUTED_VALUE"""),342.9)</f>
        <v>342.9</v>
      </c>
      <c r="I813" s="21" t="str">
        <f>IFERROR(__xludf.DUMMYFUNCTION("""COMPUTED_VALUE"""),"ITAU")</f>
        <v>ITAU</v>
      </c>
      <c r="J813" s="21" t="str">
        <f>IFERROR(__xludf.DUMMYFUNCTION("""COMPUTED_VALUE"""),"#Moradia #Essencial #Luz #Fixo")</f>
        <v>#Moradia #Essencial #Luz #Fixo</v>
      </c>
      <c r="K813" s="216"/>
      <c r="L813" s="216"/>
      <c r="M813" s="216"/>
      <c r="N813" s="216"/>
      <c r="O813" s="216"/>
      <c r="P813" s="216"/>
      <c r="Q813" s="216"/>
    </row>
    <row r="814">
      <c r="A814" s="11" t="str">
        <f>IFERROR(__xludf.DUMMYFUNCTION("""COMPUTED_VALUE"""),"PAGO")</f>
        <v>PAGO</v>
      </c>
      <c r="B814" s="98" t="str">
        <f>IFERROR(__xludf.DUMMYFUNCTION("""COMPUTED_VALUE"""),"Facillita Passadoria - passar roupas")</f>
        <v>Facillita Passadoria - passar roupas</v>
      </c>
      <c r="C814" s="13">
        <f>IFERROR(__xludf.DUMMYFUNCTION("""COMPUTED_VALUE"""),24.0)</f>
        <v>24</v>
      </c>
      <c r="D814" s="13" t="str">
        <f>IFERROR(__xludf.DUMMYFUNCTION("""COMPUTED_VALUE"""),"SEX.")</f>
        <v>SEX.</v>
      </c>
      <c r="E814" s="13">
        <f>IFERROR(__xludf.DUMMYFUNCTION("""COMPUTED_VALUE"""),9.0)</f>
        <v>9</v>
      </c>
      <c r="F814" s="15"/>
      <c r="G814" s="16"/>
      <c r="H814" s="227">
        <f>IFERROR(__xludf.DUMMYFUNCTION("""COMPUTED_VALUE"""),115.0)</f>
        <v>115</v>
      </c>
      <c r="I814" s="21" t="str">
        <f>IFERROR(__xludf.DUMMYFUNCTION("""COMPUTED_VALUE"""),"NUBANK")</f>
        <v>NUBANK</v>
      </c>
      <c r="J814" s="21" t="str">
        <f>IFERROR(__xludf.DUMMYFUNCTION("""COMPUTED_VALUE"""),"#Essencial #Roupas #Passar #Roberta #Variavel")</f>
        <v>#Essencial #Roupas #Passar #Roberta #Variavel</v>
      </c>
      <c r="K814" s="216"/>
      <c r="L814" s="216"/>
      <c r="M814" s="216"/>
      <c r="N814" s="216"/>
      <c r="O814" s="216"/>
      <c r="P814" s="216"/>
      <c r="Q814" s="216"/>
    </row>
    <row r="815">
      <c r="A815" s="11" t="str">
        <f>IFERROR(__xludf.DUMMYFUNCTION("""COMPUTED_VALUE"""),"PAGO")</f>
        <v>PAGO</v>
      </c>
      <c r="B815" s="98" t="str">
        <f>IFERROR(__xludf.DUMMYFUNCTION("""COMPUTED_VALUE"""),"Drogaria São Paulo - Cidade Jardim")</f>
        <v>Drogaria São Paulo - Cidade Jardim</v>
      </c>
      <c r="C815" s="13">
        <f>IFERROR(__xludf.DUMMYFUNCTION("""COMPUTED_VALUE"""),24.0)</f>
        <v>24</v>
      </c>
      <c r="D815" s="13" t="str">
        <f>IFERROR(__xludf.DUMMYFUNCTION("""COMPUTED_VALUE"""),"SEX.")</f>
        <v>SEX.</v>
      </c>
      <c r="E815" s="13">
        <f>IFERROR(__xludf.DUMMYFUNCTION("""COMPUTED_VALUE"""),9.0)</f>
        <v>9</v>
      </c>
      <c r="F815" s="15"/>
      <c r="G815" s="16"/>
      <c r="H815" s="227">
        <f>IFERROR(__xludf.DUMMYFUNCTION("""COMPUTED_VALUE"""),10.98)</f>
        <v>10.98</v>
      </c>
      <c r="I815" s="21" t="str">
        <f>IFERROR(__xludf.DUMMYFUNCTION("""COMPUTED_VALUE"""),"NUBANK")</f>
        <v>NUBANK</v>
      </c>
      <c r="J815" s="21" t="str">
        <f>IFERROR(__xludf.DUMMYFUNCTION("""COMPUTED_VALUE"""),"#Remedios #Eduardo #Variavel ")</f>
        <v>#Remedios #Eduardo #Variavel </v>
      </c>
      <c r="K815" s="216"/>
      <c r="L815" s="216"/>
      <c r="M815" s="216"/>
      <c r="N815" s="216"/>
      <c r="O815" s="216"/>
      <c r="P815" s="216"/>
      <c r="Q815" s="216"/>
    </row>
    <row r="816">
      <c r="A816" s="11" t="str">
        <f>IFERROR(__xludf.DUMMYFUNCTION("""COMPUTED_VALUE"""),"PAGO")</f>
        <v>PAGO</v>
      </c>
      <c r="B816" s="98" t="str">
        <f>IFERROR(__xludf.DUMMYFUNCTION("""COMPUTED_VALUE"""),"Farmacia Pague Menos - Cidade Jardim")</f>
        <v>Farmacia Pague Menos - Cidade Jardim</v>
      </c>
      <c r="C816" s="13">
        <f>IFERROR(__xludf.DUMMYFUNCTION("""COMPUTED_VALUE"""),26.0)</f>
        <v>26</v>
      </c>
      <c r="D816" s="13" t="str">
        <f>IFERROR(__xludf.DUMMYFUNCTION("""COMPUTED_VALUE"""),"DOM.")</f>
        <v>DOM.</v>
      </c>
      <c r="E816" s="13">
        <f>IFERROR(__xludf.DUMMYFUNCTION("""COMPUTED_VALUE"""),9.0)</f>
        <v>9</v>
      </c>
      <c r="F816" s="15"/>
      <c r="G816" s="16"/>
      <c r="H816" s="227">
        <f>IFERROR(__xludf.DUMMYFUNCTION("""COMPUTED_VALUE"""),60.33)</f>
        <v>60.33</v>
      </c>
      <c r="I816" s="21" t="str">
        <f>IFERROR(__xludf.DUMMYFUNCTION("""COMPUTED_VALUE"""),"NUBANK")</f>
        <v>NUBANK</v>
      </c>
      <c r="J816" s="21" t="str">
        <f>IFERROR(__xludf.DUMMYFUNCTION("""COMPUTED_VALUE"""),"#Remedios #Carlos #Eduardo #Variavel ")</f>
        <v>#Remedios #Carlos #Eduardo #Variavel </v>
      </c>
      <c r="K816" s="216"/>
      <c r="L816" s="216"/>
      <c r="M816" s="216"/>
      <c r="N816" s="216"/>
      <c r="O816" s="216"/>
      <c r="P816" s="216"/>
      <c r="Q816" s="216"/>
    </row>
    <row r="817">
      <c r="A817" s="11" t="str">
        <f>IFERROR(__xludf.DUMMYFUNCTION("""COMPUTED_VALUE"""),"PAGO")</f>
        <v>PAGO</v>
      </c>
      <c r="B817" s="98" t="str">
        <f>IFERROR(__xludf.DUMMYFUNCTION("""COMPUTED_VALUE"""),"Levitar SJC - sorvetes")</f>
        <v>Levitar SJC - sorvetes</v>
      </c>
      <c r="C817" s="13">
        <f>IFERROR(__xludf.DUMMYFUNCTION("""COMPUTED_VALUE"""),27.0)</f>
        <v>27</v>
      </c>
      <c r="D817" s="13" t="str">
        <f>IFERROR(__xludf.DUMMYFUNCTION("""COMPUTED_VALUE"""),"SEG.")</f>
        <v>SEG.</v>
      </c>
      <c r="E817" s="13">
        <f>IFERROR(__xludf.DUMMYFUNCTION("""COMPUTED_VALUE"""),9.0)</f>
        <v>9</v>
      </c>
      <c r="F817" s="15"/>
      <c r="G817" s="16"/>
      <c r="H817" s="227">
        <f>IFERROR(__xludf.DUMMYFUNCTION("""COMPUTED_VALUE"""),40.0)</f>
        <v>40</v>
      </c>
      <c r="I817" s="21" t="str">
        <f>IFERROR(__xludf.DUMMYFUNCTION("""COMPUTED_VALUE"""),"NUBANK")</f>
        <v>NUBANK</v>
      </c>
      <c r="J817" s="21" t="str">
        <f>IFERROR(__xludf.DUMMYFUNCTION("""COMPUTED_VALUE"""),"#Lazer #Comida #Variavel")</f>
        <v>#Lazer #Comida #Variavel</v>
      </c>
      <c r="K817" s="216"/>
      <c r="L817" s="216"/>
      <c r="M817" s="216"/>
      <c r="N817" s="216"/>
      <c r="O817" s="216"/>
      <c r="P817" s="216"/>
      <c r="Q817" s="216"/>
    </row>
    <row r="818">
      <c r="A818" s="11" t="str">
        <f>IFERROR(__xludf.DUMMYFUNCTION("""COMPUTED_VALUE"""),"PAGO")</f>
        <v>PAGO</v>
      </c>
      <c r="B818" s="98" t="str">
        <f>IFERROR(__xludf.DUMMYFUNCTION("""COMPUTED_VALUE"""),"Coaching / Psicologa - Candice Oliveira")</f>
        <v>Coaching / Psicologa - Candice Oliveira</v>
      </c>
      <c r="C818" s="13">
        <f>IFERROR(__xludf.DUMMYFUNCTION("""COMPUTED_VALUE"""),27.0)</f>
        <v>27</v>
      </c>
      <c r="D818" s="13" t="str">
        <f>IFERROR(__xludf.DUMMYFUNCTION("""COMPUTED_VALUE"""),"SEG.")</f>
        <v>SEG.</v>
      </c>
      <c r="E818" s="13">
        <f>IFERROR(__xludf.DUMMYFUNCTION("""COMPUTED_VALUE"""),9.0)</f>
        <v>9</v>
      </c>
      <c r="F818" s="15"/>
      <c r="G818" s="16"/>
      <c r="H818" s="227">
        <f>IFERROR(__xludf.DUMMYFUNCTION("""COMPUTED_VALUE"""),100.0)</f>
        <v>100</v>
      </c>
      <c r="I818" s="21" t="str">
        <f>IFERROR(__xludf.DUMMYFUNCTION("""COMPUTED_VALUE"""),"NUBANK")</f>
        <v>NUBANK</v>
      </c>
      <c r="J818" s="21" t="str">
        <f>IFERROR(__xludf.DUMMYFUNCTION("""COMPUTED_VALUE"""),"#Coaching #Fixo")</f>
        <v>#Coaching #Fixo</v>
      </c>
      <c r="K818" s="216"/>
      <c r="L818" s="216"/>
      <c r="M818" s="216"/>
      <c r="N818" s="216"/>
      <c r="O818" s="216"/>
      <c r="P818" s="216"/>
      <c r="Q818" s="216"/>
    </row>
    <row r="819">
      <c r="A819" s="11" t="str">
        <f>IFERROR(__xludf.DUMMYFUNCTION("""COMPUTED_VALUE"""),"PAGO")</f>
        <v>PAGO</v>
      </c>
      <c r="B819" s="98" t="str">
        <f>IFERROR(__xludf.DUMMYFUNCTION("""COMPUTED_VALUE"""),"Shibata")</f>
        <v>Shibata</v>
      </c>
      <c r="C819" s="13">
        <f>IFERROR(__xludf.DUMMYFUNCTION("""COMPUTED_VALUE"""),28.0)</f>
        <v>28</v>
      </c>
      <c r="D819" s="13" t="str">
        <f>IFERROR(__xludf.DUMMYFUNCTION("""COMPUTED_VALUE"""),"TER.")</f>
        <v>TER.</v>
      </c>
      <c r="E819" s="13">
        <f>IFERROR(__xludf.DUMMYFUNCTION("""COMPUTED_VALUE"""),9.0)</f>
        <v>9</v>
      </c>
      <c r="F819" s="15"/>
      <c r="G819" s="16"/>
      <c r="H819" s="227">
        <f>IFERROR(__xludf.DUMMYFUNCTION("""COMPUTED_VALUE"""),241.62)</f>
        <v>241.62</v>
      </c>
      <c r="I819" s="21" t="str">
        <f>IFERROR(__xludf.DUMMYFUNCTION("""COMPUTED_VALUE"""),"NUBANK")</f>
        <v>NUBANK</v>
      </c>
      <c r="J819" s="21" t="str">
        <f>IFERROR(__xludf.DUMMYFUNCTION("""COMPUTED_VALUE"""),"#Moradia #Essencial #Mercado #Variavel #Alimentação ")</f>
        <v>#Moradia #Essencial #Mercado #Variavel #Alimentação </v>
      </c>
      <c r="K819" s="216"/>
      <c r="L819" s="216"/>
      <c r="M819" s="216"/>
      <c r="N819" s="216"/>
      <c r="O819" s="216"/>
      <c r="P819" s="216"/>
      <c r="Q819" s="216"/>
    </row>
    <row r="820">
      <c r="A820" s="11" t="str">
        <f>IFERROR(__xludf.DUMMYFUNCTION("""COMPUTED_VALUE"""),"PAGO")</f>
        <v>PAGO</v>
      </c>
      <c r="B820" s="98" t="str">
        <f>IFERROR(__xludf.DUMMYFUNCTION("""COMPUTED_VALUE"""),"Resgate reserva de oportunidade")</f>
        <v>Resgate reserva de oportunidade</v>
      </c>
      <c r="C820" s="13">
        <f>IFERROR(__xludf.DUMMYFUNCTION("""COMPUTED_VALUE"""),29.0)</f>
        <v>29</v>
      </c>
      <c r="D820" s="13" t="str">
        <f>IFERROR(__xludf.DUMMYFUNCTION("""COMPUTED_VALUE"""),"QUA.")</f>
        <v>QUA.</v>
      </c>
      <c r="E820" s="13">
        <f>IFERROR(__xludf.DUMMYFUNCTION("""COMPUTED_VALUE"""),9.0)</f>
        <v>9</v>
      </c>
      <c r="F820" s="15"/>
      <c r="G820" s="16">
        <f>IFERROR(__xludf.DUMMYFUNCTION("""COMPUTED_VALUE"""),500.0)</f>
        <v>500</v>
      </c>
      <c r="H820" s="227"/>
      <c r="I820" s="21" t="str">
        <f>IFERROR(__xludf.DUMMYFUNCTION("""COMPUTED_VALUE"""),"NUBANK")</f>
        <v>NUBANK</v>
      </c>
      <c r="J820" s="21" t="str">
        <f>IFERROR(__xludf.DUMMYFUNCTION("""COMPUTED_VALUE"""),"#Resgate #Nubank #Variavel")</f>
        <v>#Resgate #Nubank #Variavel</v>
      </c>
      <c r="K820" s="216"/>
      <c r="L820" s="216"/>
      <c r="M820" s="216"/>
      <c r="N820" s="216"/>
      <c r="O820" s="216"/>
      <c r="P820" s="216"/>
      <c r="Q820" s="216"/>
    </row>
    <row r="821">
      <c r="A821" s="11" t="str">
        <f>IFERROR(__xludf.DUMMYFUNCTION("""COMPUTED_VALUE"""),"PAGO")</f>
        <v>PAGO</v>
      </c>
      <c r="B821" s="98" t="str">
        <f>IFERROR(__xludf.DUMMYFUNCTION("""COMPUTED_VALUE"""),"Deposito Binance para investimentos em criptomoedas ouro PAXG")</f>
        <v>Deposito Binance para investimentos em criptomoedas ouro PAXG</v>
      </c>
      <c r="C821" s="13">
        <f>IFERROR(__xludf.DUMMYFUNCTION("""COMPUTED_VALUE"""),29.0)</f>
        <v>29</v>
      </c>
      <c r="D821" s="13" t="str">
        <f>IFERROR(__xludf.DUMMYFUNCTION("""COMPUTED_VALUE"""),"QUA.")</f>
        <v>QUA.</v>
      </c>
      <c r="E821" s="13">
        <f>IFERROR(__xludf.DUMMYFUNCTION("""COMPUTED_VALUE"""),9.0)</f>
        <v>9</v>
      </c>
      <c r="F821" s="15"/>
      <c r="G821" s="16"/>
      <c r="H821" s="227">
        <f>IFERROR(__xludf.DUMMYFUNCTION("""COMPUTED_VALUE"""),500.0)</f>
        <v>500</v>
      </c>
      <c r="I821" s="21" t="str">
        <f>IFERROR(__xludf.DUMMYFUNCTION("""COMPUTED_VALUE"""),"NUBANK")</f>
        <v>NUBANK</v>
      </c>
      <c r="J821" s="21" t="str">
        <f>IFERROR(__xludf.DUMMYFUNCTION("""COMPUTED_VALUE"""),"#Investimento #Binance #Variavel")</f>
        <v>#Investimento #Binance #Variavel</v>
      </c>
      <c r="K821" s="216"/>
      <c r="L821" s="216"/>
      <c r="M821" s="216"/>
      <c r="N821" s="216"/>
      <c r="O821" s="216"/>
      <c r="P821" s="216"/>
      <c r="Q821" s="216"/>
    </row>
    <row r="822">
      <c r="A822" s="11" t="str">
        <f>IFERROR(__xludf.DUMMYFUNCTION("""COMPUTED_VALUE"""),"PAGO")</f>
        <v>PAGO</v>
      </c>
      <c r="B822" s="98" t="str">
        <f>IFERROR(__xludf.DUMMYFUNCTION("""COMPUTED_VALUE"""),"Recarga Sodexo Alimentação IBM")</f>
        <v>Recarga Sodexo Alimentação IBM</v>
      </c>
      <c r="C822" s="13">
        <f>IFERROR(__xludf.DUMMYFUNCTION("""COMPUTED_VALUE"""),30.0)</f>
        <v>30</v>
      </c>
      <c r="D822" s="13" t="str">
        <f>IFERROR(__xludf.DUMMYFUNCTION("""COMPUTED_VALUE"""),"QUI.")</f>
        <v>QUI.</v>
      </c>
      <c r="E822" s="13">
        <f>IFERROR(__xludf.DUMMYFUNCTION("""COMPUTED_VALUE"""),9.0)</f>
        <v>9</v>
      </c>
      <c r="F822" s="15"/>
      <c r="G822" s="16">
        <f>IFERROR(__xludf.DUMMYFUNCTION("""COMPUTED_VALUE"""),330.0)</f>
        <v>330</v>
      </c>
      <c r="H822" s="227"/>
      <c r="I822" s="21" t="str">
        <f>IFERROR(__xludf.DUMMYFUNCTION("""COMPUTED_VALUE"""),"SODEXO-ALI-IBM")</f>
        <v>SODEXO-ALI-IBM</v>
      </c>
      <c r="J822" s="21" t="str">
        <f>IFERROR(__xludf.DUMMYFUNCTION("""COMPUTED_VALUE"""),"#Recebimentos #Alimentação #Fixo")</f>
        <v>#Recebimentos #Alimentação #Fixo</v>
      </c>
      <c r="K822" s="216"/>
      <c r="L822" s="216"/>
      <c r="M822" s="216"/>
      <c r="N822" s="216"/>
      <c r="O822" s="216"/>
      <c r="P822" s="216"/>
      <c r="Q822" s="216"/>
    </row>
    <row r="823">
      <c r="A823" s="11" t="str">
        <f>IFERROR(__xludf.DUMMYFUNCTION("""COMPUTED_VALUE"""),"PAGO")</f>
        <v>PAGO</v>
      </c>
      <c r="B823" s="98" t="str">
        <f>IFERROR(__xludf.DUMMYFUNCTION("""COMPUTED_VALUE"""),"Recarga Sodexo Refeição IBM")</f>
        <v>Recarga Sodexo Refeição IBM</v>
      </c>
      <c r="C823" s="13">
        <f>IFERROR(__xludf.DUMMYFUNCTION("""COMPUTED_VALUE"""),30.0)</f>
        <v>30</v>
      </c>
      <c r="D823" s="13" t="str">
        <f>IFERROR(__xludf.DUMMYFUNCTION("""COMPUTED_VALUE"""),"QUI.")</f>
        <v>QUI.</v>
      </c>
      <c r="E823" s="13">
        <f>IFERROR(__xludf.DUMMYFUNCTION("""COMPUTED_VALUE"""),9.0)</f>
        <v>9</v>
      </c>
      <c r="F823" s="15"/>
      <c r="G823" s="16">
        <f>IFERROR(__xludf.DUMMYFUNCTION("""COMPUTED_VALUE"""),700.0)</f>
        <v>700</v>
      </c>
      <c r="H823" s="227"/>
      <c r="I823" s="21" t="str">
        <f>IFERROR(__xludf.DUMMYFUNCTION("""COMPUTED_VALUE"""),"SODEXO-REF-IBM")</f>
        <v>SODEXO-REF-IBM</v>
      </c>
      <c r="J823" s="21" t="str">
        <f>IFERROR(__xludf.DUMMYFUNCTION("""COMPUTED_VALUE"""),"#Recebimentos #Alimentação #Fixo")</f>
        <v>#Recebimentos #Alimentação #Fixo</v>
      </c>
      <c r="K823" s="216"/>
      <c r="L823" s="216"/>
      <c r="M823" s="216"/>
      <c r="N823" s="216"/>
      <c r="O823" s="216"/>
      <c r="P823" s="216"/>
      <c r="Q823" s="216"/>
    </row>
    <row r="824">
      <c r="A824" s="11" t="str">
        <f>IFERROR(__xludf.DUMMYFUNCTION("""COMPUTED_VALUE"""),"PAGO")</f>
        <v>PAGO</v>
      </c>
      <c r="B824" s="98" t="str">
        <f>IFERROR(__xludf.DUMMYFUNCTION("""COMPUTED_VALUE"""),"Salario - IBM")</f>
        <v>Salario - IBM</v>
      </c>
      <c r="C824" s="13">
        <f>IFERROR(__xludf.DUMMYFUNCTION("""COMPUTED_VALUE"""),30.0)</f>
        <v>30</v>
      </c>
      <c r="D824" s="13" t="str">
        <f>IFERROR(__xludf.DUMMYFUNCTION("""COMPUTED_VALUE"""),"QUI.")</f>
        <v>QUI.</v>
      </c>
      <c r="E824" s="13">
        <f>IFERROR(__xludf.DUMMYFUNCTION("""COMPUTED_VALUE"""),9.0)</f>
        <v>9</v>
      </c>
      <c r="F824" s="15"/>
      <c r="G824" s="16">
        <f>IFERROR(__xludf.DUMMYFUNCTION("""COMPUTED_VALUE"""),3429.7)</f>
        <v>3429.7</v>
      </c>
      <c r="H824" s="227"/>
      <c r="I824" s="21" t="str">
        <f>IFERROR(__xludf.DUMMYFUNCTION("""COMPUTED_VALUE"""),"SANTANDER")</f>
        <v>SANTANDER</v>
      </c>
      <c r="J824" s="21" t="str">
        <f>IFERROR(__xludf.DUMMYFUNCTION("""COMPUTED_VALUE"""),"#Recebimentos #Salario #Fixo")</f>
        <v>#Recebimentos #Salario #Fixo</v>
      </c>
      <c r="K824" s="216"/>
      <c r="L824" s="216"/>
      <c r="M824" s="216"/>
      <c r="N824" s="216"/>
      <c r="O824" s="216"/>
      <c r="P824" s="216"/>
      <c r="Q824" s="216"/>
    </row>
    <row r="825">
      <c r="A825" s="11" t="str">
        <f>IFERROR(__xludf.DUMMYFUNCTION("""COMPUTED_VALUE"""),"CONTAS")</f>
        <v>CONTAS</v>
      </c>
      <c r="B825" s="98" t="str">
        <f>IFERROR(__xludf.DUMMYFUNCTION("""COMPUTED_VALUE"""),"Transferencia via PIX")</f>
        <v>Transferencia via PIX</v>
      </c>
      <c r="C825" s="13">
        <f>IFERROR(__xludf.DUMMYFUNCTION("""COMPUTED_VALUE"""),30.0)</f>
        <v>30</v>
      </c>
      <c r="D825" s="13" t="str">
        <f>IFERROR(__xludf.DUMMYFUNCTION("""COMPUTED_VALUE"""),"QUI.")</f>
        <v>QUI.</v>
      </c>
      <c r="E825" s="13">
        <f>IFERROR(__xludf.DUMMYFUNCTION("""COMPUTED_VALUE"""),9.0)</f>
        <v>9</v>
      </c>
      <c r="F825" s="15"/>
      <c r="G825" s="16"/>
      <c r="H825" s="227">
        <f>IFERROR(__xludf.DUMMYFUNCTION("""COMPUTED_VALUE"""),3429.7)</f>
        <v>3429.7</v>
      </c>
      <c r="I825" s="21" t="str">
        <f>IFERROR(__xludf.DUMMYFUNCTION("""COMPUTED_VALUE"""),"SANTANDER")</f>
        <v>SANTANDER</v>
      </c>
      <c r="J825" s="21"/>
      <c r="K825" s="216"/>
      <c r="L825" s="216"/>
      <c r="M825" s="216"/>
      <c r="N825" s="216"/>
      <c r="O825" s="216"/>
      <c r="P825" s="216"/>
      <c r="Q825" s="216"/>
    </row>
    <row r="826">
      <c r="A826" s="11" t="str">
        <f>IFERROR(__xludf.DUMMYFUNCTION("""COMPUTED_VALUE"""),"CONTAS")</f>
        <v>CONTAS</v>
      </c>
      <c r="B826" s="98" t="str">
        <f>IFERROR(__xludf.DUMMYFUNCTION("""COMPUTED_VALUE"""),"Recebimento via PIX")</f>
        <v>Recebimento via PIX</v>
      </c>
      <c r="C826" s="13">
        <f>IFERROR(__xludf.DUMMYFUNCTION("""COMPUTED_VALUE"""),30.0)</f>
        <v>30</v>
      </c>
      <c r="D826" s="13" t="str">
        <f>IFERROR(__xludf.DUMMYFUNCTION("""COMPUTED_VALUE"""),"QUI.")</f>
        <v>QUI.</v>
      </c>
      <c r="E826" s="13">
        <f>IFERROR(__xludf.DUMMYFUNCTION("""COMPUTED_VALUE"""),9.0)</f>
        <v>9</v>
      </c>
      <c r="F826" s="15"/>
      <c r="G826" s="16">
        <f>IFERROR(__xludf.DUMMYFUNCTION("""COMPUTED_VALUE"""),3429.7)</f>
        <v>3429.7</v>
      </c>
      <c r="H826" s="227"/>
      <c r="I826" s="21" t="str">
        <f>IFERROR(__xludf.DUMMYFUNCTION("""COMPUTED_VALUE"""),"NUBANK")</f>
        <v>NUBANK</v>
      </c>
      <c r="J826" s="21"/>
      <c r="K826" s="216"/>
      <c r="L826" s="216"/>
      <c r="M826" s="216"/>
      <c r="N826" s="216"/>
      <c r="O826" s="216"/>
      <c r="P826" s="216"/>
      <c r="Q826" s="216"/>
    </row>
    <row r="827">
      <c r="A827" s="11"/>
      <c r="B827" s="98"/>
      <c r="C827" s="13"/>
      <c r="D827" s="13"/>
      <c r="E827" s="13"/>
      <c r="F827" s="15"/>
      <c r="G827" s="16"/>
      <c r="H827" s="227"/>
      <c r="I827" s="21"/>
      <c r="J827" s="21"/>
      <c r="K827" s="216"/>
      <c r="L827" s="216"/>
      <c r="M827" s="216"/>
      <c r="N827" s="216"/>
      <c r="O827" s="216"/>
      <c r="P827" s="216"/>
      <c r="Q827" s="216"/>
    </row>
    <row r="828">
      <c r="A828" s="11"/>
      <c r="B828" s="98"/>
      <c r="C828" s="13"/>
      <c r="D828" s="13"/>
      <c r="E828" s="13"/>
      <c r="F828" s="15"/>
      <c r="G828" s="16"/>
      <c r="H828" s="227"/>
      <c r="I828" s="21"/>
      <c r="J828" s="21"/>
      <c r="K828" s="216"/>
      <c r="L828" s="216"/>
      <c r="M828" s="216"/>
      <c r="N828" s="216"/>
      <c r="O828" s="216"/>
      <c r="P828" s="216"/>
      <c r="Q828" s="216"/>
    </row>
    <row r="829">
      <c r="A829" s="11"/>
      <c r="B829" s="98"/>
      <c r="C829" s="13"/>
      <c r="D829" s="13"/>
      <c r="E829" s="13"/>
      <c r="F829" s="15"/>
      <c r="G829" s="16"/>
      <c r="H829" s="227"/>
      <c r="I829" s="21"/>
      <c r="J829" s="21"/>
      <c r="K829" s="216"/>
      <c r="L829" s="216"/>
      <c r="M829" s="216"/>
      <c r="N829" s="216"/>
      <c r="O829" s="216"/>
      <c r="P829" s="216"/>
      <c r="Q829" s="216"/>
    </row>
    <row r="830">
      <c r="A830" s="11" t="str">
        <f>IFERROR(__xludf.DUMMYFUNCTION("""COMPUTED_VALUE"""),"PAGO")</f>
        <v>PAGO</v>
      </c>
      <c r="B830" s="98" t="str">
        <f>IFERROR(__xludf.DUMMYFUNCTION("""COMPUTED_VALUE"""),"Entrada mes anterior")</f>
        <v>Entrada mes anterior</v>
      </c>
      <c r="C830" s="13">
        <f>IFERROR(__xludf.DUMMYFUNCTION("""COMPUTED_VALUE"""),1.0)</f>
        <v>1</v>
      </c>
      <c r="D830" s="13" t="str">
        <f>IFERROR(__xludf.DUMMYFUNCTION("""COMPUTED_VALUE"""),"SEX.")</f>
        <v>SEX.</v>
      </c>
      <c r="E830" s="13">
        <f>IFERROR(__xludf.DUMMYFUNCTION("""COMPUTED_VALUE"""),10.0)</f>
        <v>10</v>
      </c>
      <c r="F830" s="15"/>
      <c r="G830" s="16">
        <f>IFERROR(__xludf.DUMMYFUNCTION("""COMPUTED_VALUE"""),63.280000000000996)</f>
        <v>63.28</v>
      </c>
      <c r="H830" s="227"/>
      <c r="I830" s="21" t="str">
        <f>IFERROR(__xludf.DUMMYFUNCTION("""COMPUTED_VALUE"""),"ITAU")</f>
        <v>ITAU</v>
      </c>
      <c r="J830" s="21" t="str">
        <f>IFERROR(__xludf.DUMMYFUNCTION("""COMPUTED_VALUE"""),"#Recebimentos #Ajuste #Variavel")</f>
        <v>#Recebimentos #Ajuste #Variavel</v>
      </c>
      <c r="K830" s="216"/>
      <c r="L830" s="216"/>
      <c r="M830" s="216"/>
      <c r="N830" s="216"/>
      <c r="O830" s="216"/>
      <c r="P830" s="216"/>
      <c r="Q830" s="216"/>
    </row>
    <row r="831">
      <c r="A831" s="11" t="str">
        <f>IFERROR(__xludf.DUMMYFUNCTION("""COMPUTED_VALUE"""),"PAGO")</f>
        <v>PAGO</v>
      </c>
      <c r="B831" s="98" t="str">
        <f>IFERROR(__xludf.DUMMYFUNCTION("""COMPUTED_VALUE"""),"Entrada mes anterior")</f>
        <v>Entrada mes anterior</v>
      </c>
      <c r="C831" s="13">
        <f>IFERROR(__xludf.DUMMYFUNCTION("""COMPUTED_VALUE"""),1.0)</f>
        <v>1</v>
      </c>
      <c r="D831" s="13" t="str">
        <f>IFERROR(__xludf.DUMMYFUNCTION("""COMPUTED_VALUE"""),"SEX.")</f>
        <v>SEX.</v>
      </c>
      <c r="E831" s="13">
        <f>IFERROR(__xludf.DUMMYFUNCTION("""COMPUTED_VALUE"""),10.0)</f>
        <v>10</v>
      </c>
      <c r="F831" s="15"/>
      <c r="G831" s="16">
        <f>IFERROR(__xludf.DUMMYFUNCTION("""COMPUTED_VALUE"""),2.850000000000364)</f>
        <v>2.85</v>
      </c>
      <c r="H831" s="227"/>
      <c r="I831" s="21" t="str">
        <f>IFERROR(__xludf.DUMMYFUNCTION("""COMPUTED_VALUE"""),"INTER")</f>
        <v>INTER</v>
      </c>
      <c r="J831" s="21" t="str">
        <f>IFERROR(__xludf.DUMMYFUNCTION("""COMPUTED_VALUE"""),"#Recebimentos #Ajuste #Variavel")</f>
        <v>#Recebimentos #Ajuste #Variavel</v>
      </c>
      <c r="K831" s="216"/>
      <c r="L831" s="216"/>
      <c r="M831" s="216"/>
      <c r="N831" s="216"/>
      <c r="O831" s="216"/>
      <c r="P831" s="216"/>
      <c r="Q831" s="216"/>
    </row>
    <row r="832">
      <c r="A832" s="11" t="str">
        <f>IFERROR(__xludf.DUMMYFUNCTION("""COMPUTED_VALUE"""),"PAGO")</f>
        <v>PAGO</v>
      </c>
      <c r="B832" s="98" t="str">
        <f>IFERROR(__xludf.DUMMYFUNCTION("""COMPUTED_VALUE"""),"Entrada mes anterior")</f>
        <v>Entrada mes anterior</v>
      </c>
      <c r="C832" s="13">
        <f>IFERROR(__xludf.DUMMYFUNCTION("""COMPUTED_VALUE"""),1.0)</f>
        <v>1</v>
      </c>
      <c r="D832" s="13" t="str">
        <f>IFERROR(__xludf.DUMMYFUNCTION("""COMPUTED_VALUE"""),"SEX.")</f>
        <v>SEX.</v>
      </c>
      <c r="E832" s="13">
        <f>IFERROR(__xludf.DUMMYFUNCTION("""COMPUTED_VALUE"""),10.0)</f>
        <v>10</v>
      </c>
      <c r="F832" s="15"/>
      <c r="G832" s="16">
        <f>IFERROR(__xludf.DUMMYFUNCTION("""COMPUTED_VALUE"""),-6.639133687258436E-13)</f>
        <v>0</v>
      </c>
      <c r="H832" s="227"/>
      <c r="I832" s="21" t="str">
        <f>IFERROR(__xludf.DUMMYFUNCTION("""COMPUTED_VALUE"""),"INTER-PJ")</f>
        <v>INTER-PJ</v>
      </c>
      <c r="J832" s="21" t="str">
        <f>IFERROR(__xludf.DUMMYFUNCTION("""COMPUTED_VALUE"""),"#Recebimentos #Ajuste #Variavel")</f>
        <v>#Recebimentos #Ajuste #Variavel</v>
      </c>
      <c r="K832" s="216"/>
      <c r="L832" s="216"/>
      <c r="M832" s="216"/>
      <c r="N832" s="216"/>
      <c r="O832" s="216"/>
      <c r="P832" s="216"/>
      <c r="Q832" s="216"/>
    </row>
    <row r="833">
      <c r="A833" s="11" t="str">
        <f>IFERROR(__xludf.DUMMYFUNCTION("""COMPUTED_VALUE"""),"PAGO")</f>
        <v>PAGO</v>
      </c>
      <c r="B833" s="98" t="str">
        <f>IFERROR(__xludf.DUMMYFUNCTION("""COMPUTED_VALUE"""),"Entrada mes anterior")</f>
        <v>Entrada mes anterior</v>
      </c>
      <c r="C833" s="13">
        <f>IFERROR(__xludf.DUMMYFUNCTION("""COMPUTED_VALUE"""),1.0)</f>
        <v>1</v>
      </c>
      <c r="D833" s="13" t="str">
        <f>IFERROR(__xludf.DUMMYFUNCTION("""COMPUTED_VALUE"""),"SEX.")</f>
        <v>SEX.</v>
      </c>
      <c r="E833" s="13">
        <f>IFERROR(__xludf.DUMMYFUNCTION("""COMPUTED_VALUE"""),10.0)</f>
        <v>10</v>
      </c>
      <c r="F833" s="15"/>
      <c r="G833" s="16">
        <f>IFERROR(__xludf.DUMMYFUNCTION("""COMPUTED_VALUE"""),6488.640000000007)</f>
        <v>6488.64</v>
      </c>
      <c r="H833" s="227"/>
      <c r="I833" s="21" t="str">
        <f>IFERROR(__xludf.DUMMYFUNCTION("""COMPUTED_VALUE"""),"NUBANK")</f>
        <v>NUBANK</v>
      </c>
      <c r="J833" s="21" t="str">
        <f>IFERROR(__xludf.DUMMYFUNCTION("""COMPUTED_VALUE"""),"#Recebimentos #Ajuste #Variavel")</f>
        <v>#Recebimentos #Ajuste #Variavel</v>
      </c>
      <c r="K833" s="216"/>
      <c r="L833" s="216"/>
      <c r="M833" s="216"/>
      <c r="N833" s="216"/>
      <c r="O833" s="216"/>
      <c r="P833" s="216"/>
      <c r="Q833" s="216"/>
    </row>
    <row r="834">
      <c r="A834" s="11" t="str">
        <f>IFERROR(__xludf.DUMMYFUNCTION("""COMPUTED_VALUE"""),"PAGO")</f>
        <v>PAGO</v>
      </c>
      <c r="B834" s="98" t="str">
        <f>IFERROR(__xludf.DUMMYFUNCTION("""COMPUTED_VALUE"""),"Entrada mes anterior")</f>
        <v>Entrada mes anterior</v>
      </c>
      <c r="C834" s="13">
        <f>IFERROR(__xludf.DUMMYFUNCTION("""COMPUTED_VALUE"""),1.0)</f>
        <v>1</v>
      </c>
      <c r="D834" s="13" t="str">
        <f>IFERROR(__xludf.DUMMYFUNCTION("""COMPUTED_VALUE"""),"SEX.")</f>
        <v>SEX.</v>
      </c>
      <c r="E834" s="13">
        <f>IFERROR(__xludf.DUMMYFUNCTION("""COMPUTED_VALUE"""),10.0)</f>
        <v>10</v>
      </c>
      <c r="F834" s="15"/>
      <c r="G834" s="16">
        <f>IFERROR(__xludf.DUMMYFUNCTION("""COMPUTED_VALUE"""),9.52)</f>
        <v>9.52</v>
      </c>
      <c r="H834" s="227"/>
      <c r="I834" s="21" t="str">
        <f>IFERROR(__xludf.DUMMYFUNCTION("""COMPUTED_VALUE"""),"C6BANK")</f>
        <v>C6BANK</v>
      </c>
      <c r="J834" s="21" t="str">
        <f>IFERROR(__xludf.DUMMYFUNCTION("""COMPUTED_VALUE"""),"#Recebimentos #Ajuste #Variavel")</f>
        <v>#Recebimentos #Ajuste #Variavel</v>
      </c>
      <c r="K834" s="216"/>
      <c r="L834" s="216"/>
      <c r="M834" s="216"/>
      <c r="N834" s="216"/>
      <c r="O834" s="216"/>
      <c r="P834" s="216"/>
      <c r="Q834" s="216"/>
    </row>
    <row r="835">
      <c r="A835" s="11" t="str">
        <f>IFERROR(__xludf.DUMMYFUNCTION("""COMPUTED_VALUE"""),"PAGO")</f>
        <v>PAGO</v>
      </c>
      <c r="B835" s="98" t="str">
        <f>IFERROR(__xludf.DUMMYFUNCTION("""COMPUTED_VALUE"""),"Entrada mes anterior")</f>
        <v>Entrada mes anterior</v>
      </c>
      <c r="C835" s="13">
        <f>IFERROR(__xludf.DUMMYFUNCTION("""COMPUTED_VALUE"""),1.0)</f>
        <v>1</v>
      </c>
      <c r="D835" s="13" t="str">
        <f>IFERROR(__xludf.DUMMYFUNCTION("""COMPUTED_VALUE"""),"SEX.")</f>
        <v>SEX.</v>
      </c>
      <c r="E835" s="13">
        <f>IFERROR(__xludf.DUMMYFUNCTION("""COMPUTED_VALUE"""),10.0)</f>
        <v>10</v>
      </c>
      <c r="F835" s="15"/>
      <c r="G835" s="16">
        <f>IFERROR(__xludf.DUMMYFUNCTION("""COMPUTED_VALUE"""),0.0)</f>
        <v>0</v>
      </c>
      <c r="H835" s="227"/>
      <c r="I835" s="21" t="str">
        <f>IFERROR(__xludf.DUMMYFUNCTION("""COMPUTED_VALUE"""),"SANTANDER")</f>
        <v>SANTANDER</v>
      </c>
      <c r="J835" s="21" t="str">
        <f>IFERROR(__xludf.DUMMYFUNCTION("""COMPUTED_VALUE"""),"#Recebimentos #Ajuste #Variavel")</f>
        <v>#Recebimentos #Ajuste #Variavel</v>
      </c>
      <c r="K835" s="216"/>
      <c r="L835" s="216"/>
      <c r="M835" s="216"/>
      <c r="N835" s="216"/>
      <c r="O835" s="216"/>
      <c r="P835" s="216"/>
      <c r="Q835" s="216"/>
    </row>
    <row r="836">
      <c r="A836" s="11" t="str">
        <f>IFERROR(__xludf.DUMMYFUNCTION("""COMPUTED_VALUE"""),"PAGO")</f>
        <v>PAGO</v>
      </c>
      <c r="B836" s="98" t="str">
        <f>IFERROR(__xludf.DUMMYFUNCTION("""COMPUTED_VALUE"""),"Entrada mes anterior")</f>
        <v>Entrada mes anterior</v>
      </c>
      <c r="C836" s="13">
        <f>IFERROR(__xludf.DUMMYFUNCTION("""COMPUTED_VALUE"""),1.0)</f>
        <v>1</v>
      </c>
      <c r="D836" s="13" t="str">
        <f>IFERROR(__xludf.DUMMYFUNCTION("""COMPUTED_VALUE"""),"SEX.")</f>
        <v>SEX.</v>
      </c>
      <c r="E836" s="13">
        <f>IFERROR(__xludf.DUMMYFUNCTION("""COMPUTED_VALUE"""),10.0)</f>
        <v>10</v>
      </c>
      <c r="F836" s="15"/>
      <c r="G836" s="16">
        <f>IFERROR(__xludf.DUMMYFUNCTION("""COMPUTED_VALUE"""),833.1399999999998)</f>
        <v>833.14</v>
      </c>
      <c r="H836" s="227"/>
      <c r="I836" s="21" t="str">
        <f>IFERROR(__xludf.DUMMYFUNCTION("""COMPUTED_VALUE"""),"SODEXO-REF-IBM")</f>
        <v>SODEXO-REF-IBM</v>
      </c>
      <c r="J836" s="21" t="str">
        <f>IFERROR(__xludf.DUMMYFUNCTION("""COMPUTED_VALUE"""),"#Recebimentos #Ajuste #Variavel")</f>
        <v>#Recebimentos #Ajuste #Variavel</v>
      </c>
      <c r="K836" s="216"/>
      <c r="L836" s="216"/>
      <c r="M836" s="216"/>
      <c r="N836" s="216"/>
      <c r="O836" s="216"/>
      <c r="P836" s="216"/>
      <c r="Q836" s="216"/>
    </row>
    <row r="837">
      <c r="A837" s="11" t="str">
        <f>IFERROR(__xludf.DUMMYFUNCTION("""COMPUTED_VALUE"""),"PAGO")</f>
        <v>PAGO</v>
      </c>
      <c r="B837" s="98" t="str">
        <f>IFERROR(__xludf.DUMMYFUNCTION("""COMPUTED_VALUE"""),"Entrada mes anterior")</f>
        <v>Entrada mes anterior</v>
      </c>
      <c r="C837" s="13">
        <f>IFERROR(__xludf.DUMMYFUNCTION("""COMPUTED_VALUE"""),1.0)</f>
        <v>1</v>
      </c>
      <c r="D837" s="13" t="str">
        <f>IFERROR(__xludf.DUMMYFUNCTION("""COMPUTED_VALUE"""),"SEX.")</f>
        <v>SEX.</v>
      </c>
      <c r="E837" s="13">
        <f>IFERROR(__xludf.DUMMYFUNCTION("""COMPUTED_VALUE"""),10.0)</f>
        <v>10</v>
      </c>
      <c r="F837" s="15"/>
      <c r="G837" s="16">
        <f>IFERROR(__xludf.DUMMYFUNCTION("""COMPUTED_VALUE"""),434.36)</f>
        <v>434.36</v>
      </c>
      <c r="H837" s="227"/>
      <c r="I837" s="21" t="str">
        <f>IFERROR(__xludf.DUMMYFUNCTION("""COMPUTED_VALUE"""),"SODEXO-ALI-IBM")</f>
        <v>SODEXO-ALI-IBM</v>
      </c>
      <c r="J837" s="21" t="str">
        <f>IFERROR(__xludf.DUMMYFUNCTION("""COMPUTED_VALUE"""),"#Recebimentos #Ajuste #Variavel")</f>
        <v>#Recebimentos #Ajuste #Variavel</v>
      </c>
      <c r="K837" s="216"/>
      <c r="L837" s="216"/>
      <c r="M837" s="216"/>
      <c r="N837" s="216"/>
      <c r="O837" s="216"/>
      <c r="P837" s="216"/>
      <c r="Q837" s="216"/>
    </row>
    <row r="838">
      <c r="A838" s="11" t="str">
        <f>IFERROR(__xludf.DUMMYFUNCTION("""COMPUTED_VALUE"""),"PAGO")</f>
        <v>PAGO</v>
      </c>
      <c r="B838" s="98" t="str">
        <f>IFERROR(__xludf.DUMMYFUNCTION("""COMPUTED_VALUE"""),"iFood - Pizza Go (gigante 16 pedaços)")</f>
        <v>iFood - Pizza Go (gigante 16 pedaços)</v>
      </c>
      <c r="C838" s="13">
        <f>IFERROR(__xludf.DUMMYFUNCTION("""COMPUTED_VALUE"""),1.0)</f>
        <v>1</v>
      </c>
      <c r="D838" s="13" t="str">
        <f>IFERROR(__xludf.DUMMYFUNCTION("""COMPUTED_VALUE"""),"SEX.")</f>
        <v>SEX.</v>
      </c>
      <c r="E838" s="13">
        <f>IFERROR(__xludf.DUMMYFUNCTION("""COMPUTED_VALUE"""),10.0)</f>
        <v>10</v>
      </c>
      <c r="F838" s="15"/>
      <c r="G838" s="16"/>
      <c r="H838" s="227">
        <f>IFERROR(__xludf.DUMMYFUNCTION("""COMPUTED_VALUE"""),95.5)</f>
        <v>95.5</v>
      </c>
      <c r="I838" s="21" t="str">
        <f>IFERROR(__xludf.DUMMYFUNCTION("""COMPUTED_VALUE"""),"NUBANK")</f>
        <v>NUBANK</v>
      </c>
      <c r="J838" s="21" t="str">
        <f>IFERROR(__xludf.DUMMYFUNCTION("""COMPUTED_VALUE"""),"#Lazer #Comida #Variavel")</f>
        <v>#Lazer #Comida #Variavel</v>
      </c>
      <c r="K838" s="216"/>
      <c r="L838" s="216"/>
      <c r="M838" s="216"/>
      <c r="N838" s="216"/>
      <c r="O838" s="216"/>
      <c r="P838" s="216"/>
      <c r="Q838" s="216"/>
    </row>
    <row r="839">
      <c r="A839" s="11" t="str">
        <f>IFERROR(__xludf.DUMMYFUNCTION("""COMPUTED_VALUE"""),"PAGO")</f>
        <v>PAGO</v>
      </c>
      <c r="B839" s="98" t="str">
        <f>IFERROR(__xludf.DUMMYFUNCTION("""COMPUTED_VALUE"""),"Recarga TIM Cicero 11 948825242")</f>
        <v>Recarga TIM Cicero 11 948825242</v>
      </c>
      <c r="C839" s="13">
        <f>IFERROR(__xludf.DUMMYFUNCTION("""COMPUTED_VALUE"""),2.0)</f>
        <v>2</v>
      </c>
      <c r="D839" s="13" t="str">
        <f>IFERROR(__xludf.DUMMYFUNCTION("""COMPUTED_VALUE"""),"SÁB.")</f>
        <v>SÁB.</v>
      </c>
      <c r="E839" s="13">
        <f>IFERROR(__xludf.DUMMYFUNCTION("""COMPUTED_VALUE"""),10.0)</f>
        <v>10</v>
      </c>
      <c r="F839" s="15"/>
      <c r="G839" s="16"/>
      <c r="H839" s="227">
        <f>IFERROR(__xludf.DUMMYFUNCTION("""COMPUTED_VALUE"""),20.0)</f>
        <v>20</v>
      </c>
      <c r="I839" s="21" t="str">
        <f>IFERROR(__xludf.DUMMYFUNCTION("""COMPUTED_VALUE"""),"NUBANK")</f>
        <v>NUBANK</v>
      </c>
      <c r="J839" s="21" t="str">
        <f>IFERROR(__xludf.DUMMYFUNCTION("""COMPUTED_VALUE"""),"#Variavel #Recarga #TIM ")</f>
        <v>#Variavel #Recarga #TIM </v>
      </c>
      <c r="K839" s="216"/>
      <c r="L839" s="216"/>
      <c r="M839" s="216"/>
      <c r="N839" s="216"/>
      <c r="O839" s="216"/>
      <c r="P839" s="216"/>
      <c r="Q839" s="216"/>
    </row>
    <row r="840">
      <c r="A840" s="11" t="str">
        <f>IFERROR(__xludf.DUMMYFUNCTION("""COMPUTED_VALUE"""),"PAGO")</f>
        <v>PAGO</v>
      </c>
      <c r="B840" s="98" t="str">
        <f>IFERROR(__xludf.DUMMYFUNCTION("""COMPUTED_VALUE"""),"Farma Conde - Andromeda - Manipulação")</f>
        <v>Farma Conde - Andromeda - Manipulação</v>
      </c>
      <c r="C840" s="13">
        <f>IFERROR(__xludf.DUMMYFUNCTION("""COMPUTED_VALUE"""),2.0)</f>
        <v>2</v>
      </c>
      <c r="D840" s="13" t="str">
        <f>IFERROR(__xludf.DUMMYFUNCTION("""COMPUTED_VALUE"""),"SÁB.")</f>
        <v>SÁB.</v>
      </c>
      <c r="E840" s="13">
        <f>IFERROR(__xludf.DUMMYFUNCTION("""COMPUTED_VALUE"""),10.0)</f>
        <v>10</v>
      </c>
      <c r="F840" s="15"/>
      <c r="G840" s="16"/>
      <c r="H840" s="227">
        <f>IFERROR(__xludf.DUMMYFUNCTION("""COMPUTED_VALUE"""),17.37)</f>
        <v>17.37</v>
      </c>
      <c r="I840" s="21" t="str">
        <f>IFERROR(__xludf.DUMMYFUNCTION("""COMPUTED_VALUE"""),"NUBANK")</f>
        <v>NUBANK</v>
      </c>
      <c r="J840" s="21" t="str">
        <f>IFERROR(__xludf.DUMMYFUNCTION("""COMPUTED_VALUE"""),"#Remedios #Carlos #Variavel ")</f>
        <v>#Remedios #Carlos #Variavel </v>
      </c>
      <c r="K840" s="216"/>
      <c r="L840" s="216"/>
      <c r="M840" s="216"/>
      <c r="N840" s="216"/>
      <c r="O840" s="216"/>
      <c r="P840" s="216"/>
      <c r="Q840" s="216"/>
    </row>
    <row r="841">
      <c r="A841" s="11" t="str">
        <f>IFERROR(__xludf.DUMMYFUNCTION("""COMPUTED_VALUE"""),"PAGO")</f>
        <v>PAGO</v>
      </c>
      <c r="B841" s="98" t="str">
        <f>IFERROR(__xludf.DUMMYFUNCTION("""COMPUTED_VALUE"""),"Leroy Merlin SJC - 2 suportes tipo deck para plantas")</f>
        <v>Leroy Merlin SJC - 2 suportes tipo deck para plantas</v>
      </c>
      <c r="C841" s="13">
        <f>IFERROR(__xludf.DUMMYFUNCTION("""COMPUTED_VALUE"""),2.0)</f>
        <v>2</v>
      </c>
      <c r="D841" s="13" t="str">
        <f>IFERROR(__xludf.DUMMYFUNCTION("""COMPUTED_VALUE"""),"SÁB.")</f>
        <v>SÁB.</v>
      </c>
      <c r="E841" s="13">
        <f>IFERROR(__xludf.DUMMYFUNCTION("""COMPUTED_VALUE"""),10.0)</f>
        <v>10</v>
      </c>
      <c r="F841" s="15"/>
      <c r="G841" s="16"/>
      <c r="H841" s="227">
        <f>IFERROR(__xludf.DUMMYFUNCTION("""COMPUTED_VALUE"""),71.8)</f>
        <v>71.8</v>
      </c>
      <c r="I841" s="21" t="str">
        <f>IFERROR(__xludf.DUMMYFUNCTION("""COMPUTED_VALUE"""),"NUBANK")</f>
        <v>NUBANK</v>
      </c>
      <c r="J841" s="21" t="str">
        <f>IFERROR(__xludf.DUMMYFUNCTION("""COMPUTED_VALUE"""),"#Lazer #Moradia #Variavel")</f>
        <v>#Lazer #Moradia #Variavel</v>
      </c>
      <c r="K841" s="216"/>
      <c r="L841" s="216"/>
      <c r="M841" s="216"/>
      <c r="N841" s="216"/>
      <c r="O841" s="216"/>
      <c r="P841" s="216"/>
      <c r="Q841" s="216"/>
    </row>
    <row r="842">
      <c r="A842" s="11" t="str">
        <f>IFERROR(__xludf.DUMMYFUNCTION("""COMPUTED_VALUE"""),"PAGO")</f>
        <v>PAGO</v>
      </c>
      <c r="B842" s="98" t="str">
        <f>IFERROR(__xludf.DUMMYFUNCTION("""COMPUTED_VALUE"""),"Vitela de Prata SJC")</f>
        <v>Vitela de Prata SJC</v>
      </c>
      <c r="C842" s="13">
        <f>IFERROR(__xludf.DUMMYFUNCTION("""COMPUTED_VALUE"""),3.0)</f>
        <v>3</v>
      </c>
      <c r="D842" s="13" t="str">
        <f>IFERROR(__xludf.DUMMYFUNCTION("""COMPUTED_VALUE"""),"DOM.")</f>
        <v>DOM.</v>
      </c>
      <c r="E842" s="13">
        <f>IFERROR(__xludf.DUMMYFUNCTION("""COMPUTED_VALUE"""),10.0)</f>
        <v>10</v>
      </c>
      <c r="F842" s="15"/>
      <c r="G842" s="16"/>
      <c r="H842" s="227">
        <f>IFERROR(__xludf.DUMMYFUNCTION("""COMPUTED_VALUE"""),61.28)</f>
        <v>61.28</v>
      </c>
      <c r="I842" s="21" t="str">
        <f>IFERROR(__xludf.DUMMYFUNCTION("""COMPUTED_VALUE"""),"SODEXO-ALI-IBM")</f>
        <v>SODEXO-ALI-IBM</v>
      </c>
      <c r="J842" s="21" t="str">
        <f>IFERROR(__xludf.DUMMYFUNCTION("""COMPUTED_VALUE"""),"#Lazer #Comida #Variavel")</f>
        <v>#Lazer #Comida #Variavel</v>
      </c>
      <c r="K842" s="216"/>
      <c r="L842" s="216"/>
      <c r="M842" s="216"/>
      <c r="N842" s="216"/>
      <c r="O842" s="216"/>
      <c r="P842" s="216"/>
      <c r="Q842" s="216"/>
    </row>
    <row r="843">
      <c r="A843" s="11" t="str">
        <f>IFERROR(__xludf.DUMMYFUNCTION("""COMPUTED_VALUE"""),"CONTAS")</f>
        <v>CONTAS</v>
      </c>
      <c r="B843" s="98" t="str">
        <f>IFERROR(__xludf.DUMMYFUNCTION("""COMPUTED_VALUE"""),"Transferencia via PIX")</f>
        <v>Transferencia via PIX</v>
      </c>
      <c r="C843" s="13">
        <f>IFERROR(__xludf.DUMMYFUNCTION("""COMPUTED_VALUE"""),3.0)</f>
        <v>3</v>
      </c>
      <c r="D843" s="13" t="str">
        <f>IFERROR(__xludf.DUMMYFUNCTION("""COMPUTED_VALUE"""),"DOM.")</f>
        <v>DOM.</v>
      </c>
      <c r="E843" s="13">
        <f>IFERROR(__xludf.DUMMYFUNCTION("""COMPUTED_VALUE"""),10.0)</f>
        <v>10</v>
      </c>
      <c r="F843" s="15"/>
      <c r="G843" s="16"/>
      <c r="H843" s="227">
        <f>IFERROR(__xludf.DUMMYFUNCTION("""COMPUTED_VALUE"""),400.0)</f>
        <v>400</v>
      </c>
      <c r="I843" s="21" t="str">
        <f>IFERROR(__xludf.DUMMYFUNCTION("""COMPUTED_VALUE"""),"NUBANK")</f>
        <v>NUBANK</v>
      </c>
      <c r="J843" s="21"/>
      <c r="K843" s="216"/>
      <c r="L843" s="216"/>
      <c r="M843" s="216"/>
      <c r="N843" s="216"/>
      <c r="O843" s="216"/>
      <c r="P843" s="216"/>
      <c r="Q843" s="216"/>
    </row>
    <row r="844">
      <c r="A844" s="11" t="str">
        <f>IFERROR(__xludf.DUMMYFUNCTION("""COMPUTED_VALUE"""),"CONTAS")</f>
        <v>CONTAS</v>
      </c>
      <c r="B844" s="98" t="str">
        <f>IFERROR(__xludf.DUMMYFUNCTION("""COMPUTED_VALUE"""),"Recebimento via PIX")</f>
        <v>Recebimento via PIX</v>
      </c>
      <c r="C844" s="13">
        <f>IFERROR(__xludf.DUMMYFUNCTION("""COMPUTED_VALUE"""),3.0)</f>
        <v>3</v>
      </c>
      <c r="D844" s="13" t="str">
        <f>IFERROR(__xludf.DUMMYFUNCTION("""COMPUTED_VALUE"""),"DOM.")</f>
        <v>DOM.</v>
      </c>
      <c r="E844" s="13">
        <f>IFERROR(__xludf.DUMMYFUNCTION("""COMPUTED_VALUE"""),10.0)</f>
        <v>10</v>
      </c>
      <c r="F844" s="15"/>
      <c r="G844" s="16">
        <f>IFERROR(__xludf.DUMMYFUNCTION("""COMPUTED_VALUE"""),400.0)</f>
        <v>400</v>
      </c>
      <c r="H844" s="227"/>
      <c r="I844" s="21" t="str">
        <f>IFERROR(__xludf.DUMMYFUNCTION("""COMPUTED_VALUE"""),"ITAU")</f>
        <v>ITAU</v>
      </c>
      <c r="J844" s="21"/>
      <c r="K844" s="216"/>
      <c r="L844" s="216"/>
      <c r="M844" s="216"/>
      <c r="N844" s="216"/>
      <c r="O844" s="216"/>
      <c r="P844" s="216"/>
      <c r="Q844" s="216"/>
    </row>
    <row r="845">
      <c r="A845" s="11" t="str">
        <f>IFERROR(__xludf.DUMMYFUNCTION("""COMPUTED_VALUE"""),"PAGO")</f>
        <v>PAGO</v>
      </c>
      <c r="B845" s="98" t="str">
        <f>IFERROR(__xludf.DUMMYFUNCTION("""COMPUTED_VALUE"""),"Shibata")</f>
        <v>Shibata</v>
      </c>
      <c r="C845" s="13">
        <f>IFERROR(__xludf.DUMMYFUNCTION("""COMPUTED_VALUE"""),4.0)</f>
        <v>4</v>
      </c>
      <c r="D845" s="13" t="str">
        <f>IFERROR(__xludf.DUMMYFUNCTION("""COMPUTED_VALUE"""),"SEG.")</f>
        <v>SEG.</v>
      </c>
      <c r="E845" s="13">
        <f>IFERROR(__xludf.DUMMYFUNCTION("""COMPUTED_VALUE"""),10.0)</f>
        <v>10</v>
      </c>
      <c r="F845" s="15"/>
      <c r="G845" s="16"/>
      <c r="H845" s="227">
        <f>IFERROR(__xludf.DUMMYFUNCTION("""COMPUTED_VALUE"""),132.63)</f>
        <v>132.63</v>
      </c>
      <c r="I845" s="21" t="str">
        <f>IFERROR(__xludf.DUMMYFUNCTION("""COMPUTED_VALUE"""),"SODEXO-ALI-IBM")</f>
        <v>SODEXO-ALI-IBM</v>
      </c>
      <c r="J845" s="21" t="str">
        <f>IFERROR(__xludf.DUMMYFUNCTION("""COMPUTED_VALUE"""),"#Moradia #Essencial #Mercado #Variavel #Alimentação ")</f>
        <v>#Moradia #Essencial #Mercado #Variavel #Alimentação </v>
      </c>
      <c r="K845" s="216"/>
      <c r="L845" s="216"/>
      <c r="M845" s="216"/>
      <c r="N845" s="216"/>
      <c r="O845" s="216"/>
      <c r="P845" s="216"/>
      <c r="Q845" s="216"/>
    </row>
    <row r="846">
      <c r="A846" s="11" t="str">
        <f>IFERROR(__xludf.DUMMYFUNCTION("""COMPUTED_VALUE"""),"PAGO")</f>
        <v>PAGO</v>
      </c>
      <c r="B846" s="98" t="str">
        <f>IFERROR(__xludf.DUMMYFUNCTION("""COMPUTED_VALUE"""),"Psicologa - Kelley Nascimento (para Roberta) PIX 31993029435")</f>
        <v>Psicologa - Kelley Nascimento (para Roberta) PIX 31993029435</v>
      </c>
      <c r="C846" s="13">
        <f>IFERROR(__xludf.DUMMYFUNCTION("""COMPUTED_VALUE"""),5.0)</f>
        <v>5</v>
      </c>
      <c r="D846" s="13" t="str">
        <f>IFERROR(__xludf.DUMMYFUNCTION("""COMPUTED_VALUE"""),"TER.")</f>
        <v>TER.</v>
      </c>
      <c r="E846" s="13">
        <f>IFERROR(__xludf.DUMMYFUNCTION("""COMPUTED_VALUE"""),10.0)</f>
        <v>10</v>
      </c>
      <c r="F846" s="15">
        <f>IFERROR(__xludf.DUMMYFUNCTION("""COMPUTED_VALUE"""),44473.0)</f>
        <v>44473</v>
      </c>
      <c r="G846" s="16"/>
      <c r="H846" s="227">
        <f>IFERROR(__xludf.DUMMYFUNCTION("""COMPUTED_VALUE"""),400.0)</f>
        <v>400</v>
      </c>
      <c r="I846" s="21" t="str">
        <f>IFERROR(__xludf.DUMMYFUNCTION("""COMPUTED_VALUE"""),"NUBANK")</f>
        <v>NUBANK</v>
      </c>
      <c r="J846" s="21" t="str">
        <f>IFERROR(__xludf.DUMMYFUNCTION("""COMPUTED_VALUE"""),"#Psicologa #Fixo #Roberta")</f>
        <v>#Psicologa #Fixo #Roberta</v>
      </c>
      <c r="K846" s="216"/>
      <c r="L846" s="216"/>
      <c r="M846" s="216"/>
      <c r="N846" s="216"/>
      <c r="O846" s="216"/>
      <c r="P846" s="216"/>
      <c r="Q846" s="216"/>
    </row>
    <row r="847">
      <c r="A847" s="11" t="str">
        <f>IFERROR(__xludf.DUMMYFUNCTION("""COMPUTED_VALUE"""),"PAGO")</f>
        <v>PAGO</v>
      </c>
      <c r="B847" s="98" t="str">
        <f>IFERROR(__xludf.DUMMYFUNCTION("""COMPUTED_VALUE"""),"Aniversario Sarah ITAU")</f>
        <v>Aniversario Sarah ITAU</v>
      </c>
      <c r="C847" s="13">
        <f>IFERROR(__xludf.DUMMYFUNCTION("""COMPUTED_VALUE"""),5.0)</f>
        <v>5</v>
      </c>
      <c r="D847" s="13" t="str">
        <f>IFERROR(__xludf.DUMMYFUNCTION("""COMPUTED_VALUE"""),"TER.")</f>
        <v>TER.</v>
      </c>
      <c r="E847" s="13">
        <f>IFERROR(__xludf.DUMMYFUNCTION("""COMPUTED_VALUE"""),10.0)</f>
        <v>10</v>
      </c>
      <c r="F847" s="15"/>
      <c r="G847" s="16"/>
      <c r="H847" s="227">
        <f>IFERROR(__xludf.DUMMYFUNCTION("""COMPUTED_VALUE"""),8.69)</f>
        <v>8.69</v>
      </c>
      <c r="I847" s="21" t="str">
        <f>IFERROR(__xludf.DUMMYFUNCTION("""COMPUTED_VALUE"""),"NUBANK")</f>
        <v>NUBANK</v>
      </c>
      <c r="J847" s="21" t="str">
        <f>IFERROR(__xludf.DUMMYFUNCTION("""COMPUTED_VALUE"""),"#Lazer #Comida #Variavel")</f>
        <v>#Lazer #Comida #Variavel</v>
      </c>
      <c r="K847" s="216"/>
      <c r="L847" s="216"/>
      <c r="M847" s="216"/>
      <c r="N847" s="216"/>
      <c r="O847" s="216"/>
      <c r="P847" s="216"/>
      <c r="Q847" s="216"/>
    </row>
    <row r="848">
      <c r="A848" s="11" t="str">
        <f>IFERROR(__xludf.DUMMYFUNCTION("""COMPUTED_VALUE"""),"PAGO")</f>
        <v>PAGO</v>
      </c>
      <c r="B848" s="98" t="str">
        <f>IFERROR(__xludf.DUMMYFUNCTION("""COMPUTED_VALUE"""),"Aluguel de Itaquera - Joice")</f>
        <v>Aluguel de Itaquera - Joice</v>
      </c>
      <c r="C848" s="13">
        <f>IFERROR(__xludf.DUMMYFUNCTION("""COMPUTED_VALUE"""),6.0)</f>
        <v>6</v>
      </c>
      <c r="D848" s="13" t="str">
        <f>IFERROR(__xludf.DUMMYFUNCTION("""COMPUTED_VALUE"""),"QUA.")</f>
        <v>QUA.</v>
      </c>
      <c r="E848" s="13">
        <f>IFERROR(__xludf.DUMMYFUNCTION("""COMPUTED_VALUE"""),10.0)</f>
        <v>10</v>
      </c>
      <c r="F848" s="15"/>
      <c r="G848" s="16">
        <f>IFERROR(__xludf.DUMMYFUNCTION("""COMPUTED_VALUE"""),500.0)</f>
        <v>500</v>
      </c>
      <c r="H848" s="227"/>
      <c r="I848" s="21" t="str">
        <f>IFERROR(__xludf.DUMMYFUNCTION("""COMPUTED_VALUE"""),"NUBANK")</f>
        <v>NUBANK</v>
      </c>
      <c r="J848" s="21" t="str">
        <f>IFERROR(__xludf.DUMMYFUNCTION("""COMPUTED_VALUE"""),"#Recebimentos #Aluguel #Itaquera #Variavel")</f>
        <v>#Recebimentos #Aluguel #Itaquera #Variavel</v>
      </c>
      <c r="K848" s="216"/>
      <c r="L848" s="216"/>
      <c r="M848" s="216"/>
      <c r="N848" s="216"/>
      <c r="O848" s="216"/>
      <c r="P848" s="216"/>
      <c r="Q848" s="216"/>
    </row>
    <row r="849">
      <c r="A849" s="11" t="str">
        <f>IFERROR(__xludf.DUMMYFUNCTION("""COMPUTED_VALUE"""),"PAGO")</f>
        <v>PAGO</v>
      </c>
      <c r="B849" s="98" t="str">
        <f>IFERROR(__xludf.DUMMYFUNCTION("""COMPUTED_VALUE"""),"Transferencia via PIX - Roberta (aluguel)")</f>
        <v>Transferencia via PIX - Roberta (aluguel)</v>
      </c>
      <c r="C849" s="13">
        <f>IFERROR(__xludf.DUMMYFUNCTION("""COMPUTED_VALUE"""),6.0)</f>
        <v>6</v>
      </c>
      <c r="D849" s="13" t="str">
        <f>IFERROR(__xludf.DUMMYFUNCTION("""COMPUTED_VALUE"""),"QUA.")</f>
        <v>QUA.</v>
      </c>
      <c r="E849" s="13">
        <f>IFERROR(__xludf.DUMMYFUNCTION("""COMPUTED_VALUE"""),10.0)</f>
        <v>10</v>
      </c>
      <c r="F849" s="15"/>
      <c r="G849" s="16"/>
      <c r="H849" s="227">
        <f>IFERROR(__xludf.DUMMYFUNCTION("""COMPUTED_VALUE"""),500.0)</f>
        <v>500</v>
      </c>
      <c r="I849" s="21" t="str">
        <f>IFERROR(__xludf.DUMMYFUNCTION("""COMPUTED_VALUE"""),"NUBANK")</f>
        <v>NUBANK</v>
      </c>
      <c r="J849" s="21" t="str">
        <f>IFERROR(__xludf.DUMMYFUNCTION("""COMPUTED_VALUE"""),"#Roberta #Aluguel #Itaquera #Variavel")</f>
        <v>#Roberta #Aluguel #Itaquera #Variavel</v>
      </c>
      <c r="K849" s="216"/>
      <c r="L849" s="216"/>
      <c r="M849" s="216"/>
      <c r="N849" s="216"/>
      <c r="O849" s="216"/>
      <c r="P849" s="216"/>
      <c r="Q849" s="216"/>
    </row>
    <row r="850">
      <c r="A850" s="11" t="str">
        <f>IFERROR(__xludf.DUMMYFUNCTION("""COMPUTED_VALUE"""),"PAGO")</f>
        <v>PAGO</v>
      </c>
      <c r="B850" s="98" t="str">
        <f>IFERROR(__xludf.DUMMYFUNCTION("""COMPUTED_VALUE"""),"Coaching / Psicologa - Candice Oliveira")</f>
        <v>Coaching / Psicologa - Candice Oliveira</v>
      </c>
      <c r="C850" s="13">
        <f>IFERROR(__xludf.DUMMYFUNCTION("""COMPUTED_VALUE"""),6.0)</f>
        <v>6</v>
      </c>
      <c r="D850" s="13" t="str">
        <f>IFERROR(__xludf.DUMMYFUNCTION("""COMPUTED_VALUE"""),"QUA.")</f>
        <v>QUA.</v>
      </c>
      <c r="E850" s="13">
        <f>IFERROR(__xludf.DUMMYFUNCTION("""COMPUTED_VALUE"""),10.0)</f>
        <v>10</v>
      </c>
      <c r="F850" s="15"/>
      <c r="G850" s="16"/>
      <c r="H850" s="227">
        <f>IFERROR(__xludf.DUMMYFUNCTION("""COMPUTED_VALUE"""),100.0)</f>
        <v>100</v>
      </c>
      <c r="I850" s="21" t="str">
        <f>IFERROR(__xludf.DUMMYFUNCTION("""COMPUTED_VALUE"""),"NUBANK")</f>
        <v>NUBANK</v>
      </c>
      <c r="J850" s="21" t="str">
        <f>IFERROR(__xludf.DUMMYFUNCTION("""COMPUTED_VALUE"""),"#Coaching #Fixo")</f>
        <v>#Coaching #Fixo</v>
      </c>
      <c r="K850" s="216"/>
      <c r="L850" s="216"/>
      <c r="M850" s="216"/>
      <c r="N850" s="216"/>
      <c r="O850" s="216"/>
      <c r="P850" s="216"/>
      <c r="Q850" s="216"/>
    </row>
    <row r="851">
      <c r="A851" s="11" t="str">
        <f>IFERROR(__xludf.DUMMYFUNCTION("""COMPUTED_VALUE"""),"PAGO")</f>
        <v>PAGO</v>
      </c>
      <c r="B851" s="98" t="str">
        <f>IFERROR(__xludf.DUMMYFUNCTION("""COMPUTED_VALUE"""),"Rendimento")</f>
        <v>Rendimento</v>
      </c>
      <c r="C851" s="13">
        <f>IFERROR(__xludf.DUMMYFUNCTION("""COMPUTED_VALUE"""),7.0)</f>
        <v>7</v>
      </c>
      <c r="D851" s="13" t="str">
        <f>IFERROR(__xludf.DUMMYFUNCTION("""COMPUTED_VALUE"""),"QUI.")</f>
        <v>QUI.</v>
      </c>
      <c r="E851" s="13">
        <f>IFERROR(__xludf.DUMMYFUNCTION("""COMPUTED_VALUE"""),10.0)</f>
        <v>10</v>
      </c>
      <c r="F851" s="15"/>
      <c r="G851" s="16">
        <f>IFERROR(__xludf.DUMMYFUNCTION("""COMPUTED_VALUE"""),13.77)</f>
        <v>13.77</v>
      </c>
      <c r="H851" s="227"/>
      <c r="I851" s="21" t="str">
        <f>IFERROR(__xludf.DUMMYFUNCTION("""COMPUTED_VALUE"""),"NUBANK")</f>
        <v>NUBANK</v>
      </c>
      <c r="J851" s="21" t="str">
        <f>IFERROR(__xludf.DUMMYFUNCTION("""COMPUTED_VALUE"""),"#Recebimentos #Rendimentos #Variavel")</f>
        <v>#Recebimentos #Rendimentos #Variavel</v>
      </c>
      <c r="K851" s="216"/>
      <c r="L851" s="216"/>
      <c r="M851" s="216"/>
      <c r="N851" s="216"/>
      <c r="O851" s="216"/>
      <c r="P851" s="216"/>
      <c r="Q851" s="216"/>
    </row>
    <row r="852">
      <c r="A852" s="11" t="str">
        <f>IFERROR(__xludf.DUMMYFUNCTION("""COMPUTED_VALUE"""),"PAGO")</f>
        <v>PAGO</v>
      </c>
      <c r="B852" s="98" t="str">
        <f>IFERROR(__xludf.DUMMYFUNCTION("""COMPUTED_VALUE"""),"Shibata - clique e retire")</f>
        <v>Shibata - clique e retire</v>
      </c>
      <c r="C852" s="13">
        <f>IFERROR(__xludf.DUMMYFUNCTION("""COMPUTED_VALUE"""),7.0)</f>
        <v>7</v>
      </c>
      <c r="D852" s="13" t="str">
        <f>IFERROR(__xludf.DUMMYFUNCTION("""COMPUTED_VALUE"""),"QUI.")</f>
        <v>QUI.</v>
      </c>
      <c r="E852" s="13">
        <f>IFERROR(__xludf.DUMMYFUNCTION("""COMPUTED_VALUE"""),10.0)</f>
        <v>10</v>
      </c>
      <c r="F852" s="15"/>
      <c r="G852" s="16"/>
      <c r="H852" s="227">
        <f>IFERROR(__xludf.DUMMYFUNCTION("""COMPUTED_VALUE"""),183.53)</f>
        <v>183.53</v>
      </c>
      <c r="I852" s="21" t="str">
        <f>IFERROR(__xludf.DUMMYFUNCTION("""COMPUTED_VALUE"""),"SODEXO-REF-IBM")</f>
        <v>SODEXO-REF-IBM</v>
      </c>
      <c r="J852" s="21" t="str">
        <f>IFERROR(__xludf.DUMMYFUNCTION("""COMPUTED_VALUE"""),"#Moradia #Essencial #Mercado #Variavel #Alimentação ")</f>
        <v>#Moradia #Essencial #Mercado #Variavel #Alimentação </v>
      </c>
      <c r="K852" s="216"/>
      <c r="L852" s="216"/>
      <c r="M852" s="216"/>
      <c r="N852" s="216"/>
      <c r="O852" s="216"/>
      <c r="P852" s="216"/>
      <c r="Q852" s="216"/>
    </row>
    <row r="853">
      <c r="A853" s="11" t="str">
        <f>IFERROR(__xludf.DUMMYFUNCTION("""COMPUTED_VALUE"""),"PAGO")</f>
        <v>PAGO</v>
      </c>
      <c r="B853" s="98" t="str">
        <f>IFERROR(__xludf.DUMMYFUNCTION("""COMPUTED_VALUE"""),"Shibata")</f>
        <v>Shibata</v>
      </c>
      <c r="C853" s="13">
        <f>IFERROR(__xludf.DUMMYFUNCTION("""COMPUTED_VALUE"""),7.0)</f>
        <v>7</v>
      </c>
      <c r="D853" s="13" t="str">
        <f>IFERROR(__xludf.DUMMYFUNCTION("""COMPUTED_VALUE"""),"QUI.")</f>
        <v>QUI.</v>
      </c>
      <c r="E853" s="13">
        <f>IFERROR(__xludf.DUMMYFUNCTION("""COMPUTED_VALUE"""),10.0)</f>
        <v>10</v>
      </c>
      <c r="F853" s="15"/>
      <c r="G853" s="16"/>
      <c r="H853" s="227">
        <f>IFERROR(__xludf.DUMMYFUNCTION("""COMPUTED_VALUE"""),43.37)</f>
        <v>43.37</v>
      </c>
      <c r="I853" s="21" t="str">
        <f>IFERROR(__xludf.DUMMYFUNCTION("""COMPUTED_VALUE"""),"SODEXO-REF-IBM")</f>
        <v>SODEXO-REF-IBM</v>
      </c>
      <c r="J853" s="21" t="str">
        <f>IFERROR(__xludf.DUMMYFUNCTION("""COMPUTED_VALUE"""),"#Moradia #Essencial #Mercado #Variavel #Alimentação ")</f>
        <v>#Moradia #Essencial #Mercado #Variavel #Alimentação </v>
      </c>
      <c r="K853" s="216"/>
      <c r="L853" s="216"/>
      <c r="M853" s="216"/>
      <c r="N853" s="216"/>
      <c r="O853" s="216"/>
      <c r="P853" s="216"/>
      <c r="Q853" s="216"/>
    </row>
    <row r="854">
      <c r="A854" s="11" t="str">
        <f>IFERROR(__xludf.DUMMYFUNCTION("""COMPUTED_VALUE"""),"PAGO")</f>
        <v>PAGO</v>
      </c>
      <c r="B854" s="98" t="str">
        <f>IFERROR(__xludf.DUMMYFUNCTION("""COMPUTED_VALUE"""),"Cartao Roberta")</f>
        <v>Cartao Roberta</v>
      </c>
      <c r="C854" s="13">
        <f>IFERROR(__xludf.DUMMYFUNCTION("""COMPUTED_VALUE"""),8.0)</f>
        <v>8</v>
      </c>
      <c r="D854" s="13" t="str">
        <f>IFERROR(__xludf.DUMMYFUNCTION("""COMPUTED_VALUE"""),"SEX.")</f>
        <v>SEX.</v>
      </c>
      <c r="E854" s="13">
        <f>IFERROR(__xludf.DUMMYFUNCTION("""COMPUTED_VALUE"""),10.0)</f>
        <v>10</v>
      </c>
      <c r="F854" s="15"/>
      <c r="G854" s="16"/>
      <c r="H854" s="227">
        <f>IFERROR(__xludf.DUMMYFUNCTION("""COMPUTED_VALUE"""),594.0100000000001)</f>
        <v>594.01</v>
      </c>
      <c r="I854" s="21" t="str">
        <f>IFERROR(__xludf.DUMMYFUNCTION("""COMPUTED_VALUE"""),"NUBANK")</f>
        <v>NUBANK</v>
      </c>
      <c r="J854" s="21"/>
      <c r="K854" s="216"/>
      <c r="L854" s="216"/>
      <c r="M854" s="216"/>
      <c r="N854" s="216"/>
      <c r="O854" s="216"/>
      <c r="P854" s="216"/>
      <c r="Q854" s="216"/>
    </row>
    <row r="855">
      <c r="A855" s="11" t="str">
        <f>IFERROR(__xludf.DUMMYFUNCTION("""COMPUTED_VALUE"""),"CREDITO")</f>
        <v>CREDITO</v>
      </c>
      <c r="B855" s="98" t="str">
        <f>IFERROR(__xludf.DUMMYFUNCTION("""COMPUTED_VALUE"""),"LOJA VIRTUAL TORRAO - VESTUARIO 01/02")</f>
        <v>LOJA VIRTUAL TORRAO - VESTUARIO 01/02</v>
      </c>
      <c r="C855" s="13"/>
      <c r="D855" s="13"/>
      <c r="E855" s="13">
        <f>IFERROR(__xludf.DUMMYFUNCTION("""COMPUTED_VALUE"""),10.0)</f>
        <v>10</v>
      </c>
      <c r="F855" s="15">
        <f>IFERROR(__xludf.DUMMYFUNCTION("""COMPUTED_VALUE"""),44410.0)</f>
        <v>44410</v>
      </c>
      <c r="G855" s="16"/>
      <c r="H855" s="227">
        <f>IFERROR(__xludf.DUMMYFUNCTION("""COMPUTED_VALUE"""),58.94)</f>
        <v>58.94</v>
      </c>
      <c r="I855" s="21"/>
      <c r="J855" s="21" t="str">
        <f>IFERROR(__xludf.DUMMYFUNCTION("""COMPUTED_VALUE"""),"#CartaoDeCredito #Roberta #Variavel #Carlos #Eduardo")</f>
        <v>#CartaoDeCredito #Roberta #Variavel #Carlos #Eduardo</v>
      </c>
      <c r="K855" s="216"/>
      <c r="L855" s="216"/>
      <c r="M855" s="216"/>
      <c r="N855" s="216"/>
      <c r="O855" s="216"/>
      <c r="P855" s="216"/>
      <c r="Q855" s="216"/>
    </row>
    <row r="856">
      <c r="A856" s="11" t="str">
        <f>IFERROR(__xludf.DUMMYFUNCTION("""COMPUTED_VALUE"""),"CREDITO")</f>
        <v>CREDITO</v>
      </c>
      <c r="B856" s="98" t="str">
        <f>IFERROR(__xludf.DUMMYFUNCTION("""COMPUTED_VALUE"""),"EBANX SHOPPE - DIVERSOS CURITIBA")</f>
        <v>EBANX SHOPPE - DIVERSOS CURITIBA</v>
      </c>
      <c r="C856" s="13"/>
      <c r="D856" s="13"/>
      <c r="E856" s="13">
        <f>IFERROR(__xludf.DUMMYFUNCTION("""COMPUTED_VALUE"""),10.0)</f>
        <v>10</v>
      </c>
      <c r="F856" s="15">
        <f>IFERROR(__xludf.DUMMYFUNCTION("""COMPUTED_VALUE"""),44434.0)</f>
        <v>44434</v>
      </c>
      <c r="G856" s="16"/>
      <c r="H856" s="227">
        <f>IFERROR(__xludf.DUMMYFUNCTION("""COMPUTED_VALUE"""),166.42)</f>
        <v>166.42</v>
      </c>
      <c r="I856" s="21"/>
      <c r="J856" s="21" t="str">
        <f>IFERROR(__xludf.DUMMYFUNCTION("""COMPUTED_VALUE"""),"#CartaoDeCredito #Roberta #Variavel #Carlos #Eduardo")</f>
        <v>#CartaoDeCredito #Roberta #Variavel #Carlos #Eduardo</v>
      </c>
      <c r="K856" s="216"/>
      <c r="L856" s="216"/>
      <c r="M856" s="216"/>
      <c r="N856" s="216"/>
      <c r="O856" s="216"/>
      <c r="P856" s="216"/>
      <c r="Q856" s="216"/>
    </row>
    <row r="857">
      <c r="A857" s="11" t="str">
        <f>IFERROR(__xludf.DUMMYFUNCTION("""COMPUTED_VALUE"""),"CREDITO")</f>
        <v>CREDITO</v>
      </c>
      <c r="B857" s="98" t="str">
        <f>IFERROR(__xludf.DUMMYFUNCTION("""COMPUTED_VALUE"""),"SERVICOS CLARO 11994991122")</f>
        <v>SERVICOS CLARO 11994991122</v>
      </c>
      <c r="C857" s="13"/>
      <c r="D857" s="13"/>
      <c r="E857" s="13">
        <f>IFERROR(__xludf.DUMMYFUNCTION("""COMPUTED_VALUE"""),10.0)</f>
        <v>10</v>
      </c>
      <c r="F857" s="15">
        <f>IFERROR(__xludf.DUMMYFUNCTION("""COMPUTED_VALUE"""),44438.0)</f>
        <v>44438</v>
      </c>
      <c r="G857" s="16"/>
      <c r="H857" s="227">
        <f>IFERROR(__xludf.DUMMYFUNCTION("""COMPUTED_VALUE"""),10.0)</f>
        <v>10</v>
      </c>
      <c r="I857" s="21"/>
      <c r="J857" s="21" t="str">
        <f>IFERROR(__xludf.DUMMYFUNCTION("""COMPUTED_VALUE"""),"#CartaoDeCredito #Roberta #Variavel #Carlos #Eduardo")</f>
        <v>#CartaoDeCredito #Roberta #Variavel #Carlos #Eduardo</v>
      </c>
      <c r="K857" s="216"/>
      <c r="L857" s="216"/>
      <c r="M857" s="216"/>
      <c r="N857" s="216"/>
      <c r="O857" s="216"/>
      <c r="P857" s="216"/>
      <c r="Q857" s="216"/>
    </row>
    <row r="858">
      <c r="A858" s="11" t="str">
        <f>IFERROR(__xludf.DUMMYFUNCTION("""COMPUTED_VALUE"""),"CREDITO")</f>
        <v>CREDITO</v>
      </c>
      <c r="B858" s="98" t="str">
        <f>IFERROR(__xludf.DUMMYFUNCTION("""COMPUTED_VALUE"""),"SPITI DIVERSOS .SAO PAULO")</f>
        <v>SPITI DIVERSOS .SAO PAULO</v>
      </c>
      <c r="C858" s="13"/>
      <c r="D858" s="13"/>
      <c r="E858" s="13">
        <f>IFERROR(__xludf.DUMMYFUNCTION("""COMPUTED_VALUE"""),10.0)</f>
        <v>10</v>
      </c>
      <c r="F858" s="15">
        <f>IFERROR(__xludf.DUMMYFUNCTION("""COMPUTED_VALUE"""),44440.0)</f>
        <v>44440</v>
      </c>
      <c r="G858" s="16"/>
      <c r="H858" s="227">
        <f>IFERROR(__xludf.DUMMYFUNCTION("""COMPUTED_VALUE"""),1.0)</f>
        <v>1</v>
      </c>
      <c r="I858" s="21"/>
      <c r="J858" s="21" t="str">
        <f>IFERROR(__xludf.DUMMYFUNCTION("""COMPUTED_VALUE"""),"#CartaoDeCredito #Roberta #Variavel")</f>
        <v>#CartaoDeCredito #Roberta #Variavel</v>
      </c>
      <c r="K858" s="216"/>
      <c r="L858" s="216"/>
      <c r="M858" s="216"/>
      <c r="N858" s="216"/>
      <c r="O858" s="216"/>
      <c r="P858" s="216"/>
      <c r="Q858" s="216"/>
    </row>
    <row r="859">
      <c r="A859" s="11" t="str">
        <f>IFERROR(__xludf.DUMMYFUNCTION("""COMPUTED_VALUE"""),"CREDITO")</f>
        <v>CREDITO</v>
      </c>
      <c r="B859" s="98" t="str">
        <f>IFERROR(__xludf.DUMMYFUNCTION("""COMPUTED_VALUE"""),"FARMACONDE - SAUDE.SAUDE SAO JOSE DOS")</f>
        <v>FARMACONDE - SAUDE.SAUDE SAO JOSE DOS</v>
      </c>
      <c r="C859" s="13"/>
      <c r="D859" s="13"/>
      <c r="E859" s="13">
        <f>IFERROR(__xludf.DUMMYFUNCTION("""COMPUTED_VALUE"""),10.0)</f>
        <v>10</v>
      </c>
      <c r="F859" s="15">
        <f>IFERROR(__xludf.DUMMYFUNCTION("""COMPUTED_VALUE"""),44440.0)</f>
        <v>44440</v>
      </c>
      <c r="G859" s="16"/>
      <c r="H859" s="227">
        <f>IFERROR(__xludf.DUMMYFUNCTION("""COMPUTED_VALUE"""),40.0)</f>
        <v>40</v>
      </c>
      <c r="I859" s="21"/>
      <c r="J859" s="21" t="str">
        <f>IFERROR(__xludf.DUMMYFUNCTION("""COMPUTED_VALUE"""),"#CartaoDeCredito #Roberta #Variavel #Carlos #Eduardo")</f>
        <v>#CartaoDeCredito #Roberta #Variavel #Carlos #Eduardo</v>
      </c>
      <c r="K859" s="216"/>
      <c r="L859" s="216"/>
      <c r="M859" s="216"/>
      <c r="N859" s="216"/>
      <c r="O859" s="216"/>
      <c r="P859" s="216"/>
      <c r="Q859" s="216"/>
    </row>
    <row r="860">
      <c r="A860" s="11" t="str">
        <f>IFERROR(__xludf.DUMMYFUNCTION("""COMPUTED_VALUE"""),"CREDITO")</f>
        <v>CREDITO</v>
      </c>
      <c r="B860" s="98" t="str">
        <f>IFERROR(__xludf.DUMMYFUNCTION("""COMPUTED_VALUE"""),"EBANX SHOPPE - DIVERSOS CURITIBA")</f>
        <v>EBANX SHOPPE - DIVERSOS CURITIBA</v>
      </c>
      <c r="C860" s="13"/>
      <c r="D860" s="13"/>
      <c r="E860" s="13">
        <f>IFERROR(__xludf.DUMMYFUNCTION("""COMPUTED_VALUE"""),10.0)</f>
        <v>10</v>
      </c>
      <c r="F860" s="15">
        <f>IFERROR(__xludf.DUMMYFUNCTION("""COMPUTED_VALUE"""),44441.0)</f>
        <v>44441</v>
      </c>
      <c r="G860" s="16"/>
      <c r="H860" s="227">
        <f>IFERROR(__xludf.DUMMYFUNCTION("""COMPUTED_VALUE"""),89.9)</f>
        <v>89.9</v>
      </c>
      <c r="I860" s="21"/>
      <c r="J860" s="21" t="str">
        <f>IFERROR(__xludf.DUMMYFUNCTION("""COMPUTED_VALUE"""),"#CartaoDeCredito #Roberta #Variavel #Carlos #Eduardo")</f>
        <v>#CartaoDeCredito #Roberta #Variavel #Carlos #Eduardo</v>
      </c>
      <c r="K860" s="216"/>
      <c r="L860" s="216"/>
      <c r="M860" s="216"/>
      <c r="N860" s="216"/>
      <c r="O860" s="216"/>
      <c r="P860" s="216"/>
      <c r="Q860" s="216"/>
    </row>
    <row r="861">
      <c r="A861" s="11" t="str">
        <f>IFERROR(__xludf.DUMMYFUNCTION("""COMPUTED_VALUE"""),"CREDITO")</f>
        <v>CREDITO</v>
      </c>
      <c r="B861" s="98" t="str">
        <f>IFERROR(__xludf.DUMMYFUNCTION("""COMPUTED_VALUE"""),"EBANX SHOPPE - DIVERSOS CURITIBA")</f>
        <v>EBANX SHOPPE - DIVERSOS CURITIBA</v>
      </c>
      <c r="C861" s="13"/>
      <c r="D861" s="13"/>
      <c r="E861" s="13">
        <f>IFERROR(__xludf.DUMMYFUNCTION("""COMPUTED_VALUE"""),10.0)</f>
        <v>10</v>
      </c>
      <c r="F861" s="15">
        <f>IFERROR(__xludf.DUMMYFUNCTION("""COMPUTED_VALUE"""),44441.0)</f>
        <v>44441</v>
      </c>
      <c r="G861" s="16"/>
      <c r="H861" s="227">
        <f>IFERROR(__xludf.DUMMYFUNCTION("""COMPUTED_VALUE"""),32.13)</f>
        <v>32.13</v>
      </c>
      <c r="I861" s="21"/>
      <c r="J861" s="21" t="str">
        <f>IFERROR(__xludf.DUMMYFUNCTION("""COMPUTED_VALUE"""),"#CartaoDeCredito #Roberta #Variavel #Carlos #Eduardo")</f>
        <v>#CartaoDeCredito #Roberta #Variavel #Carlos #Eduardo</v>
      </c>
      <c r="K861" s="216"/>
      <c r="L861" s="216"/>
      <c r="M861" s="216"/>
      <c r="N861" s="216"/>
      <c r="O861" s="216"/>
      <c r="P861" s="216"/>
      <c r="Q861" s="216"/>
    </row>
    <row r="862">
      <c r="A862" s="11" t="str">
        <f>IFERROR(__xludf.DUMMYFUNCTION("""COMPUTED_VALUE"""),"CREDITO")</f>
        <v>CREDITO</v>
      </c>
      <c r="B862" s="98" t="str">
        <f>IFERROR(__xludf.DUMMYFUNCTION("""COMPUTED_VALUE"""),"HAVANCOM 01/02 - VESTUARIO")</f>
        <v>HAVANCOM 01/02 - VESTUARIO</v>
      </c>
      <c r="C862" s="13"/>
      <c r="D862" s="13"/>
      <c r="E862" s="13">
        <f>IFERROR(__xludf.DUMMYFUNCTION("""COMPUTED_VALUE"""),10.0)</f>
        <v>10</v>
      </c>
      <c r="F862" s="15">
        <f>IFERROR(__xludf.DUMMYFUNCTION("""COMPUTED_VALUE"""),44443.0)</f>
        <v>44443</v>
      </c>
      <c r="G862" s="16"/>
      <c r="H862" s="227">
        <f>IFERROR(__xludf.DUMMYFUNCTION("""COMPUTED_VALUE"""),35.0)</f>
        <v>35</v>
      </c>
      <c r="I862" s="21"/>
      <c r="J862" s="21" t="str">
        <f>IFERROR(__xludf.DUMMYFUNCTION("""COMPUTED_VALUE"""),"#CartaoDeCredito #Roberta #Variavel")</f>
        <v>#CartaoDeCredito #Roberta #Variavel</v>
      </c>
      <c r="K862" s="216"/>
      <c r="L862" s="216"/>
      <c r="M862" s="216"/>
      <c r="N862" s="216"/>
      <c r="O862" s="216"/>
      <c r="P862" s="216"/>
      <c r="Q862" s="216"/>
    </row>
    <row r="863">
      <c r="A863" s="11" t="str">
        <f>IFERROR(__xludf.DUMMYFUNCTION("""COMPUTED_VALUE"""),"CREDITO")</f>
        <v>CREDITO</v>
      </c>
      <c r="B863" s="98" t="str">
        <f>IFERROR(__xludf.DUMMYFUNCTION("""COMPUTED_VALUE"""),"DROGARIA SAO-CT LO.SAUDE SAO JOSE DOS")</f>
        <v>DROGARIA SAO-CT LO.SAUDE SAO JOSE DOS</v>
      </c>
      <c r="C863" s="13"/>
      <c r="D863" s="13"/>
      <c r="E863" s="13">
        <f>IFERROR(__xludf.DUMMYFUNCTION("""COMPUTED_VALUE"""),10.0)</f>
        <v>10</v>
      </c>
      <c r="F863" s="15">
        <f>IFERROR(__xludf.DUMMYFUNCTION("""COMPUTED_VALUE"""),44444.0)</f>
        <v>44444</v>
      </c>
      <c r="G863" s="16"/>
      <c r="H863" s="227">
        <f>IFERROR(__xludf.DUMMYFUNCTION("""COMPUTED_VALUE"""),19.65)</f>
        <v>19.65</v>
      </c>
      <c r="I863" s="21"/>
      <c r="J863" s="21" t="str">
        <f>IFERROR(__xludf.DUMMYFUNCTION("""COMPUTED_VALUE"""),"#CartaoDeCredito #Roberta #Variavel #Carlos #Eduardo")</f>
        <v>#CartaoDeCredito #Roberta #Variavel #Carlos #Eduardo</v>
      </c>
      <c r="K863" s="216"/>
      <c r="L863" s="216"/>
      <c r="M863" s="216"/>
      <c r="N863" s="216"/>
      <c r="O863" s="216"/>
      <c r="P863" s="216"/>
      <c r="Q863" s="216"/>
    </row>
    <row r="864">
      <c r="A864" s="11" t="str">
        <f>IFERROR(__xludf.DUMMYFUNCTION("""COMPUTED_VALUE"""),"CREDITO")</f>
        <v>CREDITO</v>
      </c>
      <c r="B864" s="98" t="str">
        <f>IFERROR(__xludf.DUMMYFUNCTION("""COMPUTED_VALUE"""),"EBANX SHOPPE - DIVERSOS CURITIBA")</f>
        <v>EBANX SHOPPE - DIVERSOS CURITIBA</v>
      </c>
      <c r="C864" s="13"/>
      <c r="D864" s="13"/>
      <c r="E864" s="13">
        <f>IFERROR(__xludf.DUMMYFUNCTION("""COMPUTED_VALUE"""),10.0)</f>
        <v>10</v>
      </c>
      <c r="F864" s="15">
        <f>IFERROR(__xludf.DUMMYFUNCTION("""COMPUTED_VALUE"""),44445.0)</f>
        <v>44445</v>
      </c>
      <c r="G864" s="16"/>
      <c r="H864" s="227">
        <f>IFERROR(__xludf.DUMMYFUNCTION("""COMPUTED_VALUE"""),99.89)</f>
        <v>99.89</v>
      </c>
      <c r="I864" s="21"/>
      <c r="J864" s="21" t="str">
        <f>IFERROR(__xludf.DUMMYFUNCTION("""COMPUTED_VALUE"""),"#CartaoDeCredito #Roberta #Variavel #Carlos #Eduardo")</f>
        <v>#CartaoDeCredito #Roberta #Variavel #Carlos #Eduardo</v>
      </c>
      <c r="K864" s="216"/>
      <c r="L864" s="216"/>
      <c r="M864" s="216"/>
      <c r="N864" s="216"/>
      <c r="O864" s="216"/>
      <c r="P864" s="216"/>
      <c r="Q864" s="216"/>
    </row>
    <row r="865">
      <c r="A865" s="11" t="str">
        <f>IFERROR(__xludf.DUMMYFUNCTION("""COMPUTED_VALUE"""),"CREDITO")</f>
        <v>CREDITO</v>
      </c>
      <c r="B865" s="98" t="str">
        <f>IFERROR(__xludf.DUMMYFUNCTION("""COMPUTED_VALUE"""),"EBANX SHOPPE - DIVERSOS CURITIBA")</f>
        <v>EBANX SHOPPE - DIVERSOS CURITIBA</v>
      </c>
      <c r="C865" s="13"/>
      <c r="D865" s="13"/>
      <c r="E865" s="13">
        <f>IFERROR(__xludf.DUMMYFUNCTION("""COMPUTED_VALUE"""),10.0)</f>
        <v>10</v>
      </c>
      <c r="F865" s="15">
        <f>IFERROR(__xludf.DUMMYFUNCTION("""COMPUTED_VALUE"""),44450.0)</f>
        <v>44450</v>
      </c>
      <c r="G865" s="16"/>
      <c r="H865" s="227">
        <f>IFERROR(__xludf.DUMMYFUNCTION("""COMPUTED_VALUE"""),-54.27)</f>
        <v>-54.27</v>
      </c>
      <c r="I865" s="21"/>
      <c r="J865" s="21" t="str">
        <f>IFERROR(__xludf.DUMMYFUNCTION("""COMPUTED_VALUE"""),"#CartaoDeCredito #Roberta #Variavel #Carlos #Eduardo")</f>
        <v>#CartaoDeCredito #Roberta #Variavel #Carlos #Eduardo</v>
      </c>
      <c r="K865" s="216"/>
      <c r="L865" s="216"/>
      <c r="M865" s="216"/>
      <c r="N865" s="216"/>
      <c r="O865" s="216"/>
      <c r="P865" s="216"/>
      <c r="Q865" s="216"/>
    </row>
    <row r="866">
      <c r="A866" s="11" t="str">
        <f>IFERROR(__xludf.DUMMYFUNCTION("""COMPUTED_VALUE"""),"CREDITO")</f>
        <v>CREDITO</v>
      </c>
      <c r="B866" s="98" t="str">
        <f>IFERROR(__xludf.DUMMYFUNCTION("""COMPUTED_VALUE"""),"EFHolding - DIVERSOS SAO JOSE DOS")</f>
        <v>EFHolding - DIVERSOS SAO JOSE DOS</v>
      </c>
      <c r="C866" s="13"/>
      <c r="D866" s="13"/>
      <c r="E866" s="13">
        <f>IFERROR(__xludf.DUMMYFUNCTION("""COMPUTED_VALUE"""),10.0)</f>
        <v>10</v>
      </c>
      <c r="F866" s="15">
        <f>IFERROR(__xludf.DUMMYFUNCTION("""COMPUTED_VALUE"""),44452.0)</f>
        <v>44452</v>
      </c>
      <c r="G866" s="16"/>
      <c r="H866" s="227">
        <f>IFERROR(__xludf.DUMMYFUNCTION("""COMPUTED_VALUE"""),59.97)</f>
        <v>59.97</v>
      </c>
      <c r="I866" s="21"/>
      <c r="J866" s="21" t="str">
        <f>IFERROR(__xludf.DUMMYFUNCTION("""COMPUTED_VALUE"""),"#CartaoDeCredito #Roberta #Variavel")</f>
        <v>#CartaoDeCredito #Roberta #Variavel</v>
      </c>
      <c r="K866" s="216"/>
      <c r="L866" s="216"/>
      <c r="M866" s="216"/>
      <c r="N866" s="216"/>
      <c r="O866" s="216"/>
      <c r="P866" s="216"/>
      <c r="Q866" s="216"/>
    </row>
    <row r="867">
      <c r="A867" s="11" t="str">
        <f>IFERROR(__xludf.DUMMYFUNCTION("""COMPUTED_VALUE"""),"CREDITO")</f>
        <v>CREDITO</v>
      </c>
      <c r="B867" s="98" t="str">
        <f>IFERROR(__xludf.DUMMYFUNCTION("""COMPUTED_VALUE"""),"LEVITAR SORVETES SJC - ALIMENTAÇÃO SAO JOSE DOS")</f>
        <v>LEVITAR SORVETES SJC - ALIMENTAÇÃO SAO JOSE DOS</v>
      </c>
      <c r="C867" s="13"/>
      <c r="D867" s="13"/>
      <c r="E867" s="13">
        <f>IFERROR(__xludf.DUMMYFUNCTION("""COMPUTED_VALUE"""),10.0)</f>
        <v>10</v>
      </c>
      <c r="F867" s="15">
        <f>IFERROR(__xludf.DUMMYFUNCTION("""COMPUTED_VALUE"""),44454.0)</f>
        <v>44454</v>
      </c>
      <c r="G867" s="16"/>
      <c r="H867" s="227">
        <f>IFERROR(__xludf.DUMMYFUNCTION("""COMPUTED_VALUE"""),30.5)</f>
        <v>30.5</v>
      </c>
      <c r="I867" s="21"/>
      <c r="J867" s="21" t="str">
        <f>IFERROR(__xludf.DUMMYFUNCTION("""COMPUTED_VALUE"""),"#CartaoDeCredito #Roberta #Variavel #Carlos #Eduardo")</f>
        <v>#CartaoDeCredito #Roberta #Variavel #Carlos #Eduardo</v>
      </c>
      <c r="K867" s="216"/>
      <c r="L867" s="216"/>
      <c r="M867" s="216"/>
      <c r="N867" s="216"/>
      <c r="O867" s="216"/>
      <c r="P867" s="216"/>
      <c r="Q867" s="216"/>
    </row>
    <row r="868">
      <c r="A868" s="11" t="str">
        <f>IFERROR(__xludf.DUMMYFUNCTION("""COMPUTED_VALUE"""),"CREDITO")</f>
        <v>CREDITO</v>
      </c>
      <c r="B868" s="98" t="str">
        <f>IFERROR(__xludf.DUMMYFUNCTION("""COMPUTED_VALUE"""),"EBANX SHOPPE - DIVERSOS CURITIBA")</f>
        <v>EBANX SHOPPE - DIVERSOS CURITIBA</v>
      </c>
      <c r="C868" s="13"/>
      <c r="D868" s="13"/>
      <c r="E868" s="13">
        <f>IFERROR(__xludf.DUMMYFUNCTION("""COMPUTED_VALUE"""),10.0)</f>
        <v>10</v>
      </c>
      <c r="F868" s="15">
        <f>IFERROR(__xludf.DUMMYFUNCTION("""COMPUTED_VALUE"""),44455.0)</f>
        <v>44455</v>
      </c>
      <c r="G868" s="16"/>
      <c r="H868" s="227">
        <f>IFERROR(__xludf.DUMMYFUNCTION("""COMPUTED_VALUE"""),-20.9)</f>
        <v>-20.9</v>
      </c>
      <c r="I868" s="21"/>
      <c r="J868" s="21" t="str">
        <f>IFERROR(__xludf.DUMMYFUNCTION("""COMPUTED_VALUE"""),"#CartaoDeCredito #Roberta #Variavel #Carlos #Eduardo")</f>
        <v>#CartaoDeCredito #Roberta #Variavel #Carlos #Eduardo</v>
      </c>
      <c r="K868" s="216"/>
      <c r="L868" s="216"/>
      <c r="M868" s="216"/>
      <c r="N868" s="216"/>
      <c r="O868" s="216"/>
      <c r="P868" s="216"/>
      <c r="Q868" s="216"/>
    </row>
    <row r="869">
      <c r="A869" s="11" t="str">
        <f>IFERROR(__xludf.DUMMYFUNCTION("""COMPUTED_VALUE"""),"CREDITO")</f>
        <v>CREDITO</v>
      </c>
      <c r="B869" s="98" t="str">
        <f>IFERROR(__xludf.DUMMYFUNCTION("""COMPUTED_VALUE"""),"SEGURO RESIDENCIAL ITAU")</f>
        <v>SEGURO RESIDENCIAL ITAU</v>
      </c>
      <c r="C869" s="13"/>
      <c r="D869" s="13"/>
      <c r="E869" s="13">
        <f>IFERROR(__xludf.DUMMYFUNCTION("""COMPUTED_VALUE"""),10.0)</f>
        <v>10</v>
      </c>
      <c r="F869" s="15">
        <f>IFERROR(__xludf.DUMMYFUNCTION("""COMPUTED_VALUE"""),44459.0)</f>
        <v>44459</v>
      </c>
      <c r="G869" s="16"/>
      <c r="H869" s="227">
        <f>IFERROR(__xludf.DUMMYFUNCTION("""COMPUTED_VALUE"""),13.7)</f>
        <v>13.7</v>
      </c>
      <c r="I869" s="21"/>
      <c r="J869" s="21" t="str">
        <f>IFERROR(__xludf.DUMMYFUNCTION("""COMPUTED_VALUE"""),"#CartaoDeCredito #Roberta #Essencial #Fixo #Moradia")</f>
        <v>#CartaoDeCredito #Roberta #Essencial #Fixo #Moradia</v>
      </c>
      <c r="K869" s="216"/>
      <c r="L869" s="216"/>
      <c r="M869" s="216"/>
      <c r="N869" s="216"/>
      <c r="O869" s="216"/>
      <c r="P869" s="216"/>
      <c r="Q869" s="216"/>
    </row>
    <row r="870">
      <c r="A870" s="11" t="str">
        <f>IFERROR(__xludf.DUMMYFUNCTION("""COMPUTED_VALUE"""),"CREDITO")</f>
        <v>CREDITO</v>
      </c>
      <c r="B870" s="98" t="str">
        <f>IFERROR(__xludf.DUMMYFUNCTION("""COMPUTED_VALUE"""),"FARMACONDE - SAUDE.SAUDE SAO JOSE DOS")</f>
        <v>FARMACONDE - SAUDE.SAUDE SAO JOSE DOS</v>
      </c>
      <c r="C870" s="13"/>
      <c r="D870" s="13"/>
      <c r="E870" s="13">
        <f>IFERROR(__xludf.DUMMYFUNCTION("""COMPUTED_VALUE"""),10.0)</f>
        <v>10</v>
      </c>
      <c r="F870" s="15">
        <f>IFERROR(__xludf.DUMMYFUNCTION("""COMPUTED_VALUE"""),44461.0)</f>
        <v>44461</v>
      </c>
      <c r="G870" s="16"/>
      <c r="H870" s="227">
        <f>IFERROR(__xludf.DUMMYFUNCTION("""COMPUTED_VALUE"""),12.08)</f>
        <v>12.08</v>
      </c>
      <c r="I870" s="21"/>
      <c r="J870" s="21" t="str">
        <f>IFERROR(__xludf.DUMMYFUNCTION("""COMPUTED_VALUE"""),"#CartaoDeCredito #Roberta #Variavel #Carlos #Eduardo")</f>
        <v>#CartaoDeCredito #Roberta #Variavel #Carlos #Eduardo</v>
      </c>
      <c r="K870" s="216"/>
      <c r="L870" s="216"/>
      <c r="M870" s="216"/>
      <c r="N870" s="216"/>
      <c r="O870" s="216"/>
      <c r="P870" s="216"/>
      <c r="Q870" s="216"/>
    </row>
    <row r="871">
      <c r="A871" s="11" t="str">
        <f>IFERROR(__xludf.DUMMYFUNCTION("""COMPUTED_VALUE"""),"PAGO")</f>
        <v>PAGO</v>
      </c>
      <c r="B871" s="98" t="str">
        <f>IFERROR(__xludf.DUMMYFUNCTION("""COMPUTED_VALUE"""),"Convenio Sr. Antonio - São Cristovão")</f>
        <v>Convenio Sr. Antonio - São Cristovão</v>
      </c>
      <c r="C871" s="13">
        <f>IFERROR(__xludf.DUMMYFUNCTION("""COMPUTED_VALUE"""),8.0)</f>
        <v>8</v>
      </c>
      <c r="D871" s="13" t="str">
        <f>IFERROR(__xludf.DUMMYFUNCTION("""COMPUTED_VALUE"""),"SEX.")</f>
        <v>SEX.</v>
      </c>
      <c r="E871" s="13">
        <f>IFERROR(__xludf.DUMMYFUNCTION("""COMPUTED_VALUE"""),10.0)</f>
        <v>10</v>
      </c>
      <c r="F871" s="15">
        <f>IFERROR(__xludf.DUMMYFUNCTION("""COMPUTED_VALUE"""),44473.0)</f>
        <v>44473</v>
      </c>
      <c r="G871" s="16"/>
      <c r="H871" s="227">
        <f>IFERROR(__xludf.DUMMYFUNCTION("""COMPUTED_VALUE"""),495.76)</f>
        <v>495.76</v>
      </c>
      <c r="I871" s="21" t="str">
        <f>IFERROR(__xludf.DUMMYFUNCTION("""COMPUTED_VALUE"""),"NUBANK")</f>
        <v>NUBANK</v>
      </c>
      <c r="J871" s="21" t="str">
        <f>IFERROR(__xludf.DUMMYFUNCTION("""COMPUTED_VALUE"""),"#Essencial #Saude #Convenio #Papai #Fixo")</f>
        <v>#Essencial #Saude #Convenio #Papai #Fixo</v>
      </c>
      <c r="K871" s="216"/>
      <c r="L871" s="216"/>
      <c r="M871" s="216"/>
      <c r="N871" s="216"/>
      <c r="O871" s="216"/>
      <c r="P871" s="216"/>
      <c r="Q871" s="216"/>
    </row>
    <row r="872">
      <c r="A872" s="11" t="str">
        <f>IFERROR(__xludf.DUMMYFUNCTION("""COMPUTED_VALUE"""),"PAGO")</f>
        <v>PAGO</v>
      </c>
      <c r="B872" s="98" t="str">
        <f>IFERROR(__xludf.DUMMYFUNCTION("""COMPUTED_VALUE"""),"Fatura VIVOFIBRA INTERNET")</f>
        <v>Fatura VIVOFIBRA INTERNET</v>
      </c>
      <c r="C872" s="13">
        <f>IFERROR(__xludf.DUMMYFUNCTION("""COMPUTED_VALUE"""),8.0)</f>
        <v>8</v>
      </c>
      <c r="D872" s="13" t="str">
        <f>IFERROR(__xludf.DUMMYFUNCTION("""COMPUTED_VALUE"""),"SEX.")</f>
        <v>SEX.</v>
      </c>
      <c r="E872" s="13">
        <f>IFERROR(__xludf.DUMMYFUNCTION("""COMPUTED_VALUE"""),10.0)</f>
        <v>10</v>
      </c>
      <c r="F872" s="15"/>
      <c r="G872" s="16"/>
      <c r="H872" s="227">
        <f>IFERROR(__xludf.DUMMYFUNCTION("""COMPUTED_VALUE"""),106.91)</f>
        <v>106.91</v>
      </c>
      <c r="I872" s="21" t="str">
        <f>IFERROR(__xludf.DUMMYFUNCTION("""COMPUTED_VALUE"""),"NUBANK")</f>
        <v>NUBANK</v>
      </c>
      <c r="J872" s="21" t="str">
        <f>IFERROR(__xludf.DUMMYFUNCTION("""COMPUTED_VALUE"""),"#Essencial #Internet #Fixo ")</f>
        <v>#Essencial #Internet #Fixo </v>
      </c>
      <c r="K872" s="216"/>
      <c r="L872" s="216"/>
      <c r="M872" s="216"/>
      <c r="N872" s="216"/>
      <c r="O872" s="216"/>
      <c r="P872" s="216"/>
      <c r="Q872" s="216"/>
    </row>
    <row r="873">
      <c r="A873" s="11" t="str">
        <f>IFERROR(__xludf.DUMMYFUNCTION("""COMPUTED_VALUE"""),"PAGO")</f>
        <v>PAGO</v>
      </c>
      <c r="B873" s="98" t="str">
        <f>IFERROR(__xludf.DUMMYFUNCTION("""COMPUTED_VALUE"""),"Fatura VIVOFIBRA NETFLIX")</f>
        <v>Fatura VIVOFIBRA NETFLIX</v>
      </c>
      <c r="C873" s="13">
        <f>IFERROR(__xludf.DUMMYFUNCTION("""COMPUTED_VALUE"""),8.0)</f>
        <v>8</v>
      </c>
      <c r="D873" s="13" t="str">
        <f>IFERROR(__xludf.DUMMYFUNCTION("""COMPUTED_VALUE"""),"SEX.")</f>
        <v>SEX.</v>
      </c>
      <c r="E873" s="13">
        <f>IFERROR(__xludf.DUMMYFUNCTION("""COMPUTED_VALUE"""),10.0)</f>
        <v>10</v>
      </c>
      <c r="F873" s="15"/>
      <c r="G873" s="16"/>
      <c r="H873" s="227">
        <f>IFERROR(__xludf.DUMMYFUNCTION("""COMPUTED_VALUE"""),32.9)</f>
        <v>32.9</v>
      </c>
      <c r="I873" s="21" t="str">
        <f>IFERROR(__xludf.DUMMYFUNCTION("""COMPUTED_VALUE"""),"NUBANK")</f>
        <v>NUBANK</v>
      </c>
      <c r="J873" s="21" t="str">
        <f>IFERROR(__xludf.DUMMYFUNCTION("""COMPUTED_VALUE"""),"#Essencial #Streaming #Fixo ")</f>
        <v>#Essencial #Streaming #Fixo </v>
      </c>
      <c r="K873" s="216"/>
      <c r="L873" s="216"/>
      <c r="M873" s="216"/>
      <c r="N873" s="216"/>
      <c r="O873" s="216"/>
      <c r="P873" s="216"/>
      <c r="Q873" s="216"/>
    </row>
    <row r="874">
      <c r="A874" s="11" t="str">
        <f>IFERROR(__xludf.DUMMYFUNCTION("""COMPUTED_VALUE"""),"PAGO")</f>
        <v>PAGO</v>
      </c>
      <c r="B874" s="98" t="str">
        <f>IFERROR(__xludf.DUMMYFUNCTION("""COMPUTED_VALUE"""),"iFood - Yakisoba do Sensei (yakisoba gigante 1200g, shimeji 200g)")</f>
        <v>iFood - Yakisoba do Sensei (yakisoba gigante 1200g, shimeji 200g)</v>
      </c>
      <c r="C874" s="13">
        <f>IFERROR(__xludf.DUMMYFUNCTION("""COMPUTED_VALUE"""),8.0)</f>
        <v>8</v>
      </c>
      <c r="D874" s="13" t="str">
        <f>IFERROR(__xludf.DUMMYFUNCTION("""COMPUTED_VALUE"""),"SEX.")</f>
        <v>SEX.</v>
      </c>
      <c r="E874" s="13">
        <f>IFERROR(__xludf.DUMMYFUNCTION("""COMPUTED_VALUE"""),10.0)</f>
        <v>10</v>
      </c>
      <c r="F874" s="15"/>
      <c r="G874" s="16"/>
      <c r="H874" s="227">
        <f>IFERROR(__xludf.DUMMYFUNCTION("""COMPUTED_VALUE"""),77.8)</f>
        <v>77.8</v>
      </c>
      <c r="I874" s="21" t="str">
        <f>IFERROR(__xludf.DUMMYFUNCTION("""COMPUTED_VALUE"""),"NUBANK")</f>
        <v>NUBANK</v>
      </c>
      <c r="J874" s="21" t="str">
        <f>IFERROR(__xludf.DUMMYFUNCTION("""COMPUTED_VALUE"""),"#Lazer #Comida #Variavel")</f>
        <v>#Lazer #Comida #Variavel</v>
      </c>
      <c r="K874" s="216"/>
      <c r="L874" s="216"/>
      <c r="M874" s="216"/>
      <c r="N874" s="216"/>
      <c r="O874" s="216"/>
      <c r="P874" s="216"/>
      <c r="Q874" s="216"/>
    </row>
    <row r="875">
      <c r="A875" s="11" t="str">
        <f>IFERROR(__xludf.DUMMYFUNCTION("""COMPUTED_VALUE"""),"PAGO")</f>
        <v>PAGO</v>
      </c>
      <c r="B875" s="98" t="str">
        <f>IFERROR(__xludf.DUMMYFUNCTION("""COMPUTED_VALUE"""),"Colégio Evoluti SJC")</f>
        <v>Colégio Evoluti SJC</v>
      </c>
      <c r="C875" s="13">
        <f>IFERROR(__xludf.DUMMYFUNCTION("""COMPUTED_VALUE"""),10.0)</f>
        <v>10</v>
      </c>
      <c r="D875" s="13" t="str">
        <f>IFERROR(__xludf.DUMMYFUNCTION("""COMPUTED_VALUE"""),"DOM.")</f>
        <v>DOM.</v>
      </c>
      <c r="E875" s="13">
        <f>IFERROR(__xludf.DUMMYFUNCTION("""COMPUTED_VALUE"""),10.0)</f>
        <v>10</v>
      </c>
      <c r="F875" s="15">
        <f>IFERROR(__xludf.DUMMYFUNCTION("""COMPUTED_VALUE"""),44473.0)</f>
        <v>44473</v>
      </c>
      <c r="G875" s="16"/>
      <c r="H875" s="227">
        <f>IFERROR(__xludf.DUMMYFUNCTION("""COMPUTED_VALUE"""),643.0)</f>
        <v>643</v>
      </c>
      <c r="I875" s="21" t="str">
        <f>IFERROR(__xludf.DUMMYFUNCTION("""COMPUTED_VALUE"""),"NUBANK")</f>
        <v>NUBANK</v>
      </c>
      <c r="J875" s="21" t="str">
        <f>IFERROR(__xludf.DUMMYFUNCTION("""COMPUTED_VALUE"""),"#Essencial #Escola #Eduardo #Fixo")</f>
        <v>#Essencial #Escola #Eduardo #Fixo</v>
      </c>
      <c r="K875" s="216"/>
      <c r="L875" s="216"/>
      <c r="M875" s="216"/>
      <c r="N875" s="216"/>
      <c r="O875" s="216"/>
      <c r="P875" s="216"/>
      <c r="Q875" s="216"/>
    </row>
    <row r="876">
      <c r="A876" s="11" t="str">
        <f>IFERROR(__xludf.DUMMYFUNCTION("""COMPUTED_VALUE"""),"PAGO")</f>
        <v>PAGO</v>
      </c>
      <c r="B876" s="98" t="str">
        <f>IFERROR(__xludf.DUMMYFUNCTION("""COMPUTED_VALUE"""),"Convenio Uniodonto - pagar ate outubro")</f>
        <v>Convenio Uniodonto - pagar ate outubro</v>
      </c>
      <c r="C876" s="13">
        <f>IFERROR(__xludf.DUMMYFUNCTION("""COMPUTED_VALUE"""),10.0)</f>
        <v>10</v>
      </c>
      <c r="D876" s="13" t="str">
        <f>IFERROR(__xludf.DUMMYFUNCTION("""COMPUTED_VALUE"""),"DOM.")</f>
        <v>DOM.</v>
      </c>
      <c r="E876" s="13">
        <f>IFERROR(__xludf.DUMMYFUNCTION("""COMPUTED_VALUE"""),10.0)</f>
        <v>10</v>
      </c>
      <c r="F876" s="15">
        <f>IFERROR(__xludf.DUMMYFUNCTION("""COMPUTED_VALUE"""),44473.0)</f>
        <v>44473</v>
      </c>
      <c r="G876" s="16"/>
      <c r="H876" s="227">
        <f>IFERROR(__xludf.DUMMYFUNCTION("""COMPUTED_VALUE"""),102.0)</f>
        <v>102</v>
      </c>
      <c r="I876" s="21" t="str">
        <f>IFERROR(__xludf.DUMMYFUNCTION("""COMPUTED_VALUE"""),"NUBANK")</f>
        <v>NUBANK</v>
      </c>
      <c r="J876" s="21" t="str">
        <f>IFERROR(__xludf.DUMMYFUNCTION("""COMPUTED_VALUE"""),"#Essencial #Saude #Convenio #Familia #Fixo")</f>
        <v>#Essencial #Saude #Convenio #Familia #Fixo</v>
      </c>
      <c r="K876" s="216"/>
      <c r="L876" s="216"/>
      <c r="M876" s="216"/>
      <c r="N876" s="216"/>
      <c r="O876" s="216"/>
      <c r="P876" s="216"/>
      <c r="Q876" s="216"/>
    </row>
    <row r="877">
      <c r="A877" s="11" t="str">
        <f>IFERROR(__xludf.DUMMYFUNCTION("""COMPUTED_VALUE"""),"PAGO")</f>
        <v>PAGO</v>
      </c>
      <c r="B877" s="98" t="str">
        <f>IFERROR(__xludf.DUMMYFUNCTION("""COMPUTED_VALUE"""),"Shopping Jd Oriente - Shibata - dia das crianças")</f>
        <v>Shopping Jd Oriente - Shibata - dia das crianças</v>
      </c>
      <c r="C877" s="13">
        <f>IFERROR(__xludf.DUMMYFUNCTION("""COMPUTED_VALUE"""),11.0)</f>
        <v>11</v>
      </c>
      <c r="D877" s="13" t="str">
        <f>IFERROR(__xludf.DUMMYFUNCTION("""COMPUTED_VALUE"""),"SEG.")</f>
        <v>SEG.</v>
      </c>
      <c r="E877" s="13">
        <f>IFERROR(__xludf.DUMMYFUNCTION("""COMPUTED_VALUE"""),10.0)</f>
        <v>10</v>
      </c>
      <c r="F877" s="15"/>
      <c r="G877" s="16"/>
      <c r="H877" s="227">
        <f>IFERROR(__xludf.DUMMYFUNCTION("""COMPUTED_VALUE"""),141.95)</f>
        <v>141.95</v>
      </c>
      <c r="I877" s="21" t="str">
        <f>IFERROR(__xludf.DUMMYFUNCTION("""COMPUTED_VALUE"""),"NUBANK")</f>
        <v>NUBANK</v>
      </c>
      <c r="J877" s="21" t="str">
        <f>IFERROR(__xludf.DUMMYFUNCTION("""COMPUTED_VALUE"""),"#Lazer #Presentes #Variavel")</f>
        <v>#Lazer #Presentes #Variavel</v>
      </c>
      <c r="K877" s="216"/>
      <c r="L877" s="216"/>
      <c r="M877" s="216"/>
      <c r="N877" s="216"/>
      <c r="O877" s="216"/>
      <c r="P877" s="216"/>
      <c r="Q877" s="216"/>
    </row>
    <row r="878">
      <c r="A878" s="11" t="str">
        <f>IFERROR(__xludf.DUMMYFUNCTION("""COMPUTED_VALUE"""),"PAGO")</f>
        <v>PAGO</v>
      </c>
      <c r="B878" s="98" t="str">
        <f>IFERROR(__xludf.DUMMYFUNCTION("""COMPUTED_VALUE"""),"Shibata - dia das crianças")</f>
        <v>Shibata - dia das crianças</v>
      </c>
      <c r="C878" s="13">
        <f>IFERROR(__xludf.DUMMYFUNCTION("""COMPUTED_VALUE"""),11.0)</f>
        <v>11</v>
      </c>
      <c r="D878" s="13" t="str">
        <f>IFERROR(__xludf.DUMMYFUNCTION("""COMPUTED_VALUE"""),"SEG.")</f>
        <v>SEG.</v>
      </c>
      <c r="E878" s="13">
        <f>IFERROR(__xludf.DUMMYFUNCTION("""COMPUTED_VALUE"""),10.0)</f>
        <v>10</v>
      </c>
      <c r="F878" s="15"/>
      <c r="G878" s="16"/>
      <c r="H878" s="227">
        <f>IFERROR(__xludf.DUMMYFUNCTION("""COMPUTED_VALUE"""),352.42)</f>
        <v>352.42</v>
      </c>
      <c r="I878" s="21" t="str">
        <f>IFERROR(__xludf.DUMMYFUNCTION("""COMPUTED_VALUE"""),"NUBANK")</f>
        <v>NUBANK</v>
      </c>
      <c r="J878" s="21" t="str">
        <f>IFERROR(__xludf.DUMMYFUNCTION("""COMPUTED_VALUE"""),"#Moradia #Essencial #Mercado #Alimentação #Lazer #Presentes #Variavel")</f>
        <v>#Moradia #Essencial #Mercado #Alimentação #Lazer #Presentes #Variavel</v>
      </c>
      <c r="K878" s="216"/>
      <c r="L878" s="216"/>
      <c r="M878" s="216"/>
      <c r="N878" s="216"/>
      <c r="O878" s="216"/>
      <c r="P878" s="216"/>
      <c r="Q878" s="216"/>
    </row>
    <row r="879">
      <c r="A879" s="11" t="str">
        <f>IFERROR(__xludf.DUMMYFUNCTION("""COMPUTED_VALUE"""),"PAGO")</f>
        <v>PAGO</v>
      </c>
      <c r="B879" s="98" t="str">
        <f>IFERROR(__xludf.DUMMYFUNCTION("""COMPUTED_VALUE"""),"Shibata - dia das crianças")</f>
        <v>Shibata - dia das crianças</v>
      </c>
      <c r="C879" s="13">
        <f>IFERROR(__xludf.DUMMYFUNCTION("""COMPUTED_VALUE"""),12.0)</f>
        <v>12</v>
      </c>
      <c r="D879" s="13" t="str">
        <f>IFERROR(__xludf.DUMMYFUNCTION("""COMPUTED_VALUE"""),"TER.")</f>
        <v>TER.</v>
      </c>
      <c r="E879" s="13">
        <f>IFERROR(__xludf.DUMMYFUNCTION("""COMPUTED_VALUE"""),10.0)</f>
        <v>10</v>
      </c>
      <c r="F879" s="15"/>
      <c r="G879" s="16"/>
      <c r="H879" s="227">
        <f>IFERROR(__xludf.DUMMYFUNCTION("""COMPUTED_VALUE"""),197.73)</f>
        <v>197.73</v>
      </c>
      <c r="I879" s="21" t="str">
        <f>IFERROR(__xludf.DUMMYFUNCTION("""COMPUTED_VALUE"""),"NUBANK")</f>
        <v>NUBANK</v>
      </c>
      <c r="J879" s="21" t="str">
        <f>IFERROR(__xludf.DUMMYFUNCTION("""COMPUTED_VALUE"""),"#Moradia #Essencial #Mercado #Alimentação #Lazer #Presentes #Variavel")</f>
        <v>#Moradia #Essencial #Mercado #Alimentação #Lazer #Presentes #Variavel</v>
      </c>
      <c r="K879" s="216"/>
      <c r="L879" s="216"/>
      <c r="M879" s="216"/>
      <c r="N879" s="216"/>
      <c r="O879" s="216"/>
      <c r="P879" s="216"/>
      <c r="Q879" s="216"/>
    </row>
    <row r="880">
      <c r="A880" s="11" t="str">
        <f>IFERROR(__xludf.DUMMYFUNCTION("""COMPUTED_VALUE"""),"PAGO")</f>
        <v>PAGO</v>
      </c>
      <c r="B880" s="98" t="str">
        <f>IFERROR(__xludf.DUMMYFUNCTION("""COMPUTED_VALUE"""),"Cartao NuBank")</f>
        <v>Cartao NuBank</v>
      </c>
      <c r="C880" s="13">
        <f>IFERROR(__xludf.DUMMYFUNCTION("""COMPUTED_VALUE"""),12.0)</f>
        <v>12</v>
      </c>
      <c r="D880" s="13" t="str">
        <f>IFERROR(__xludf.DUMMYFUNCTION("""COMPUTED_VALUE"""),"TER.")</f>
        <v>TER.</v>
      </c>
      <c r="E880" s="13">
        <f>IFERROR(__xludf.DUMMYFUNCTION("""COMPUTED_VALUE"""),10.0)</f>
        <v>10</v>
      </c>
      <c r="F880" s="15">
        <f>IFERROR(__xludf.DUMMYFUNCTION("""COMPUTED_VALUE"""),44473.0)</f>
        <v>44473</v>
      </c>
      <c r="G880" s="16"/>
      <c r="H880" s="227">
        <f>IFERROR(__xludf.DUMMYFUNCTION("""COMPUTED_VALUE"""),357.61999999999995)</f>
        <v>357.62</v>
      </c>
      <c r="I880" s="21" t="str">
        <f>IFERROR(__xludf.DUMMYFUNCTION("""COMPUTED_VALUE"""),"NUBANK")</f>
        <v>NUBANK</v>
      </c>
      <c r="J880" s="21"/>
      <c r="K880" s="216"/>
      <c r="L880" s="216"/>
      <c r="M880" s="216"/>
      <c r="N880" s="216"/>
      <c r="O880" s="216"/>
      <c r="P880" s="216"/>
      <c r="Q880" s="216"/>
    </row>
    <row r="881">
      <c r="A881" s="11" t="str">
        <f>IFERROR(__xludf.DUMMYFUNCTION("""COMPUTED_VALUE"""),"CREDITO")</f>
        <v>CREDITO</v>
      </c>
      <c r="B881" s="98" t="str">
        <f>IFERROR(__xludf.DUMMYFUNCTION("""COMPUTED_VALUE"""),"Havan Jacarei - lençol de cama e brinquedos")</f>
        <v>Havan Jacarei - lençol de cama e brinquedos</v>
      </c>
      <c r="C881" s="13"/>
      <c r="D881" s="13"/>
      <c r="E881" s="13">
        <f>IFERROR(__xludf.DUMMYFUNCTION("""COMPUTED_VALUE"""),10.0)</f>
        <v>10</v>
      </c>
      <c r="F881" s="15">
        <f>IFERROR(__xludf.DUMMYFUNCTION("""COMPUTED_VALUE"""),44444.0)</f>
        <v>44444</v>
      </c>
      <c r="G881" s="16"/>
      <c r="H881" s="227">
        <f>IFERROR(__xludf.DUMMYFUNCTION("""COMPUTED_VALUE"""),107.39)</f>
        <v>107.39</v>
      </c>
      <c r="I881" s="21"/>
      <c r="J881" s="21" t="str">
        <f>IFERROR(__xludf.DUMMYFUNCTION("""COMPUTED_VALUE"""),"#CartaoDeCredito #Cicero #Roberta #Eduardo #Carlos #Lazer #Variavel")</f>
        <v>#CartaoDeCredito #Cicero #Roberta #Eduardo #Carlos #Lazer #Variavel</v>
      </c>
      <c r="K881" s="216"/>
      <c r="L881" s="216"/>
      <c r="M881" s="216"/>
      <c r="N881" s="216"/>
      <c r="O881" s="216"/>
      <c r="P881" s="216"/>
      <c r="Q881" s="216"/>
    </row>
    <row r="882">
      <c r="A882" s="11" t="str">
        <f>IFERROR(__xludf.DUMMYFUNCTION("""COMPUTED_VALUE"""),"CREDITO")</f>
        <v>CREDITO</v>
      </c>
      <c r="B882" s="98" t="str">
        <f>IFERROR(__xludf.DUMMYFUNCTION("""COMPUTED_VALUE"""),"Decathlon SJC")</f>
        <v>Decathlon SJC</v>
      </c>
      <c r="C882" s="13"/>
      <c r="D882" s="13"/>
      <c r="E882" s="13">
        <f>IFERROR(__xludf.DUMMYFUNCTION("""COMPUTED_VALUE"""),10.0)</f>
        <v>10</v>
      </c>
      <c r="F882" s="15">
        <f>IFERROR(__xludf.DUMMYFUNCTION("""COMPUTED_VALUE"""),44450.0)</f>
        <v>44450</v>
      </c>
      <c r="G882" s="16"/>
      <c r="H882" s="227">
        <f>IFERROR(__xludf.DUMMYFUNCTION("""COMPUTED_VALUE"""),59.99)</f>
        <v>59.99</v>
      </c>
      <c r="I882" s="21"/>
      <c r="J882" s="21" t="str">
        <f>IFERROR(__xludf.DUMMYFUNCTION("""COMPUTED_VALUE"""),"#CartaoDeCredito #Cicero #Eduardo #Carlos #Lazer #Variavel")</f>
        <v>#CartaoDeCredito #Cicero #Eduardo #Carlos #Lazer #Variavel</v>
      </c>
      <c r="K882" s="216"/>
      <c r="L882" s="216"/>
      <c r="M882" s="216"/>
      <c r="N882" s="216"/>
      <c r="O882" s="216"/>
      <c r="P882" s="216"/>
      <c r="Q882" s="216"/>
    </row>
    <row r="883">
      <c r="A883" s="11" t="str">
        <f>IFERROR(__xludf.DUMMYFUNCTION("""COMPUTED_VALUE"""),"CREDITO")</f>
        <v>CREDITO</v>
      </c>
      <c r="B883" s="98" t="str">
        <f>IFERROR(__xludf.DUMMYFUNCTION("""COMPUTED_VALUE"""),"Decathlon SJC")</f>
        <v>Decathlon SJC</v>
      </c>
      <c r="C883" s="13"/>
      <c r="D883" s="13"/>
      <c r="E883" s="13">
        <f>IFERROR(__xludf.DUMMYFUNCTION("""COMPUTED_VALUE"""),10.0)</f>
        <v>10</v>
      </c>
      <c r="F883" s="15">
        <f>IFERROR(__xludf.DUMMYFUNCTION("""COMPUTED_VALUE"""),44452.0)</f>
        <v>44452</v>
      </c>
      <c r="G883" s="16"/>
      <c r="H883" s="227">
        <f>IFERROR(__xludf.DUMMYFUNCTION("""COMPUTED_VALUE"""),59.98)</f>
        <v>59.98</v>
      </c>
      <c r="I883" s="21"/>
      <c r="J883" s="21" t="str">
        <f>IFERROR(__xludf.DUMMYFUNCTION("""COMPUTED_VALUE"""),"#CartaoDeCredito #Cicero #Eduardo #Carlos #Lazer #Variavel")</f>
        <v>#CartaoDeCredito #Cicero #Eduardo #Carlos #Lazer #Variavel</v>
      </c>
      <c r="K883" s="216"/>
      <c r="L883" s="216"/>
      <c r="M883" s="216"/>
      <c r="N883" s="216"/>
      <c r="O883" s="216"/>
      <c r="P883" s="216"/>
      <c r="Q883" s="216"/>
    </row>
    <row r="884">
      <c r="A884" s="11" t="str">
        <f>IFERROR(__xludf.DUMMYFUNCTION("""COMPUTED_VALUE"""),"CREDITO")</f>
        <v>CREDITO</v>
      </c>
      <c r="B884" s="98" t="str">
        <f>IFERROR(__xludf.DUMMYFUNCTION("""COMPUTED_VALUE"""),"Farmácia Farma Leste - Shibata")</f>
        <v>Farmácia Farma Leste - Shibata</v>
      </c>
      <c r="C884" s="13"/>
      <c r="D884" s="13"/>
      <c r="E884" s="13">
        <f>IFERROR(__xludf.DUMMYFUNCTION("""COMPUTED_VALUE"""),10.0)</f>
        <v>10</v>
      </c>
      <c r="F884" s="15">
        <f>IFERROR(__xludf.DUMMYFUNCTION("""COMPUTED_VALUE"""),44452.0)</f>
        <v>44452</v>
      </c>
      <c r="G884" s="16"/>
      <c r="H884" s="227">
        <f>IFERROR(__xludf.DUMMYFUNCTION("""COMPUTED_VALUE"""),31.49)</f>
        <v>31.49</v>
      </c>
      <c r="I884" s="21"/>
      <c r="J884" s="21" t="str">
        <f>IFERROR(__xludf.DUMMYFUNCTION("""COMPUTED_VALUE"""),"#CartaoDeCredito #Cicero #Fralda #Carlos #Variavel ")</f>
        <v>#CartaoDeCredito #Cicero #Fralda #Carlos #Variavel </v>
      </c>
      <c r="K884" s="216"/>
      <c r="L884" s="216"/>
      <c r="M884" s="216"/>
      <c r="N884" s="216"/>
      <c r="O884" s="216"/>
      <c r="P884" s="216"/>
      <c r="Q884" s="216"/>
    </row>
    <row r="885">
      <c r="A885" s="11" t="str">
        <f>IFERROR(__xludf.DUMMYFUNCTION("""COMPUTED_VALUE"""),"CREDITO")</f>
        <v>CREDITO</v>
      </c>
      <c r="B885" s="98" t="str">
        <f>IFERROR(__xludf.DUMMYFUNCTION("""COMPUTED_VALUE"""),"Google Play - Isolamento do Eduardo")</f>
        <v>Google Play - Isolamento do Eduardo</v>
      </c>
      <c r="C885" s="13"/>
      <c r="D885" s="13"/>
      <c r="E885" s="13">
        <f>IFERROR(__xludf.DUMMYFUNCTION("""COMPUTED_VALUE"""),10.0)</f>
        <v>10</v>
      </c>
      <c r="F885" s="15">
        <f>IFERROR(__xludf.DUMMYFUNCTION("""COMPUTED_VALUE"""),44459.0)</f>
        <v>44459</v>
      </c>
      <c r="G885" s="16"/>
      <c r="H885" s="227">
        <f>IFERROR(__xludf.DUMMYFUNCTION("""COMPUTED_VALUE"""),39.99)</f>
        <v>39.99</v>
      </c>
      <c r="I885" s="21"/>
      <c r="J885" s="21" t="str">
        <f>IFERROR(__xludf.DUMMYFUNCTION("""COMPUTED_VALUE"""),"#CartaoDeCredito #Cicero #Lazer #Eduardo #Variavel")</f>
        <v>#CartaoDeCredito #Cicero #Lazer #Eduardo #Variavel</v>
      </c>
      <c r="K885" s="216"/>
      <c r="L885" s="216"/>
      <c r="M885" s="216"/>
      <c r="N885" s="216"/>
      <c r="O885" s="216"/>
      <c r="P885" s="216"/>
      <c r="Q885" s="216"/>
    </row>
    <row r="886">
      <c r="A886" s="11" t="str">
        <f>IFERROR(__xludf.DUMMYFUNCTION("""COMPUTED_VALUE"""),"CREDITO")</f>
        <v>CREDITO</v>
      </c>
      <c r="B886" s="98" t="str">
        <f>IFERROR(__xludf.DUMMYFUNCTION("""COMPUTED_VALUE"""),"Google Play - Isolamento do Eduardo")</f>
        <v>Google Play - Isolamento do Eduardo</v>
      </c>
      <c r="C886" s="13"/>
      <c r="D886" s="13"/>
      <c r="E886" s="13">
        <f>IFERROR(__xludf.DUMMYFUNCTION("""COMPUTED_VALUE"""),10.0)</f>
        <v>10</v>
      </c>
      <c r="F886" s="15">
        <f>IFERROR(__xludf.DUMMYFUNCTION("""COMPUTED_VALUE"""),44459.0)</f>
        <v>44459</v>
      </c>
      <c r="G886" s="16"/>
      <c r="H886" s="227">
        <f>IFERROR(__xludf.DUMMYFUNCTION("""COMPUTED_VALUE"""),3.89)</f>
        <v>3.89</v>
      </c>
      <c r="I886" s="21"/>
      <c r="J886" s="21" t="str">
        <f>IFERROR(__xludf.DUMMYFUNCTION("""COMPUTED_VALUE"""),"#CartaoDeCredito #Cicero #Lazer #Eduardo #Variavel")</f>
        <v>#CartaoDeCredito #Cicero #Lazer #Eduardo #Variavel</v>
      </c>
      <c r="K886" s="216"/>
      <c r="L886" s="216"/>
      <c r="M886" s="216"/>
      <c r="N886" s="216"/>
      <c r="O886" s="216"/>
      <c r="P886" s="216"/>
      <c r="Q886" s="216"/>
    </row>
    <row r="887">
      <c r="A887" s="11" t="str">
        <f>IFERROR(__xludf.DUMMYFUNCTION("""COMPUTED_VALUE"""),"CREDITO")</f>
        <v>CREDITO</v>
      </c>
      <c r="B887" s="98" t="str">
        <f>IFERROR(__xludf.DUMMYFUNCTION("""COMPUTED_VALUE"""),"Amazonprimebr")</f>
        <v>Amazonprimebr</v>
      </c>
      <c r="C887" s="13"/>
      <c r="D887" s="13"/>
      <c r="E887" s="13">
        <f>IFERROR(__xludf.DUMMYFUNCTION("""COMPUTED_VALUE"""),10.0)</f>
        <v>10</v>
      </c>
      <c r="F887" s="15">
        <f>IFERROR(__xludf.DUMMYFUNCTION("""COMPUTED_VALUE"""),44465.0)</f>
        <v>44465</v>
      </c>
      <c r="G887" s="16"/>
      <c r="H887" s="227">
        <f>IFERROR(__xludf.DUMMYFUNCTION("""COMPUTED_VALUE"""),9.9)</f>
        <v>9.9</v>
      </c>
      <c r="I887" s="21"/>
      <c r="J887" s="21" t="str">
        <f>IFERROR(__xludf.DUMMYFUNCTION("""COMPUTED_VALUE"""),"#CartaoDeCredito #Cicero #Streaming #Fixo ")</f>
        <v>#CartaoDeCredito #Cicero #Streaming #Fixo </v>
      </c>
      <c r="K887" s="216"/>
      <c r="L887" s="216"/>
      <c r="M887" s="216"/>
      <c r="N887" s="216"/>
      <c r="O887" s="216"/>
      <c r="P887" s="216"/>
      <c r="Q887" s="216"/>
    </row>
    <row r="888">
      <c r="A888" s="11" t="str">
        <f>IFERROR(__xludf.DUMMYFUNCTION("""COMPUTED_VALUE"""),"CREDITO")</f>
        <v>CREDITO</v>
      </c>
      <c r="B888" s="98" t="str">
        <f>IFERROR(__xludf.DUMMYFUNCTION("""COMPUTED_VALUE"""),"Google Play")</f>
        <v>Google Play</v>
      </c>
      <c r="C888" s="13"/>
      <c r="D888" s="13"/>
      <c r="E888" s="13">
        <f>IFERROR(__xludf.DUMMYFUNCTION("""COMPUTED_VALUE"""),10.0)</f>
        <v>10</v>
      </c>
      <c r="F888" s="15">
        <f>IFERROR(__xludf.DUMMYFUNCTION("""COMPUTED_VALUE"""),44467.0)</f>
        <v>44467</v>
      </c>
      <c r="G888" s="16"/>
      <c r="H888" s="227">
        <f>IFERROR(__xludf.DUMMYFUNCTION("""COMPUTED_VALUE"""),39.99)</f>
        <v>39.99</v>
      </c>
      <c r="I888" s="21"/>
      <c r="J888" s="21" t="str">
        <f>IFERROR(__xludf.DUMMYFUNCTION("""COMPUTED_VALUE"""),"#CartaoDeCredito #Cicero #Lazer #Eduardo #Variavel")</f>
        <v>#CartaoDeCredito #Cicero #Lazer #Eduardo #Variavel</v>
      </c>
      <c r="K888" s="216"/>
      <c r="L888" s="216"/>
      <c r="M888" s="216"/>
      <c r="N888" s="216"/>
      <c r="O888" s="216"/>
      <c r="P888" s="216"/>
      <c r="Q888" s="216"/>
    </row>
    <row r="889">
      <c r="A889" s="11" t="str">
        <f>IFERROR(__xludf.DUMMYFUNCTION("""COMPUTED_VALUE"""),"CREDITO")</f>
        <v>CREDITO</v>
      </c>
      <c r="B889" s="98" t="str">
        <f>IFERROR(__xludf.DUMMYFUNCTION("""COMPUTED_VALUE"""),"Microsoft Game Pass Ultimate")</f>
        <v>Microsoft Game Pass Ultimate</v>
      </c>
      <c r="C889" s="13"/>
      <c r="D889" s="13"/>
      <c r="E889" s="13">
        <f>IFERROR(__xludf.DUMMYFUNCTION("""COMPUTED_VALUE"""),10.0)</f>
        <v>10</v>
      </c>
      <c r="F889" s="15">
        <f>IFERROR(__xludf.DUMMYFUNCTION("""COMPUTED_VALUE"""),44470.0)</f>
        <v>44470</v>
      </c>
      <c r="G889" s="16"/>
      <c r="H889" s="227">
        <f>IFERROR(__xludf.DUMMYFUNCTION("""COMPUTED_VALUE"""),5.0)</f>
        <v>5</v>
      </c>
      <c r="I889" s="21"/>
      <c r="J889" s="21" t="str">
        <f>IFERROR(__xludf.DUMMYFUNCTION("""COMPUTED_VALUE"""),"#CartaoDeCredito #Cicero #Lazer #Variavel")</f>
        <v>#CartaoDeCredito #Cicero #Lazer #Variavel</v>
      </c>
      <c r="K889" s="216"/>
      <c r="L889" s="216"/>
      <c r="M889" s="216"/>
      <c r="N889" s="216"/>
      <c r="O889" s="216"/>
      <c r="P889" s="216"/>
      <c r="Q889" s="216"/>
    </row>
    <row r="890">
      <c r="A890" s="11" t="str">
        <f>IFERROR(__xludf.DUMMYFUNCTION("""COMPUTED_VALUE"""),"PAGO")</f>
        <v>PAGO</v>
      </c>
      <c r="B890" s="98" t="str">
        <f>IFERROR(__xludf.DUMMYFUNCTION("""COMPUTED_VALUE"""),"Levitar SJC - sorvetes")</f>
        <v>Levitar SJC - sorvetes</v>
      </c>
      <c r="C890" s="13">
        <f>IFERROR(__xludf.DUMMYFUNCTION("""COMPUTED_VALUE"""),14.0)</f>
        <v>14</v>
      </c>
      <c r="D890" s="13" t="str">
        <f>IFERROR(__xludf.DUMMYFUNCTION("""COMPUTED_VALUE"""),"QUI.")</f>
        <v>QUI.</v>
      </c>
      <c r="E890" s="13">
        <f>IFERROR(__xludf.DUMMYFUNCTION("""COMPUTED_VALUE"""),10.0)</f>
        <v>10</v>
      </c>
      <c r="F890" s="15"/>
      <c r="G890" s="16"/>
      <c r="H890" s="227">
        <f>IFERROR(__xludf.DUMMYFUNCTION("""COMPUTED_VALUE"""),35.0)</f>
        <v>35</v>
      </c>
      <c r="I890" s="21" t="str">
        <f>IFERROR(__xludf.DUMMYFUNCTION("""COMPUTED_VALUE"""),"NUBANK")</f>
        <v>NUBANK</v>
      </c>
      <c r="J890" s="21" t="str">
        <f>IFERROR(__xludf.DUMMYFUNCTION("""COMPUTED_VALUE"""),"#Lazer #Comida #Variavel")</f>
        <v>#Lazer #Comida #Variavel</v>
      </c>
      <c r="K890" s="216"/>
      <c r="L890" s="216"/>
      <c r="M890" s="216"/>
      <c r="N890" s="216"/>
      <c r="O890" s="216"/>
      <c r="P890" s="216"/>
      <c r="Q890" s="216"/>
    </row>
    <row r="891">
      <c r="A891" s="11" t="str">
        <f>IFERROR(__xludf.DUMMYFUNCTION("""COMPUTED_VALUE"""),"PAGO")</f>
        <v>PAGO</v>
      </c>
      <c r="B891" s="98" t="str">
        <f>IFERROR(__xludf.DUMMYFUNCTION("""COMPUTED_VALUE"""),"Salario - IBM")</f>
        <v>Salario - IBM</v>
      </c>
      <c r="C891" s="13">
        <f>IFERROR(__xludf.DUMMYFUNCTION("""COMPUTED_VALUE"""),15.0)</f>
        <v>15</v>
      </c>
      <c r="D891" s="13" t="str">
        <f>IFERROR(__xludf.DUMMYFUNCTION("""COMPUTED_VALUE"""),"SEX.")</f>
        <v>SEX.</v>
      </c>
      <c r="E891" s="13">
        <f>IFERROR(__xludf.DUMMYFUNCTION("""COMPUTED_VALUE"""),10.0)</f>
        <v>10</v>
      </c>
      <c r="F891" s="15"/>
      <c r="G891" s="16">
        <f>IFERROR(__xludf.DUMMYFUNCTION("""COMPUTED_VALUE"""),5100.0)</f>
        <v>5100</v>
      </c>
      <c r="H891" s="227"/>
      <c r="I891" s="21" t="str">
        <f>IFERROR(__xludf.DUMMYFUNCTION("""COMPUTED_VALUE"""),"SANTANDER")</f>
        <v>SANTANDER</v>
      </c>
      <c r="J891" s="21" t="str">
        <f>IFERROR(__xludf.DUMMYFUNCTION("""COMPUTED_VALUE"""),"#Recebimentos #Salario #Fixo")</f>
        <v>#Recebimentos #Salario #Fixo</v>
      </c>
      <c r="K891" s="216"/>
      <c r="L891" s="216"/>
      <c r="M891" s="216"/>
      <c r="N891" s="216"/>
      <c r="O891" s="216"/>
      <c r="P891" s="216"/>
      <c r="Q891" s="216"/>
    </row>
    <row r="892">
      <c r="A892" s="11" t="str">
        <f>IFERROR(__xludf.DUMMYFUNCTION("""COMPUTED_VALUE"""),"CONTAS")</f>
        <v>CONTAS</v>
      </c>
      <c r="B892" s="98" t="str">
        <f>IFERROR(__xludf.DUMMYFUNCTION("""COMPUTED_VALUE"""),"Transferencia via PIX")</f>
        <v>Transferencia via PIX</v>
      </c>
      <c r="C892" s="13">
        <f>IFERROR(__xludf.DUMMYFUNCTION("""COMPUTED_VALUE"""),15.0)</f>
        <v>15</v>
      </c>
      <c r="D892" s="13" t="str">
        <f>IFERROR(__xludf.DUMMYFUNCTION("""COMPUTED_VALUE"""),"SEX.")</f>
        <v>SEX.</v>
      </c>
      <c r="E892" s="13">
        <f>IFERROR(__xludf.DUMMYFUNCTION("""COMPUTED_VALUE"""),10.0)</f>
        <v>10</v>
      </c>
      <c r="F892" s="15"/>
      <c r="G892" s="16"/>
      <c r="H892" s="227">
        <f>IFERROR(__xludf.DUMMYFUNCTION("""COMPUTED_VALUE"""),5100.0)</f>
        <v>5100</v>
      </c>
      <c r="I892" s="21" t="str">
        <f>IFERROR(__xludf.DUMMYFUNCTION("""COMPUTED_VALUE"""),"SANTANDER")</f>
        <v>SANTANDER</v>
      </c>
      <c r="J892" s="21"/>
      <c r="K892" s="216"/>
      <c r="L892" s="216"/>
      <c r="M892" s="216"/>
      <c r="N892" s="216"/>
      <c r="O892" s="216"/>
      <c r="P892" s="216"/>
      <c r="Q892" s="216"/>
    </row>
    <row r="893">
      <c r="A893" s="11" t="str">
        <f>IFERROR(__xludf.DUMMYFUNCTION("""COMPUTED_VALUE"""),"CONTAS")</f>
        <v>CONTAS</v>
      </c>
      <c r="B893" s="98" t="str">
        <f>IFERROR(__xludf.DUMMYFUNCTION("""COMPUTED_VALUE"""),"Recebimento via PIX")</f>
        <v>Recebimento via PIX</v>
      </c>
      <c r="C893" s="13">
        <f>IFERROR(__xludf.DUMMYFUNCTION("""COMPUTED_VALUE"""),15.0)</f>
        <v>15</v>
      </c>
      <c r="D893" s="13" t="str">
        <f>IFERROR(__xludf.DUMMYFUNCTION("""COMPUTED_VALUE"""),"SEX.")</f>
        <v>SEX.</v>
      </c>
      <c r="E893" s="13">
        <f>IFERROR(__xludf.DUMMYFUNCTION("""COMPUTED_VALUE"""),10.0)</f>
        <v>10</v>
      </c>
      <c r="F893" s="15"/>
      <c r="G893" s="16">
        <f>IFERROR(__xludf.DUMMYFUNCTION("""COMPUTED_VALUE"""),5100.0)</f>
        <v>5100</v>
      </c>
      <c r="H893" s="227"/>
      <c r="I893" s="21" t="str">
        <f>IFERROR(__xludf.DUMMYFUNCTION("""COMPUTED_VALUE"""),"NUBANK")</f>
        <v>NUBANK</v>
      </c>
      <c r="J893" s="21"/>
      <c r="K893" s="216"/>
      <c r="L893" s="216"/>
      <c r="M893" s="216"/>
      <c r="N893" s="216"/>
      <c r="O893" s="216"/>
      <c r="P893" s="216"/>
      <c r="Q893" s="216"/>
    </row>
    <row r="894">
      <c r="A894" s="11" t="str">
        <f>IFERROR(__xludf.DUMMYFUNCTION("""COMPUTED_VALUE"""),"PAGO")</f>
        <v>PAGO</v>
      </c>
      <c r="B894" s="98" t="str">
        <f>IFERROR(__xludf.DUMMYFUNCTION("""COMPUTED_VALUE"""),"Convenio Carlos")</f>
        <v>Convenio Carlos</v>
      </c>
      <c r="C894" s="13">
        <f>IFERROR(__xludf.DUMMYFUNCTION("""COMPUTED_VALUE"""),15.0)</f>
        <v>15</v>
      </c>
      <c r="D894" s="13" t="str">
        <f>IFERROR(__xludf.DUMMYFUNCTION("""COMPUTED_VALUE"""),"SEX.")</f>
        <v>SEX.</v>
      </c>
      <c r="E894" s="13">
        <f>IFERROR(__xludf.DUMMYFUNCTION("""COMPUTED_VALUE"""),10.0)</f>
        <v>10</v>
      </c>
      <c r="F894" s="15"/>
      <c r="G894" s="16"/>
      <c r="H894" s="227">
        <f>IFERROR(__xludf.DUMMYFUNCTION("""COMPUTED_VALUE"""),176.16)</f>
        <v>176.16</v>
      </c>
      <c r="I894" s="21" t="str">
        <f>IFERROR(__xludf.DUMMYFUNCTION("""COMPUTED_VALUE"""),"NUBANK")</f>
        <v>NUBANK</v>
      </c>
      <c r="J894" s="21" t="str">
        <f>IFERROR(__xludf.DUMMYFUNCTION("""COMPUTED_VALUE"""),"#Essencial #Saude #Convenio #Familia #Fixo ")</f>
        <v>#Essencial #Saude #Convenio #Familia #Fixo </v>
      </c>
      <c r="K894" s="216"/>
      <c r="L894" s="216"/>
      <c r="M894" s="216"/>
      <c r="N894" s="216"/>
      <c r="O894" s="216"/>
      <c r="P894" s="216"/>
      <c r="Q894" s="216"/>
    </row>
    <row r="895">
      <c r="A895" s="11" t="str">
        <f>IFERROR(__xludf.DUMMYFUNCTION("""COMPUTED_VALUE"""),"PAGO")</f>
        <v>PAGO</v>
      </c>
      <c r="B895" s="98" t="str">
        <f>IFERROR(__xludf.DUMMYFUNCTION("""COMPUTED_VALUE"""),"Convenio Eduardo")</f>
        <v>Convenio Eduardo</v>
      </c>
      <c r="C895" s="13">
        <f>IFERROR(__xludf.DUMMYFUNCTION("""COMPUTED_VALUE"""),15.0)</f>
        <v>15</v>
      </c>
      <c r="D895" s="13" t="str">
        <f>IFERROR(__xludf.DUMMYFUNCTION("""COMPUTED_VALUE"""),"SEX.")</f>
        <v>SEX.</v>
      </c>
      <c r="E895" s="13">
        <f>IFERROR(__xludf.DUMMYFUNCTION("""COMPUTED_VALUE"""),10.0)</f>
        <v>10</v>
      </c>
      <c r="F895" s="15"/>
      <c r="G895" s="16"/>
      <c r="H895" s="227">
        <f>IFERROR(__xludf.DUMMYFUNCTION("""COMPUTED_VALUE"""),176.16)</f>
        <v>176.16</v>
      </c>
      <c r="I895" s="21" t="str">
        <f>IFERROR(__xludf.DUMMYFUNCTION("""COMPUTED_VALUE"""),"NUBANK")</f>
        <v>NUBANK</v>
      </c>
      <c r="J895" s="21" t="str">
        <f>IFERROR(__xludf.DUMMYFUNCTION("""COMPUTED_VALUE"""),"#Essencial #Saude #Convenio #Familia #Fixo ")</f>
        <v>#Essencial #Saude #Convenio #Familia #Fixo </v>
      </c>
      <c r="K895" s="216"/>
      <c r="L895" s="216"/>
      <c r="M895" s="216"/>
      <c r="N895" s="216"/>
      <c r="O895" s="216"/>
      <c r="P895" s="216"/>
      <c r="Q895" s="216"/>
    </row>
    <row r="896">
      <c r="A896" s="11" t="str">
        <f>IFERROR(__xludf.DUMMYFUNCTION("""COMPUTED_VALUE"""),"PAGO")</f>
        <v>PAGO</v>
      </c>
      <c r="B896" s="98" t="str">
        <f>IFERROR(__xludf.DUMMYFUNCTION("""COMPUTED_VALUE"""),"Convenio Roberta")</f>
        <v>Convenio Roberta</v>
      </c>
      <c r="C896" s="13">
        <f>IFERROR(__xludf.DUMMYFUNCTION("""COMPUTED_VALUE"""),15.0)</f>
        <v>15</v>
      </c>
      <c r="D896" s="13" t="str">
        <f>IFERROR(__xludf.DUMMYFUNCTION("""COMPUTED_VALUE"""),"SEX.")</f>
        <v>SEX.</v>
      </c>
      <c r="E896" s="13">
        <f>IFERROR(__xludf.DUMMYFUNCTION("""COMPUTED_VALUE"""),10.0)</f>
        <v>10</v>
      </c>
      <c r="F896" s="15"/>
      <c r="G896" s="16"/>
      <c r="H896" s="227">
        <f>IFERROR(__xludf.DUMMYFUNCTION("""COMPUTED_VALUE"""),222.72)</f>
        <v>222.72</v>
      </c>
      <c r="I896" s="21" t="str">
        <f>IFERROR(__xludf.DUMMYFUNCTION("""COMPUTED_VALUE"""),"NUBANK")</f>
        <v>NUBANK</v>
      </c>
      <c r="J896" s="21" t="str">
        <f>IFERROR(__xludf.DUMMYFUNCTION("""COMPUTED_VALUE"""),"#Essencial #Saude #Convenio #Familia #Fixo ")</f>
        <v>#Essencial #Saude #Convenio #Familia #Fixo </v>
      </c>
      <c r="K896" s="216"/>
      <c r="L896" s="216"/>
      <c r="M896" s="216"/>
      <c r="N896" s="216"/>
      <c r="O896" s="216"/>
      <c r="P896" s="216"/>
      <c r="Q896" s="216"/>
    </row>
    <row r="897">
      <c r="A897" s="11" t="str">
        <f>IFERROR(__xludf.DUMMYFUNCTION("""COMPUTED_VALUE"""),"PAGO")</f>
        <v>PAGO</v>
      </c>
      <c r="B897" s="98" t="str">
        <f>IFERROR(__xludf.DUMMYFUNCTION("""COMPUTED_VALUE"""),"iFood - Yakisoba do Sensei (yakisoba gigante 1200g)")</f>
        <v>iFood - Yakisoba do Sensei (yakisoba gigante 1200g)</v>
      </c>
      <c r="C897" s="13">
        <f>IFERROR(__xludf.DUMMYFUNCTION("""COMPUTED_VALUE"""),16.0)</f>
        <v>16</v>
      </c>
      <c r="D897" s="13" t="str">
        <f>IFERROR(__xludf.DUMMYFUNCTION("""COMPUTED_VALUE"""),"SÁB.")</f>
        <v>SÁB.</v>
      </c>
      <c r="E897" s="13">
        <f>IFERROR(__xludf.DUMMYFUNCTION("""COMPUTED_VALUE"""),10.0)</f>
        <v>10</v>
      </c>
      <c r="F897" s="15"/>
      <c r="G897" s="16"/>
      <c r="H897" s="227">
        <f>IFERROR(__xludf.DUMMYFUNCTION("""COMPUTED_VALUE"""),53.9)</f>
        <v>53.9</v>
      </c>
      <c r="I897" s="21" t="str">
        <f>IFERROR(__xludf.DUMMYFUNCTION("""COMPUTED_VALUE"""),"NUBANK")</f>
        <v>NUBANK</v>
      </c>
      <c r="J897" s="21" t="str">
        <f>IFERROR(__xludf.DUMMYFUNCTION("""COMPUTED_VALUE"""),"#Lazer #Comida #Variavel")</f>
        <v>#Lazer #Comida #Variavel</v>
      </c>
      <c r="K897" s="216"/>
      <c r="L897" s="216"/>
      <c r="M897" s="216"/>
      <c r="N897" s="216"/>
      <c r="O897" s="216"/>
      <c r="P897" s="216"/>
      <c r="Q897" s="216"/>
    </row>
    <row r="898">
      <c r="A898" s="11" t="str">
        <f>IFERROR(__xludf.DUMMYFUNCTION("""COMPUTED_VALUE"""),"PAGO")</f>
        <v>PAGO</v>
      </c>
      <c r="B898" s="98" t="str">
        <f>IFERROR(__xludf.DUMMYFUNCTION("""COMPUTED_VALUE"""),"Frango Assado - Cidade Jardim SJC")</f>
        <v>Frango Assado - Cidade Jardim SJC</v>
      </c>
      <c r="C898" s="13">
        <f>IFERROR(__xludf.DUMMYFUNCTION("""COMPUTED_VALUE"""),17.0)</f>
        <v>17</v>
      </c>
      <c r="D898" s="13" t="str">
        <f>IFERROR(__xludf.DUMMYFUNCTION("""COMPUTED_VALUE"""),"DOM.")</f>
        <v>DOM.</v>
      </c>
      <c r="E898" s="13">
        <f>IFERROR(__xludf.DUMMYFUNCTION("""COMPUTED_VALUE"""),10.0)</f>
        <v>10</v>
      </c>
      <c r="F898" s="15"/>
      <c r="G898" s="16"/>
      <c r="H898" s="227">
        <f>IFERROR(__xludf.DUMMYFUNCTION("""COMPUTED_VALUE"""),38.0)</f>
        <v>38</v>
      </c>
      <c r="I898" s="21" t="str">
        <f>IFERROR(__xludf.DUMMYFUNCTION("""COMPUTED_VALUE"""),"NUBANK")</f>
        <v>NUBANK</v>
      </c>
      <c r="J898" s="21" t="str">
        <f>IFERROR(__xludf.DUMMYFUNCTION("""COMPUTED_VALUE"""),"#Lazer #Comida #Variavel")</f>
        <v>#Lazer #Comida #Variavel</v>
      </c>
      <c r="K898" s="216"/>
      <c r="L898" s="216"/>
      <c r="M898" s="216"/>
      <c r="N898" s="216"/>
      <c r="O898" s="216"/>
      <c r="P898" s="216"/>
      <c r="Q898" s="216"/>
    </row>
    <row r="899">
      <c r="A899" s="11" t="str">
        <f>IFERROR(__xludf.DUMMYFUNCTION("""COMPUTED_VALUE"""),"PAGO")</f>
        <v>PAGO</v>
      </c>
      <c r="B899" s="98" t="str">
        <f>IFERROR(__xludf.DUMMYFUNCTION("""COMPUTED_VALUE"""),"Drogaria São Paulo - Cidade Jardim")</f>
        <v>Drogaria São Paulo - Cidade Jardim</v>
      </c>
      <c r="C899" s="13">
        <f>IFERROR(__xludf.DUMMYFUNCTION("""COMPUTED_VALUE"""),17.0)</f>
        <v>17</v>
      </c>
      <c r="D899" s="13" t="str">
        <f>IFERROR(__xludf.DUMMYFUNCTION("""COMPUTED_VALUE"""),"DOM.")</f>
        <v>DOM.</v>
      </c>
      <c r="E899" s="13">
        <f>IFERROR(__xludf.DUMMYFUNCTION("""COMPUTED_VALUE"""),10.0)</f>
        <v>10</v>
      </c>
      <c r="F899" s="15"/>
      <c r="G899" s="16"/>
      <c r="H899" s="227">
        <f>IFERROR(__xludf.DUMMYFUNCTION("""COMPUTED_VALUE"""),11.64)</f>
        <v>11.64</v>
      </c>
      <c r="I899" s="21" t="str">
        <f>IFERROR(__xludf.DUMMYFUNCTION("""COMPUTED_VALUE"""),"NUBANK")</f>
        <v>NUBANK</v>
      </c>
      <c r="J899" s="21" t="str">
        <f>IFERROR(__xludf.DUMMYFUNCTION("""COMPUTED_VALUE"""),"#Remedios #Carlos #Variavel ")</f>
        <v>#Remedios #Carlos #Variavel </v>
      </c>
      <c r="K899" s="216"/>
      <c r="L899" s="216"/>
      <c r="M899" s="216"/>
      <c r="N899" s="216"/>
      <c r="O899" s="216"/>
      <c r="P899" s="216"/>
      <c r="Q899" s="216"/>
    </row>
    <row r="900">
      <c r="A900" s="11" t="str">
        <f>IFERROR(__xludf.DUMMYFUNCTION("""COMPUTED_VALUE"""),"PAGO")</f>
        <v>PAGO</v>
      </c>
      <c r="B900" s="98" t="str">
        <f>IFERROR(__xludf.DUMMYFUNCTION("""COMPUTED_VALUE"""),"Supermercados Máximo")</f>
        <v>Supermercados Máximo</v>
      </c>
      <c r="C900" s="13">
        <f>IFERROR(__xludf.DUMMYFUNCTION("""COMPUTED_VALUE"""),17.0)</f>
        <v>17</v>
      </c>
      <c r="D900" s="13" t="str">
        <f>IFERROR(__xludf.DUMMYFUNCTION("""COMPUTED_VALUE"""),"DOM.")</f>
        <v>DOM.</v>
      </c>
      <c r="E900" s="13">
        <f>IFERROR(__xludf.DUMMYFUNCTION("""COMPUTED_VALUE"""),10.0)</f>
        <v>10</v>
      </c>
      <c r="F900" s="15"/>
      <c r="G900" s="16"/>
      <c r="H900" s="227">
        <f>IFERROR(__xludf.DUMMYFUNCTION("""COMPUTED_VALUE"""),113.72)</f>
        <v>113.72</v>
      </c>
      <c r="I900" s="21" t="str">
        <f>IFERROR(__xludf.DUMMYFUNCTION("""COMPUTED_VALUE"""),"SODEXO-REF-IBM")</f>
        <v>SODEXO-REF-IBM</v>
      </c>
      <c r="J900" s="21" t="str">
        <f>IFERROR(__xludf.DUMMYFUNCTION("""COMPUTED_VALUE"""),"#Moradia #Essencial #Mercado #Variavel #Alimentação ")</f>
        <v>#Moradia #Essencial #Mercado #Variavel #Alimentação </v>
      </c>
      <c r="K900" s="216"/>
      <c r="L900" s="216"/>
      <c r="M900" s="216"/>
      <c r="N900" s="216"/>
      <c r="O900" s="216"/>
      <c r="P900" s="216"/>
      <c r="Q900" s="216"/>
    </row>
    <row r="901">
      <c r="A901" s="11" t="str">
        <f>IFERROR(__xludf.DUMMYFUNCTION("""COMPUTED_VALUE"""),"PAGO")</f>
        <v>PAGO</v>
      </c>
      <c r="B901" s="98" t="str">
        <f>IFERROR(__xludf.DUMMYFUNCTION("""COMPUTED_VALUE"""),"Entrada prestação casa de Itaquera")</f>
        <v>Entrada prestação casa de Itaquera</v>
      </c>
      <c r="C901" s="13">
        <f>IFERROR(__xludf.DUMMYFUNCTION("""COMPUTED_VALUE"""),18.0)</f>
        <v>18</v>
      </c>
      <c r="D901" s="13" t="str">
        <f>IFERROR(__xludf.DUMMYFUNCTION("""COMPUTED_VALUE"""),"SEG.")</f>
        <v>SEG.</v>
      </c>
      <c r="E901" s="13">
        <f>IFERROR(__xludf.DUMMYFUNCTION("""COMPUTED_VALUE"""),10.0)</f>
        <v>10</v>
      </c>
      <c r="F901" s="15"/>
      <c r="G901" s="16">
        <f>IFERROR(__xludf.DUMMYFUNCTION("""COMPUTED_VALUE"""),2500.0)</f>
        <v>2500</v>
      </c>
      <c r="H901" s="227"/>
      <c r="I901" s="21" t="str">
        <f>IFERROR(__xludf.DUMMYFUNCTION("""COMPUTED_VALUE"""),"INTER")</f>
        <v>INTER</v>
      </c>
      <c r="J901" s="21" t="str">
        <f>IFERROR(__xludf.DUMMYFUNCTION("""COMPUTED_VALUE"""),"#Recebimentos #Prestação #Itaquera #Inter #Variavel")</f>
        <v>#Recebimentos #Prestação #Itaquera #Inter #Variavel</v>
      </c>
      <c r="K901" s="216"/>
      <c r="L901" s="216"/>
      <c r="M901" s="216"/>
      <c r="N901" s="216"/>
      <c r="O901" s="216"/>
      <c r="P901" s="216"/>
      <c r="Q901" s="216"/>
    </row>
    <row r="902">
      <c r="A902" s="11" t="str">
        <f>IFERROR(__xludf.DUMMYFUNCTION("""COMPUTED_VALUE"""),"PAGO")</f>
        <v>PAGO</v>
      </c>
      <c r="B902" s="98" t="str">
        <f>IFERROR(__xludf.DUMMYFUNCTION("""COMPUTED_VALUE"""),"Transferi para investimento - Clear")</f>
        <v>Transferi para investimento - Clear</v>
      </c>
      <c r="C902" s="13">
        <f>IFERROR(__xludf.DUMMYFUNCTION("""COMPUTED_VALUE"""),18.0)</f>
        <v>18</v>
      </c>
      <c r="D902" s="13" t="str">
        <f>IFERROR(__xludf.DUMMYFUNCTION("""COMPUTED_VALUE"""),"SEG.")</f>
        <v>SEG.</v>
      </c>
      <c r="E902" s="13">
        <f>IFERROR(__xludf.DUMMYFUNCTION("""COMPUTED_VALUE"""),10.0)</f>
        <v>10</v>
      </c>
      <c r="F902" s="15"/>
      <c r="G902" s="16"/>
      <c r="H902" s="227">
        <f>IFERROR(__xludf.DUMMYFUNCTION("""COMPUTED_VALUE"""),2500.0)</f>
        <v>2500</v>
      </c>
      <c r="I902" s="21" t="str">
        <f>IFERROR(__xludf.DUMMYFUNCTION("""COMPUTED_VALUE"""),"INTER")</f>
        <v>INTER</v>
      </c>
      <c r="J902" s="21" t="str">
        <f>IFERROR(__xludf.DUMMYFUNCTION("""COMPUTED_VALUE"""),"#Transferencia #Investimento #Extra #Clear")</f>
        <v>#Transferencia #Investimento #Extra #Clear</v>
      </c>
      <c r="K902" s="216"/>
      <c r="L902" s="216"/>
      <c r="M902" s="216"/>
      <c r="N902" s="216"/>
      <c r="O902" s="216"/>
      <c r="P902" s="216"/>
      <c r="Q902" s="216"/>
    </row>
    <row r="903">
      <c r="A903" s="11" t="str">
        <f>IFERROR(__xludf.DUMMYFUNCTION("""COMPUTED_VALUE"""),"PAGO")</f>
        <v>PAGO</v>
      </c>
      <c r="B903" s="98" t="str">
        <f>IFERROR(__xludf.DUMMYFUNCTION("""COMPUTED_VALUE"""),"Coaching / Psicologa - Candice Oliveira")</f>
        <v>Coaching / Psicologa - Candice Oliveira</v>
      </c>
      <c r="C903" s="13">
        <f>IFERROR(__xludf.DUMMYFUNCTION("""COMPUTED_VALUE"""),18.0)</f>
        <v>18</v>
      </c>
      <c r="D903" s="13" t="str">
        <f>IFERROR(__xludf.DUMMYFUNCTION("""COMPUTED_VALUE"""),"SEG.")</f>
        <v>SEG.</v>
      </c>
      <c r="E903" s="13">
        <f>IFERROR(__xludf.DUMMYFUNCTION("""COMPUTED_VALUE"""),10.0)</f>
        <v>10</v>
      </c>
      <c r="F903" s="15"/>
      <c r="G903" s="16"/>
      <c r="H903" s="227">
        <f>IFERROR(__xludf.DUMMYFUNCTION("""COMPUTED_VALUE"""),100.0)</f>
        <v>100</v>
      </c>
      <c r="I903" s="21" t="str">
        <f>IFERROR(__xludf.DUMMYFUNCTION("""COMPUTED_VALUE"""),"NUBANK")</f>
        <v>NUBANK</v>
      </c>
      <c r="J903" s="21" t="str">
        <f>IFERROR(__xludf.DUMMYFUNCTION("""COMPUTED_VALUE"""),"#Coaching #Fixo")</f>
        <v>#Coaching #Fixo</v>
      </c>
      <c r="K903" s="216"/>
      <c r="L903" s="216"/>
      <c r="M903" s="216"/>
      <c r="N903" s="216"/>
      <c r="O903" s="216"/>
      <c r="P903" s="216"/>
      <c r="Q903" s="216"/>
    </row>
    <row r="904">
      <c r="A904" s="11" t="str">
        <f>IFERROR(__xludf.DUMMYFUNCTION("""COMPUTED_VALUE"""),"PAGO")</f>
        <v>PAGO</v>
      </c>
      <c r="B904" s="98" t="str">
        <f>IFERROR(__xludf.DUMMYFUNCTION("""COMPUTED_VALUE"""),"Convenio Cicero")</f>
        <v>Convenio Cicero</v>
      </c>
      <c r="C904" s="13">
        <f>IFERROR(__xludf.DUMMYFUNCTION("""COMPUTED_VALUE"""),20.0)</f>
        <v>20</v>
      </c>
      <c r="D904" s="13" t="str">
        <f>IFERROR(__xludf.DUMMYFUNCTION("""COMPUTED_VALUE"""),"QUA.")</f>
        <v>QUA.</v>
      </c>
      <c r="E904" s="13">
        <f>IFERROR(__xludf.DUMMYFUNCTION("""COMPUTED_VALUE"""),10.0)</f>
        <v>10</v>
      </c>
      <c r="F904" s="15"/>
      <c r="G904" s="16"/>
      <c r="H904" s="227">
        <f>IFERROR(__xludf.DUMMYFUNCTION("""COMPUTED_VALUE"""),373.41)</f>
        <v>373.41</v>
      </c>
      <c r="I904" s="21" t="str">
        <f>IFERROR(__xludf.DUMMYFUNCTION("""COMPUTED_VALUE"""),"NUBANK")</f>
        <v>NUBANK</v>
      </c>
      <c r="J904" s="21" t="str">
        <f>IFERROR(__xludf.DUMMYFUNCTION("""COMPUTED_VALUE"""),"#Essencial #Saude #Convenio #Familia #Cicero #Fixo ")</f>
        <v>#Essencial #Saude #Convenio #Familia #Cicero #Fixo </v>
      </c>
      <c r="K904" s="216"/>
      <c r="L904" s="216"/>
      <c r="M904" s="216"/>
      <c r="N904" s="216"/>
      <c r="O904" s="216"/>
      <c r="P904" s="216"/>
      <c r="Q904" s="216"/>
    </row>
    <row r="905">
      <c r="A905" s="11" t="str">
        <f>IFERROR(__xludf.DUMMYFUNCTION("""COMPUTED_VALUE"""),"PAGO")</f>
        <v>PAGO</v>
      </c>
      <c r="B905" s="98" t="str">
        <f>IFERROR(__xludf.DUMMYFUNCTION("""COMPUTED_VALUE"""),"Assaí Atacadista")</f>
        <v>Assaí Atacadista</v>
      </c>
      <c r="C905" s="13">
        <f>IFERROR(__xludf.DUMMYFUNCTION("""COMPUTED_VALUE"""),20.0)</f>
        <v>20</v>
      </c>
      <c r="D905" s="13" t="str">
        <f>IFERROR(__xludf.DUMMYFUNCTION("""COMPUTED_VALUE"""),"QUA.")</f>
        <v>QUA.</v>
      </c>
      <c r="E905" s="13">
        <f>IFERROR(__xludf.DUMMYFUNCTION("""COMPUTED_VALUE"""),10.0)</f>
        <v>10</v>
      </c>
      <c r="F905" s="15"/>
      <c r="G905" s="16"/>
      <c r="H905" s="227">
        <f>IFERROR(__xludf.DUMMYFUNCTION("""COMPUTED_VALUE"""),535.01)</f>
        <v>535.01</v>
      </c>
      <c r="I905" s="21" t="str">
        <f>IFERROR(__xludf.DUMMYFUNCTION("""COMPUTED_VALUE"""),"NUBANK")</f>
        <v>NUBANK</v>
      </c>
      <c r="J905" s="21" t="str">
        <f>IFERROR(__xludf.DUMMYFUNCTION("""COMPUTED_VALUE"""),"#Moradia #Essencial #Mercado #Fixo #Alimentação ")</f>
        <v>#Moradia #Essencial #Mercado #Fixo #Alimentação </v>
      </c>
      <c r="K905" s="216"/>
      <c r="L905" s="216"/>
      <c r="M905" s="216"/>
      <c r="N905" s="216"/>
      <c r="O905" s="216"/>
      <c r="P905" s="216"/>
      <c r="Q905" s="216"/>
    </row>
    <row r="906">
      <c r="A906" s="11" t="str">
        <f>IFERROR(__xludf.DUMMYFUNCTION("""COMPUTED_VALUE"""),"PAGO")</f>
        <v>PAGO</v>
      </c>
      <c r="B906" s="98" t="str">
        <f>IFERROR(__xludf.DUMMYFUNCTION("""COMPUTED_VALUE"""),"Assaí Atacadista")</f>
        <v>Assaí Atacadista</v>
      </c>
      <c r="C906" s="13">
        <f>IFERROR(__xludf.DUMMYFUNCTION("""COMPUTED_VALUE"""),20.0)</f>
        <v>20</v>
      </c>
      <c r="D906" s="13" t="str">
        <f>IFERROR(__xludf.DUMMYFUNCTION("""COMPUTED_VALUE"""),"QUA.")</f>
        <v>QUA.</v>
      </c>
      <c r="E906" s="13">
        <f>IFERROR(__xludf.DUMMYFUNCTION("""COMPUTED_VALUE"""),10.0)</f>
        <v>10</v>
      </c>
      <c r="F906" s="15"/>
      <c r="G906" s="16"/>
      <c r="H906" s="227">
        <f>IFERROR(__xludf.DUMMYFUNCTION("""COMPUTED_VALUE"""),240.0)</f>
        <v>240</v>
      </c>
      <c r="I906" s="21" t="str">
        <f>IFERROR(__xludf.DUMMYFUNCTION("""COMPUTED_VALUE"""),"SODEXO-ALI-IBM")</f>
        <v>SODEXO-ALI-IBM</v>
      </c>
      <c r="J906" s="21" t="str">
        <f>IFERROR(__xludf.DUMMYFUNCTION("""COMPUTED_VALUE"""),"#Moradia #Essencial #Mercado #Fixo #Alimentação ")</f>
        <v>#Moradia #Essencial #Mercado #Fixo #Alimentação </v>
      </c>
      <c r="K906" s="216"/>
      <c r="L906" s="216"/>
      <c r="M906" s="216"/>
      <c r="N906" s="216"/>
      <c r="O906" s="216"/>
      <c r="P906" s="216"/>
      <c r="Q906" s="216"/>
    </row>
    <row r="907">
      <c r="A907" s="11" t="str">
        <f>IFERROR(__xludf.DUMMYFUNCTION("""COMPUTED_VALUE"""),"PAGO")</f>
        <v>PAGO</v>
      </c>
      <c r="B907" s="98" t="str">
        <f>IFERROR(__xludf.DUMMYFUNCTION("""COMPUTED_VALUE"""),"Shibata")</f>
        <v>Shibata</v>
      </c>
      <c r="C907" s="13">
        <f>IFERROR(__xludf.DUMMYFUNCTION("""COMPUTED_VALUE"""),21.0)</f>
        <v>21</v>
      </c>
      <c r="D907" s="13" t="str">
        <f>IFERROR(__xludf.DUMMYFUNCTION("""COMPUTED_VALUE"""),"QUI.")</f>
        <v>QUI.</v>
      </c>
      <c r="E907" s="13">
        <f>IFERROR(__xludf.DUMMYFUNCTION("""COMPUTED_VALUE"""),10.0)</f>
        <v>10</v>
      </c>
      <c r="F907" s="15"/>
      <c r="G907" s="16"/>
      <c r="H907" s="227">
        <f>IFERROR(__xludf.DUMMYFUNCTION("""COMPUTED_VALUE"""),279.86)</f>
        <v>279.86</v>
      </c>
      <c r="I907" s="21" t="str">
        <f>IFERROR(__xludf.DUMMYFUNCTION("""COMPUTED_VALUE"""),"SODEXO-REF-IBM")</f>
        <v>SODEXO-REF-IBM</v>
      </c>
      <c r="J907" s="21" t="str">
        <f>IFERROR(__xludf.DUMMYFUNCTION("""COMPUTED_VALUE"""),"#Moradia #Essencial #Mercado #Variavel #Alimentação ")</f>
        <v>#Moradia #Essencial #Mercado #Variavel #Alimentação </v>
      </c>
      <c r="K907" s="216"/>
      <c r="L907" s="216"/>
      <c r="M907" s="216"/>
      <c r="N907" s="216"/>
      <c r="O907" s="216"/>
      <c r="P907" s="216"/>
      <c r="Q907" s="216"/>
    </row>
    <row r="908">
      <c r="A908" s="11" t="str">
        <f>IFERROR(__xludf.DUMMYFUNCTION("""COMPUTED_VALUE"""),"PAGO")</f>
        <v>PAGO</v>
      </c>
      <c r="B908" s="98" t="str">
        <f>IFERROR(__xludf.DUMMYFUNCTION("""COMPUTED_VALUE"""),"Aniversario Davi ITAU")</f>
        <v>Aniversario Davi ITAU</v>
      </c>
      <c r="C908" s="13">
        <f>IFERROR(__xludf.DUMMYFUNCTION("""COMPUTED_VALUE"""),22.0)</f>
        <v>22</v>
      </c>
      <c r="D908" s="13" t="str">
        <f>IFERROR(__xludf.DUMMYFUNCTION("""COMPUTED_VALUE"""),"SEX.")</f>
        <v>SEX.</v>
      </c>
      <c r="E908" s="13">
        <f>IFERROR(__xludf.DUMMYFUNCTION("""COMPUTED_VALUE"""),10.0)</f>
        <v>10</v>
      </c>
      <c r="F908" s="15"/>
      <c r="G908" s="16"/>
      <c r="H908" s="227">
        <f>IFERROR(__xludf.DUMMYFUNCTION("""COMPUTED_VALUE"""),15.73)</f>
        <v>15.73</v>
      </c>
      <c r="I908" s="21" t="str">
        <f>IFERROR(__xludf.DUMMYFUNCTION("""COMPUTED_VALUE"""),"NUBANK")</f>
        <v>NUBANK</v>
      </c>
      <c r="J908" s="21" t="str">
        <f>IFERROR(__xludf.DUMMYFUNCTION("""COMPUTED_VALUE"""),"#Lazer #Comida #Variavel")</f>
        <v>#Lazer #Comida #Variavel</v>
      </c>
      <c r="K908" s="216"/>
      <c r="L908" s="216"/>
      <c r="M908" s="216"/>
      <c r="N908" s="216"/>
      <c r="O908" s="216"/>
      <c r="P908" s="216"/>
      <c r="Q908" s="216"/>
    </row>
    <row r="909">
      <c r="A909" s="11" t="str">
        <f>IFERROR(__xludf.DUMMYFUNCTION("""COMPUTED_VALUE"""),"PAGO")</f>
        <v>PAGO</v>
      </c>
      <c r="B909" s="98" t="str">
        <f>IFERROR(__xludf.DUMMYFUNCTION("""COMPUTED_VALUE"""),"Agua - ITAQUERA - SERÁ PAGO PELA JOICE (CASA ALUGADA)")</f>
        <v>Agua - ITAQUERA - SERÁ PAGO PELA JOICE (CASA ALUGADA)</v>
      </c>
      <c r="C909" s="13">
        <f>IFERROR(__xludf.DUMMYFUNCTION("""COMPUTED_VALUE"""),22.0)</f>
        <v>22</v>
      </c>
      <c r="D909" s="13" t="str">
        <f>IFERROR(__xludf.DUMMYFUNCTION("""COMPUTED_VALUE"""),"SEX.")</f>
        <v>SEX.</v>
      </c>
      <c r="E909" s="13">
        <f>IFERROR(__xludf.DUMMYFUNCTION("""COMPUTED_VALUE"""),10.0)</f>
        <v>10</v>
      </c>
      <c r="F909" s="15"/>
      <c r="G909" s="16"/>
      <c r="H909" s="227">
        <f>IFERROR(__xludf.DUMMYFUNCTION("""COMPUTED_VALUE"""),0.0)</f>
        <v>0</v>
      </c>
      <c r="I909" s="21" t="str">
        <f>IFERROR(__xludf.DUMMYFUNCTION("""COMPUTED_VALUE"""),"NUBANK")</f>
        <v>NUBANK</v>
      </c>
      <c r="J909" s="21" t="str">
        <f>IFERROR(__xludf.DUMMYFUNCTION("""COMPUTED_VALUE"""),"#Itaquera #Essencial #AjudaAlmir #Fixo")</f>
        <v>#Itaquera #Essencial #AjudaAlmir #Fixo</v>
      </c>
      <c r="K909" s="216"/>
      <c r="L909" s="216"/>
      <c r="M909" s="216"/>
      <c r="N909" s="216"/>
      <c r="O909" s="216"/>
      <c r="P909" s="216"/>
      <c r="Q909" s="216"/>
    </row>
    <row r="910">
      <c r="A910" s="11" t="str">
        <f>IFERROR(__xludf.DUMMYFUNCTION("""COMPUTED_VALUE"""),"PAGO")</f>
        <v>PAGO</v>
      </c>
      <c r="B910" s="98" t="str">
        <f>IFERROR(__xludf.DUMMYFUNCTION("""COMPUTED_VALUE"""),"Rendimento")</f>
        <v>Rendimento</v>
      </c>
      <c r="C910" s="13">
        <f>IFERROR(__xludf.DUMMYFUNCTION("""COMPUTED_VALUE"""),22.0)</f>
        <v>22</v>
      </c>
      <c r="D910" s="13" t="str">
        <f>IFERROR(__xludf.DUMMYFUNCTION("""COMPUTED_VALUE"""),"SEX.")</f>
        <v>SEX.</v>
      </c>
      <c r="E910" s="13">
        <f>IFERROR(__xludf.DUMMYFUNCTION("""COMPUTED_VALUE"""),10.0)</f>
        <v>10</v>
      </c>
      <c r="F910" s="15"/>
      <c r="G910" s="16">
        <f>IFERROR(__xludf.DUMMYFUNCTION("""COMPUTED_VALUE"""),0.03)</f>
        <v>0.03</v>
      </c>
      <c r="H910" s="227"/>
      <c r="I910" s="21" t="str">
        <f>IFERROR(__xludf.DUMMYFUNCTION("""COMPUTED_VALUE"""),"ITAU")</f>
        <v>ITAU</v>
      </c>
      <c r="J910" s="21" t="str">
        <f>IFERROR(__xludf.DUMMYFUNCTION("""COMPUTED_VALUE"""),"#Recebimentos #Rendimentos #Variavel")</f>
        <v>#Recebimentos #Rendimentos #Variavel</v>
      </c>
      <c r="K910" s="216"/>
      <c r="L910" s="216"/>
      <c r="M910" s="216"/>
      <c r="N910" s="216"/>
      <c r="O910" s="216"/>
      <c r="P910" s="216"/>
      <c r="Q910" s="216"/>
    </row>
    <row r="911">
      <c r="A911" s="11" t="str">
        <f>IFERROR(__xludf.DUMMYFUNCTION("""COMPUTED_VALUE"""),"PAGO")</f>
        <v>PAGO</v>
      </c>
      <c r="B911" s="98" t="str">
        <f>IFERROR(__xludf.DUMMYFUNCTION("""COMPUTED_VALUE"""),"Luz - DEBITO AUTO")</f>
        <v>Luz - DEBITO AUTO</v>
      </c>
      <c r="C911" s="13">
        <f>IFERROR(__xludf.DUMMYFUNCTION("""COMPUTED_VALUE"""),22.0)</f>
        <v>22</v>
      </c>
      <c r="D911" s="13" t="str">
        <f>IFERROR(__xludf.DUMMYFUNCTION("""COMPUTED_VALUE"""),"SEX.")</f>
        <v>SEX.</v>
      </c>
      <c r="E911" s="13">
        <f>IFERROR(__xludf.DUMMYFUNCTION("""COMPUTED_VALUE"""),10.0)</f>
        <v>10</v>
      </c>
      <c r="F911" s="15"/>
      <c r="G911" s="16"/>
      <c r="H911" s="227">
        <f>IFERROR(__xludf.DUMMYFUNCTION("""COMPUTED_VALUE"""),275.83)</f>
        <v>275.83</v>
      </c>
      <c r="I911" s="21" t="str">
        <f>IFERROR(__xludf.DUMMYFUNCTION("""COMPUTED_VALUE"""),"ITAU")</f>
        <v>ITAU</v>
      </c>
      <c r="J911" s="21" t="str">
        <f>IFERROR(__xludf.DUMMYFUNCTION("""COMPUTED_VALUE"""),"#Moradia #Essencial #Luz #Fixo")</f>
        <v>#Moradia #Essencial #Luz #Fixo</v>
      </c>
      <c r="K911" s="216"/>
      <c r="L911" s="216"/>
      <c r="M911" s="216"/>
      <c r="N911" s="216"/>
      <c r="O911" s="216"/>
      <c r="P911" s="216"/>
      <c r="Q911" s="216"/>
    </row>
    <row r="912">
      <c r="A912" s="11" t="str">
        <f>IFERROR(__xludf.DUMMYFUNCTION("""COMPUTED_VALUE"""),"PAGO")</f>
        <v>PAGO</v>
      </c>
      <c r="B912" s="98" t="str">
        <f>IFERROR(__xludf.DUMMYFUNCTION("""COMPUTED_VALUE"""),"FarmaConde - Cidade Jardim 4520 x Jacinto Gallo")</f>
        <v>FarmaConde - Cidade Jardim 4520 x Jacinto Gallo</v>
      </c>
      <c r="C912" s="13">
        <f>IFERROR(__xludf.DUMMYFUNCTION("""COMPUTED_VALUE"""),22.0)</f>
        <v>22</v>
      </c>
      <c r="D912" s="13" t="str">
        <f>IFERROR(__xludf.DUMMYFUNCTION("""COMPUTED_VALUE"""),"SEX.")</f>
        <v>SEX.</v>
      </c>
      <c r="E912" s="13">
        <f>IFERROR(__xludf.DUMMYFUNCTION("""COMPUTED_VALUE"""),10.0)</f>
        <v>10</v>
      </c>
      <c r="F912" s="15"/>
      <c r="G912" s="16"/>
      <c r="H912" s="227">
        <f>IFERROR(__xludf.DUMMYFUNCTION("""COMPUTED_VALUE"""),9.78)</f>
        <v>9.78</v>
      </c>
      <c r="I912" s="21" t="str">
        <f>IFERROR(__xludf.DUMMYFUNCTION("""COMPUTED_VALUE"""),"NUBANK")</f>
        <v>NUBANK</v>
      </c>
      <c r="J912" s="21" t="str">
        <f>IFERROR(__xludf.DUMMYFUNCTION("""COMPUTED_VALUE"""),"#Remedios #Eduardo #Variavel ")</f>
        <v>#Remedios #Eduardo #Variavel </v>
      </c>
      <c r="K912" s="216"/>
      <c r="L912" s="216"/>
      <c r="M912" s="216"/>
      <c r="N912" s="216"/>
      <c r="O912" s="216"/>
      <c r="P912" s="216"/>
      <c r="Q912" s="216"/>
    </row>
    <row r="913">
      <c r="A913" s="11" t="str">
        <f>IFERROR(__xludf.DUMMYFUNCTION("""COMPUTED_VALUE"""),"PAGO")</f>
        <v>PAGO</v>
      </c>
      <c r="B913" s="98" t="str">
        <f>IFERROR(__xludf.DUMMYFUNCTION("""COMPUTED_VALUE"""),"Recarga TIM Cicero 11 948825242")</f>
        <v>Recarga TIM Cicero 11 948825242</v>
      </c>
      <c r="C913" s="13">
        <f>IFERROR(__xludf.DUMMYFUNCTION("""COMPUTED_VALUE"""),23.0)</f>
        <v>23</v>
      </c>
      <c r="D913" s="13" t="str">
        <f>IFERROR(__xludf.DUMMYFUNCTION("""COMPUTED_VALUE"""),"SÁB.")</f>
        <v>SÁB.</v>
      </c>
      <c r="E913" s="13">
        <f>IFERROR(__xludf.DUMMYFUNCTION("""COMPUTED_VALUE"""),10.0)</f>
        <v>10</v>
      </c>
      <c r="F913" s="15"/>
      <c r="G913" s="16"/>
      <c r="H913" s="227">
        <f>IFERROR(__xludf.DUMMYFUNCTION("""COMPUTED_VALUE"""),20.0)</f>
        <v>20</v>
      </c>
      <c r="I913" s="21" t="str">
        <f>IFERROR(__xludf.DUMMYFUNCTION("""COMPUTED_VALUE"""),"NUBANK")</f>
        <v>NUBANK</v>
      </c>
      <c r="J913" s="21" t="str">
        <f>IFERROR(__xludf.DUMMYFUNCTION("""COMPUTED_VALUE"""),"#Variavel #Recarga #TIM ")</f>
        <v>#Variavel #Recarga #TIM </v>
      </c>
      <c r="K913" s="216"/>
      <c r="L913" s="216"/>
      <c r="M913" s="216"/>
      <c r="N913" s="216"/>
      <c r="O913" s="216"/>
      <c r="P913" s="216"/>
      <c r="Q913" s="216"/>
    </row>
    <row r="914">
      <c r="A914" s="11" t="str">
        <f>IFERROR(__xludf.DUMMYFUNCTION("""COMPUTED_VALUE"""),"PAGO")</f>
        <v>PAGO</v>
      </c>
      <c r="B914" s="98" t="str">
        <f>IFERROR(__xludf.DUMMYFUNCTION("""COMPUTED_VALUE"""),"Vale-Sul Shopping - 2 balões ")</f>
        <v>Vale-Sul Shopping - 2 balões </v>
      </c>
      <c r="C914" s="13">
        <f>IFERROR(__xludf.DUMMYFUNCTION("""COMPUTED_VALUE"""),23.0)</f>
        <v>23</v>
      </c>
      <c r="D914" s="13" t="str">
        <f>IFERROR(__xludf.DUMMYFUNCTION("""COMPUTED_VALUE"""),"SÁB.")</f>
        <v>SÁB.</v>
      </c>
      <c r="E914" s="13">
        <f>IFERROR(__xludf.DUMMYFUNCTION("""COMPUTED_VALUE"""),10.0)</f>
        <v>10</v>
      </c>
      <c r="F914" s="15"/>
      <c r="G914" s="16"/>
      <c r="H914" s="227">
        <f>IFERROR(__xludf.DUMMYFUNCTION("""COMPUTED_VALUE"""),40.0)</f>
        <v>40</v>
      </c>
      <c r="I914" s="21" t="str">
        <f>IFERROR(__xludf.DUMMYFUNCTION("""COMPUTED_VALUE"""),"NUBANK")</f>
        <v>NUBANK</v>
      </c>
      <c r="J914" s="21" t="str">
        <f>IFERROR(__xludf.DUMMYFUNCTION("""COMPUTED_VALUE"""),"#Lazer #Eduardo #Carlos #Shopping #Variavel")</f>
        <v>#Lazer #Eduardo #Carlos #Shopping #Variavel</v>
      </c>
      <c r="K914" s="216"/>
      <c r="L914" s="216"/>
      <c r="M914" s="216"/>
      <c r="N914" s="216"/>
      <c r="O914" s="216"/>
      <c r="P914" s="216"/>
      <c r="Q914" s="216"/>
    </row>
    <row r="915">
      <c r="A915" s="11" t="str">
        <f>IFERROR(__xludf.DUMMYFUNCTION("""COMPUTED_VALUE"""),"PAGO")</f>
        <v>PAGO</v>
      </c>
      <c r="B915" s="98" t="str">
        <f>IFERROR(__xludf.DUMMYFUNCTION("""COMPUTED_VALUE"""),"Vale-Sul Shopping - Oscar Calçados")</f>
        <v>Vale-Sul Shopping - Oscar Calçados</v>
      </c>
      <c r="C915" s="13">
        <f>IFERROR(__xludf.DUMMYFUNCTION("""COMPUTED_VALUE"""),23.0)</f>
        <v>23</v>
      </c>
      <c r="D915" s="13" t="str">
        <f>IFERROR(__xludf.DUMMYFUNCTION("""COMPUTED_VALUE"""),"SÁB.")</f>
        <v>SÁB.</v>
      </c>
      <c r="E915" s="13">
        <f>IFERROR(__xludf.DUMMYFUNCTION("""COMPUTED_VALUE"""),10.0)</f>
        <v>10</v>
      </c>
      <c r="F915" s="15"/>
      <c r="G915" s="16"/>
      <c r="H915" s="227">
        <f>IFERROR(__xludf.DUMMYFUNCTION("""COMPUTED_VALUE"""),210.0)</f>
        <v>210</v>
      </c>
      <c r="I915" s="21" t="str">
        <f>IFERROR(__xludf.DUMMYFUNCTION("""COMPUTED_VALUE"""),"NUBANK")</f>
        <v>NUBANK</v>
      </c>
      <c r="J915" s="21" t="str">
        <f>IFERROR(__xludf.DUMMYFUNCTION("""COMPUTED_VALUE"""),"#Carlos #Eduardo #Carlos #Essencial #Calçados #Variavel")</f>
        <v>#Carlos #Eduardo #Carlos #Essencial #Calçados #Variavel</v>
      </c>
      <c r="K915" s="216"/>
      <c r="L915" s="216"/>
      <c r="M915" s="216"/>
      <c r="N915" s="216"/>
      <c r="O915" s="216"/>
      <c r="P915" s="216"/>
      <c r="Q915" s="216"/>
    </row>
    <row r="916">
      <c r="A916" s="11" t="str">
        <f>IFERROR(__xludf.DUMMYFUNCTION("""COMPUTED_VALUE"""),"PAGO")</f>
        <v>PAGO</v>
      </c>
      <c r="B916" s="98" t="str">
        <f>IFERROR(__xludf.DUMMYFUNCTION("""COMPUTED_VALUE"""),"Vale-Sul Shopping - C&amp;A Modas")</f>
        <v>Vale-Sul Shopping - C&amp;A Modas</v>
      </c>
      <c r="C916" s="13">
        <f>IFERROR(__xludf.DUMMYFUNCTION("""COMPUTED_VALUE"""),23.0)</f>
        <v>23</v>
      </c>
      <c r="D916" s="13" t="str">
        <f>IFERROR(__xludf.DUMMYFUNCTION("""COMPUTED_VALUE"""),"SÁB.")</f>
        <v>SÁB.</v>
      </c>
      <c r="E916" s="13">
        <f>IFERROR(__xludf.DUMMYFUNCTION("""COMPUTED_VALUE"""),10.0)</f>
        <v>10</v>
      </c>
      <c r="F916" s="15"/>
      <c r="G916" s="16"/>
      <c r="H916" s="227">
        <f>IFERROR(__xludf.DUMMYFUNCTION("""COMPUTED_VALUE"""),99.99)</f>
        <v>99.99</v>
      </c>
      <c r="I916" s="21" t="str">
        <f>IFERROR(__xludf.DUMMYFUNCTION("""COMPUTED_VALUE"""),"NUBANK")</f>
        <v>NUBANK</v>
      </c>
      <c r="J916" s="21" t="str">
        <f>IFERROR(__xludf.DUMMYFUNCTION("""COMPUTED_VALUE"""),"#Cicero #Essencial #Roupas #Variavel")</f>
        <v>#Cicero #Essencial #Roupas #Variavel</v>
      </c>
      <c r="K916" s="216"/>
      <c r="L916" s="216"/>
      <c r="M916" s="216"/>
      <c r="N916" s="216"/>
      <c r="O916" s="216"/>
      <c r="P916" s="216"/>
      <c r="Q916" s="216"/>
    </row>
    <row r="917">
      <c r="A917" s="11" t="str">
        <f>IFERROR(__xludf.DUMMYFUNCTION("""COMPUTED_VALUE"""),"PAGO")</f>
        <v>PAGO</v>
      </c>
      <c r="B917" s="98" t="str">
        <f>IFERROR(__xludf.DUMMYFUNCTION("""COMPUTED_VALUE"""),"Vale-Sul Shopping - C&amp;A Modas - CHIP TIM")</f>
        <v>Vale-Sul Shopping - C&amp;A Modas - CHIP TIM</v>
      </c>
      <c r="C917" s="13">
        <f>IFERROR(__xludf.DUMMYFUNCTION("""COMPUTED_VALUE"""),23.0)</f>
        <v>23</v>
      </c>
      <c r="D917" s="13" t="str">
        <f>IFERROR(__xludf.DUMMYFUNCTION("""COMPUTED_VALUE"""),"SÁB.")</f>
        <v>SÁB.</v>
      </c>
      <c r="E917" s="13">
        <f>IFERROR(__xludf.DUMMYFUNCTION("""COMPUTED_VALUE"""),10.0)</f>
        <v>10</v>
      </c>
      <c r="F917" s="15"/>
      <c r="G917" s="16"/>
      <c r="H917" s="227">
        <f>IFERROR(__xludf.DUMMYFUNCTION("""COMPUTED_VALUE"""),10.0)</f>
        <v>10</v>
      </c>
      <c r="I917" s="21" t="str">
        <f>IFERROR(__xludf.DUMMYFUNCTION("""COMPUTED_VALUE"""),"NUBANK")</f>
        <v>NUBANK</v>
      </c>
      <c r="J917" s="21" t="str">
        <f>IFERROR(__xludf.DUMMYFUNCTION("""COMPUTED_VALUE"""),"#Eduardo #Celular #Lazer #Variavel")</f>
        <v>#Eduardo #Celular #Lazer #Variavel</v>
      </c>
      <c r="K917" s="216"/>
      <c r="L917" s="216"/>
      <c r="M917" s="216"/>
      <c r="N917" s="216"/>
      <c r="O917" s="216"/>
      <c r="P917" s="216"/>
      <c r="Q917" s="216"/>
    </row>
    <row r="918">
      <c r="A918" s="11" t="str">
        <f>IFERROR(__xludf.DUMMYFUNCTION("""COMPUTED_VALUE"""),"PAGO")</f>
        <v>PAGO</v>
      </c>
      <c r="B918" s="98" t="str">
        <f>IFERROR(__xludf.DUMMYFUNCTION("""COMPUTED_VALUE"""),"Vale-Sul Shopping - Estacionamento")</f>
        <v>Vale-Sul Shopping - Estacionamento</v>
      </c>
      <c r="C918" s="13">
        <f>IFERROR(__xludf.DUMMYFUNCTION("""COMPUTED_VALUE"""),23.0)</f>
        <v>23</v>
      </c>
      <c r="D918" s="13" t="str">
        <f>IFERROR(__xludf.DUMMYFUNCTION("""COMPUTED_VALUE"""),"SÁB.")</f>
        <v>SÁB.</v>
      </c>
      <c r="E918" s="13">
        <f>IFERROR(__xludf.DUMMYFUNCTION("""COMPUTED_VALUE"""),10.0)</f>
        <v>10</v>
      </c>
      <c r="F918" s="15"/>
      <c r="G918" s="16"/>
      <c r="H918" s="227">
        <f>IFERROR(__xludf.DUMMYFUNCTION("""COMPUTED_VALUE"""),7.0)</f>
        <v>7</v>
      </c>
      <c r="I918" s="21" t="str">
        <f>IFERROR(__xludf.DUMMYFUNCTION("""COMPUTED_VALUE"""),"NUBANK")</f>
        <v>NUBANK</v>
      </c>
      <c r="J918" s="21" t="str">
        <f>IFERROR(__xludf.DUMMYFUNCTION("""COMPUTED_VALUE"""),"#Carro #Estacionamento #Variavel")</f>
        <v>#Carro #Estacionamento #Variavel</v>
      </c>
      <c r="K918" s="216"/>
      <c r="L918" s="216"/>
      <c r="M918" s="216"/>
      <c r="N918" s="216"/>
      <c r="O918" s="216"/>
      <c r="P918" s="216"/>
      <c r="Q918" s="216"/>
    </row>
    <row r="919">
      <c r="A919" s="11" t="str">
        <f>IFERROR(__xludf.DUMMYFUNCTION("""COMPUTED_VALUE"""),"PAGO")</f>
        <v>PAGO</v>
      </c>
      <c r="B919" s="98" t="str">
        <f>IFERROR(__xludf.DUMMYFUNCTION("""COMPUTED_VALUE"""),"Extra Hipermercado")</f>
        <v>Extra Hipermercado</v>
      </c>
      <c r="C919" s="13">
        <f>IFERROR(__xludf.DUMMYFUNCTION("""COMPUTED_VALUE"""),24.0)</f>
        <v>24</v>
      </c>
      <c r="D919" s="13" t="str">
        <f>IFERROR(__xludf.DUMMYFUNCTION("""COMPUTED_VALUE"""),"DOM.")</f>
        <v>DOM.</v>
      </c>
      <c r="E919" s="13">
        <f>IFERROR(__xludf.DUMMYFUNCTION("""COMPUTED_VALUE"""),10.0)</f>
        <v>10</v>
      </c>
      <c r="F919" s="15"/>
      <c r="G919" s="16"/>
      <c r="H919" s="227">
        <f>IFERROR(__xludf.DUMMYFUNCTION("""COMPUTED_VALUE"""),76.18)</f>
        <v>76.18</v>
      </c>
      <c r="I919" s="21" t="str">
        <f>IFERROR(__xludf.DUMMYFUNCTION("""COMPUTED_VALUE"""),"NUBANK")</f>
        <v>NUBANK</v>
      </c>
      <c r="J919" s="21" t="str">
        <f>IFERROR(__xludf.DUMMYFUNCTION("""COMPUTED_VALUE"""),"#Moradia #Essencial #Mercado #Variavel #Alimentação ")</f>
        <v>#Moradia #Essencial #Mercado #Variavel #Alimentação </v>
      </c>
      <c r="K919" s="216"/>
      <c r="L919" s="216"/>
      <c r="M919" s="216"/>
      <c r="N919" s="216"/>
      <c r="O919" s="216"/>
      <c r="P919" s="216"/>
      <c r="Q919" s="216"/>
    </row>
    <row r="920">
      <c r="A920" s="11" t="str">
        <f>IFERROR(__xludf.DUMMYFUNCTION("""COMPUTED_VALUE"""),"PAGO")</f>
        <v>PAGO</v>
      </c>
      <c r="B920" s="98" t="str">
        <f>IFERROR(__xludf.DUMMYFUNCTION("""COMPUTED_VALUE"""),"Extra Hipermercado")</f>
        <v>Extra Hipermercado</v>
      </c>
      <c r="C920" s="13">
        <f>IFERROR(__xludf.DUMMYFUNCTION("""COMPUTED_VALUE"""),24.0)</f>
        <v>24</v>
      </c>
      <c r="D920" s="13" t="str">
        <f>IFERROR(__xludf.DUMMYFUNCTION("""COMPUTED_VALUE"""),"DOM.")</f>
        <v>DOM.</v>
      </c>
      <c r="E920" s="13">
        <f>IFERROR(__xludf.DUMMYFUNCTION("""COMPUTED_VALUE"""),10.0)</f>
        <v>10</v>
      </c>
      <c r="F920" s="15"/>
      <c r="G920" s="16"/>
      <c r="H920" s="227">
        <f>IFERROR(__xludf.DUMMYFUNCTION("""COMPUTED_VALUE"""),50.0)</f>
        <v>50</v>
      </c>
      <c r="I920" s="21" t="str">
        <f>IFERROR(__xludf.DUMMYFUNCTION("""COMPUTED_VALUE"""),"NUBANK")</f>
        <v>NUBANK</v>
      </c>
      <c r="J920" s="21" t="str">
        <f>IFERROR(__xludf.DUMMYFUNCTION("""COMPUTED_VALUE"""),"#Lazer #Eduardo #Variavel ")</f>
        <v>#Lazer #Eduardo #Variavel </v>
      </c>
      <c r="K920" s="216"/>
      <c r="L920" s="216"/>
      <c r="M920" s="216"/>
      <c r="N920" s="216"/>
      <c r="O920" s="216"/>
      <c r="P920" s="216"/>
      <c r="Q920" s="216"/>
    </row>
    <row r="921">
      <c r="A921" s="11" t="str">
        <f>IFERROR(__xludf.DUMMYFUNCTION("""COMPUTED_VALUE"""),"PAGO")</f>
        <v>PAGO</v>
      </c>
      <c r="B921" s="98" t="str">
        <f>IFERROR(__xludf.DUMMYFUNCTION("""COMPUTED_VALUE"""),"Agua - DEBITO AUTO")</f>
        <v>Agua - DEBITO AUTO</v>
      </c>
      <c r="C921" s="13">
        <f>IFERROR(__xludf.DUMMYFUNCTION("""COMPUTED_VALUE"""),25.0)</f>
        <v>25</v>
      </c>
      <c r="D921" s="13" t="str">
        <f>IFERROR(__xludf.DUMMYFUNCTION("""COMPUTED_VALUE"""),"SEG.")</f>
        <v>SEG.</v>
      </c>
      <c r="E921" s="13">
        <f>IFERROR(__xludf.DUMMYFUNCTION("""COMPUTED_VALUE"""),10.0)</f>
        <v>10</v>
      </c>
      <c r="F921" s="15"/>
      <c r="G921" s="16"/>
      <c r="H921" s="227">
        <f>IFERROR(__xludf.DUMMYFUNCTION("""COMPUTED_VALUE"""),67.05)</f>
        <v>67.05</v>
      </c>
      <c r="I921" s="21" t="str">
        <f>IFERROR(__xludf.DUMMYFUNCTION("""COMPUTED_VALUE"""),"ITAU")</f>
        <v>ITAU</v>
      </c>
      <c r="J921" s="21" t="str">
        <f>IFERROR(__xludf.DUMMYFUNCTION("""COMPUTED_VALUE"""),"#Moradia #Essencial #Agua #Fixo")</f>
        <v>#Moradia #Essencial #Agua #Fixo</v>
      </c>
      <c r="K921" s="216"/>
      <c r="L921" s="216"/>
      <c r="M921" s="216"/>
      <c r="N921" s="216"/>
      <c r="O921" s="216"/>
      <c r="P921" s="216"/>
      <c r="Q921" s="216"/>
    </row>
    <row r="922">
      <c r="A922" s="11" t="str">
        <f>IFERROR(__xludf.DUMMYFUNCTION("""COMPUTED_VALUE"""),"PAGO")</f>
        <v>PAGO</v>
      </c>
      <c r="B922" s="98" t="str">
        <f>IFERROR(__xludf.DUMMYFUNCTION("""COMPUTED_VALUE"""),"Coaching / Psicologa - Candice Oliveira")</f>
        <v>Coaching / Psicologa - Candice Oliveira</v>
      </c>
      <c r="C922" s="13">
        <f>IFERROR(__xludf.DUMMYFUNCTION("""COMPUTED_VALUE"""),25.0)</f>
        <v>25</v>
      </c>
      <c r="D922" s="13" t="str">
        <f>IFERROR(__xludf.DUMMYFUNCTION("""COMPUTED_VALUE"""),"SEG.")</f>
        <v>SEG.</v>
      </c>
      <c r="E922" s="13">
        <f>IFERROR(__xludf.DUMMYFUNCTION("""COMPUTED_VALUE"""),10.0)</f>
        <v>10</v>
      </c>
      <c r="F922" s="15"/>
      <c r="G922" s="16"/>
      <c r="H922" s="227">
        <f>IFERROR(__xludf.DUMMYFUNCTION("""COMPUTED_VALUE"""),100.0)</f>
        <v>100</v>
      </c>
      <c r="I922" s="21" t="str">
        <f>IFERROR(__xludf.DUMMYFUNCTION("""COMPUTED_VALUE"""),"NUBANK")</f>
        <v>NUBANK</v>
      </c>
      <c r="J922" s="21" t="str">
        <f>IFERROR(__xludf.DUMMYFUNCTION("""COMPUTED_VALUE"""),"#Coaching #Fixo")</f>
        <v>#Coaching #Fixo</v>
      </c>
      <c r="K922" s="216"/>
      <c r="L922" s="216"/>
      <c r="M922" s="216"/>
      <c r="N922" s="216"/>
      <c r="O922" s="216"/>
      <c r="P922" s="216"/>
      <c r="Q922" s="216"/>
    </row>
    <row r="923">
      <c r="A923" s="11" t="str">
        <f>IFERROR(__xludf.DUMMYFUNCTION("""COMPUTED_VALUE"""),"PAGO")</f>
        <v>PAGO</v>
      </c>
      <c r="B923" s="98" t="str">
        <f>IFERROR(__xludf.DUMMYFUNCTION("""COMPUTED_VALUE"""),"iFood - Yakisoba do Sensei (yakisoba gigante 1200g)")</f>
        <v>iFood - Yakisoba do Sensei (yakisoba gigante 1200g)</v>
      </c>
      <c r="C923" s="13">
        <f>IFERROR(__xludf.DUMMYFUNCTION("""COMPUTED_VALUE"""),25.0)</f>
        <v>25</v>
      </c>
      <c r="D923" s="13" t="str">
        <f>IFERROR(__xludf.DUMMYFUNCTION("""COMPUTED_VALUE"""),"SEG.")</f>
        <v>SEG.</v>
      </c>
      <c r="E923" s="13">
        <f>IFERROR(__xludf.DUMMYFUNCTION("""COMPUTED_VALUE"""),10.0)</f>
        <v>10</v>
      </c>
      <c r="F923" s="15"/>
      <c r="G923" s="16"/>
      <c r="H923" s="227">
        <f>IFERROR(__xludf.DUMMYFUNCTION("""COMPUTED_VALUE"""),56.9)</f>
        <v>56.9</v>
      </c>
      <c r="I923" s="21" t="str">
        <f>IFERROR(__xludf.DUMMYFUNCTION("""COMPUTED_VALUE"""),"NUBANK")</f>
        <v>NUBANK</v>
      </c>
      <c r="J923" s="21" t="str">
        <f>IFERROR(__xludf.DUMMYFUNCTION("""COMPUTED_VALUE"""),"#Lazer #Comida #Variavel")</f>
        <v>#Lazer #Comida #Variavel</v>
      </c>
      <c r="K923" s="216"/>
      <c r="L923" s="216"/>
      <c r="M923" s="216"/>
      <c r="N923" s="216"/>
      <c r="O923" s="216"/>
      <c r="P923" s="216"/>
      <c r="Q923" s="216"/>
    </row>
    <row r="924">
      <c r="A924" s="11" t="str">
        <f>IFERROR(__xludf.DUMMYFUNCTION("""COMPUTED_VALUE"""),"PAGO")</f>
        <v>PAGO</v>
      </c>
      <c r="B924" s="98" t="str">
        <f>IFERROR(__xludf.DUMMYFUNCTION("""COMPUTED_VALUE"""),"Galinha pintadinha")</f>
        <v>Galinha pintadinha</v>
      </c>
      <c r="C924" s="13">
        <f>IFERROR(__xludf.DUMMYFUNCTION("""COMPUTED_VALUE"""),28.0)</f>
        <v>28</v>
      </c>
      <c r="D924" s="13" t="str">
        <f>IFERROR(__xludf.DUMMYFUNCTION("""COMPUTED_VALUE"""),"QUI.")</f>
        <v>QUI.</v>
      </c>
      <c r="E924" s="13">
        <f>IFERROR(__xludf.DUMMYFUNCTION("""COMPUTED_VALUE"""),10.0)</f>
        <v>10</v>
      </c>
      <c r="F924" s="15"/>
      <c r="G924" s="16"/>
      <c r="H924" s="227">
        <f>IFERROR(__xludf.DUMMYFUNCTION("""COMPUTED_VALUE"""),7.0)</f>
        <v>7</v>
      </c>
      <c r="I924" s="21" t="str">
        <f>IFERROR(__xludf.DUMMYFUNCTION("""COMPUTED_VALUE"""),"NUBANK")</f>
        <v>NUBANK</v>
      </c>
      <c r="J924" s="21" t="str">
        <f>IFERROR(__xludf.DUMMYFUNCTION("""COMPUTED_VALUE"""),"#Lazer #Comida #Variavel")</f>
        <v>#Lazer #Comida #Variavel</v>
      </c>
      <c r="K924" s="216"/>
      <c r="L924" s="216"/>
      <c r="M924" s="216"/>
      <c r="N924" s="216"/>
      <c r="O924" s="216"/>
      <c r="P924" s="216"/>
      <c r="Q924" s="216"/>
    </row>
    <row r="925">
      <c r="A925" s="11" t="str">
        <f>IFERROR(__xludf.DUMMYFUNCTION("""COMPUTED_VALUE"""),"PAGO")</f>
        <v>PAGO</v>
      </c>
      <c r="B925" s="98" t="str">
        <f>IFERROR(__xludf.DUMMYFUNCTION("""COMPUTED_VALUE"""),"Recarga Sodexo Alimentação IBM")</f>
        <v>Recarga Sodexo Alimentação IBM</v>
      </c>
      <c r="C925" s="13">
        <f>IFERROR(__xludf.DUMMYFUNCTION("""COMPUTED_VALUE"""),29.0)</f>
        <v>29</v>
      </c>
      <c r="D925" s="13" t="str">
        <f>IFERROR(__xludf.DUMMYFUNCTION("""COMPUTED_VALUE"""),"SEX.")</f>
        <v>SEX.</v>
      </c>
      <c r="E925" s="13">
        <f>IFERROR(__xludf.DUMMYFUNCTION("""COMPUTED_VALUE"""),10.0)</f>
        <v>10</v>
      </c>
      <c r="F925" s="15"/>
      <c r="G925" s="16">
        <f>IFERROR(__xludf.DUMMYFUNCTION("""COMPUTED_VALUE"""),330.0)</f>
        <v>330</v>
      </c>
      <c r="H925" s="227"/>
      <c r="I925" s="21" t="str">
        <f>IFERROR(__xludf.DUMMYFUNCTION("""COMPUTED_VALUE"""),"SODEXO-ALI-IBM")</f>
        <v>SODEXO-ALI-IBM</v>
      </c>
      <c r="J925" s="21" t="str">
        <f>IFERROR(__xludf.DUMMYFUNCTION("""COMPUTED_VALUE"""),"#Recebimentos #Alimentação #Fixo")</f>
        <v>#Recebimentos #Alimentação #Fixo</v>
      </c>
      <c r="K925" s="216"/>
      <c r="L925" s="216"/>
      <c r="M925" s="216"/>
      <c r="N925" s="216"/>
      <c r="O925" s="216"/>
      <c r="P925" s="216"/>
      <c r="Q925" s="216"/>
    </row>
    <row r="926">
      <c r="A926" s="11" t="str">
        <f>IFERROR(__xludf.DUMMYFUNCTION("""COMPUTED_VALUE"""),"PAGO")</f>
        <v>PAGO</v>
      </c>
      <c r="B926" s="98" t="str">
        <f>IFERROR(__xludf.DUMMYFUNCTION("""COMPUTED_VALUE"""),"Recarga Sodexo Refeição IBM")</f>
        <v>Recarga Sodexo Refeição IBM</v>
      </c>
      <c r="C926" s="13">
        <f>IFERROR(__xludf.DUMMYFUNCTION("""COMPUTED_VALUE"""),29.0)</f>
        <v>29</v>
      </c>
      <c r="D926" s="13" t="str">
        <f>IFERROR(__xludf.DUMMYFUNCTION("""COMPUTED_VALUE"""),"SEX.")</f>
        <v>SEX.</v>
      </c>
      <c r="E926" s="13">
        <f>IFERROR(__xludf.DUMMYFUNCTION("""COMPUTED_VALUE"""),10.0)</f>
        <v>10</v>
      </c>
      <c r="F926" s="15"/>
      <c r="G926" s="16">
        <f>IFERROR(__xludf.DUMMYFUNCTION("""COMPUTED_VALUE"""),700.0)</f>
        <v>700</v>
      </c>
      <c r="H926" s="227"/>
      <c r="I926" s="21" t="str">
        <f>IFERROR(__xludf.DUMMYFUNCTION("""COMPUTED_VALUE"""),"SODEXO-REF-IBM")</f>
        <v>SODEXO-REF-IBM</v>
      </c>
      <c r="J926" s="21" t="str">
        <f>IFERROR(__xludf.DUMMYFUNCTION("""COMPUTED_VALUE"""),"#Recebimentos #Alimentação #Fixo")</f>
        <v>#Recebimentos #Alimentação #Fixo</v>
      </c>
      <c r="K926" s="216"/>
      <c r="L926" s="216"/>
      <c r="M926" s="216"/>
      <c r="N926" s="216"/>
      <c r="O926" s="216"/>
      <c r="P926" s="216"/>
      <c r="Q926" s="216"/>
    </row>
    <row r="927">
      <c r="A927" s="11" t="str">
        <f>IFERROR(__xludf.DUMMYFUNCTION("""COMPUTED_VALUE"""),"PAGO")</f>
        <v>PAGO</v>
      </c>
      <c r="B927" s="98" t="str">
        <f>IFERROR(__xludf.DUMMYFUNCTION("""COMPUTED_VALUE"""),"Salario + PLR - IBM")</f>
        <v>Salario + PLR - IBM</v>
      </c>
      <c r="C927" s="13">
        <f>IFERROR(__xludf.DUMMYFUNCTION("""COMPUTED_VALUE"""),29.0)</f>
        <v>29</v>
      </c>
      <c r="D927" s="13" t="str">
        <f>IFERROR(__xludf.DUMMYFUNCTION("""COMPUTED_VALUE"""),"SEX.")</f>
        <v>SEX.</v>
      </c>
      <c r="E927" s="13">
        <f>IFERROR(__xludf.DUMMYFUNCTION("""COMPUTED_VALUE"""),10.0)</f>
        <v>10</v>
      </c>
      <c r="F927" s="15"/>
      <c r="G927" s="16">
        <f>IFERROR(__xludf.DUMMYFUNCTION("""COMPUTED_VALUE"""),8573.26)</f>
        <v>8573.26</v>
      </c>
      <c r="H927" s="227"/>
      <c r="I927" s="21" t="str">
        <f>IFERROR(__xludf.DUMMYFUNCTION("""COMPUTED_VALUE"""),"SANTANDER")</f>
        <v>SANTANDER</v>
      </c>
      <c r="J927" s="21" t="str">
        <f>IFERROR(__xludf.DUMMYFUNCTION("""COMPUTED_VALUE"""),"#Recebimentos #Salario #PLR #Fixo")</f>
        <v>#Recebimentos #Salario #PLR #Fixo</v>
      </c>
      <c r="K927" s="216"/>
      <c r="L927" s="216"/>
      <c r="M927" s="216"/>
      <c r="N927" s="216"/>
      <c r="O927" s="216"/>
      <c r="P927" s="216"/>
      <c r="Q927" s="216"/>
    </row>
    <row r="928">
      <c r="A928" s="11" t="str">
        <f>IFERROR(__xludf.DUMMYFUNCTION("""COMPUTED_VALUE"""),"CONTAS")</f>
        <v>CONTAS</v>
      </c>
      <c r="B928" s="98" t="str">
        <f>IFERROR(__xludf.DUMMYFUNCTION("""COMPUTED_VALUE"""),"Transferencia via PIX")</f>
        <v>Transferencia via PIX</v>
      </c>
      <c r="C928" s="13">
        <f>IFERROR(__xludf.DUMMYFUNCTION("""COMPUTED_VALUE"""),29.0)</f>
        <v>29</v>
      </c>
      <c r="D928" s="13" t="str">
        <f>IFERROR(__xludf.DUMMYFUNCTION("""COMPUTED_VALUE"""),"SEX.")</f>
        <v>SEX.</v>
      </c>
      <c r="E928" s="13">
        <f>IFERROR(__xludf.DUMMYFUNCTION("""COMPUTED_VALUE"""),10.0)</f>
        <v>10</v>
      </c>
      <c r="F928" s="15"/>
      <c r="G928" s="16"/>
      <c r="H928" s="227">
        <f>IFERROR(__xludf.DUMMYFUNCTION("""COMPUTED_VALUE"""),8573.26)</f>
        <v>8573.26</v>
      </c>
      <c r="I928" s="21" t="str">
        <f>IFERROR(__xludf.DUMMYFUNCTION("""COMPUTED_VALUE"""),"SANTANDER")</f>
        <v>SANTANDER</v>
      </c>
      <c r="J928" s="21"/>
      <c r="K928" s="216"/>
      <c r="L928" s="216"/>
      <c r="M928" s="216"/>
      <c r="N928" s="216"/>
      <c r="O928" s="216"/>
      <c r="P928" s="216"/>
      <c r="Q928" s="216"/>
    </row>
    <row r="929">
      <c r="A929" s="11" t="str">
        <f>IFERROR(__xludf.DUMMYFUNCTION("""COMPUTED_VALUE"""),"CONTAS")</f>
        <v>CONTAS</v>
      </c>
      <c r="B929" s="98" t="str">
        <f>IFERROR(__xludf.DUMMYFUNCTION("""COMPUTED_VALUE"""),"Recebimento via PIX")</f>
        <v>Recebimento via PIX</v>
      </c>
      <c r="C929" s="13">
        <f>IFERROR(__xludf.DUMMYFUNCTION("""COMPUTED_VALUE"""),29.0)</f>
        <v>29</v>
      </c>
      <c r="D929" s="13" t="str">
        <f>IFERROR(__xludf.DUMMYFUNCTION("""COMPUTED_VALUE"""),"SEX.")</f>
        <v>SEX.</v>
      </c>
      <c r="E929" s="13">
        <f>IFERROR(__xludf.DUMMYFUNCTION("""COMPUTED_VALUE"""),10.0)</f>
        <v>10</v>
      </c>
      <c r="F929" s="15"/>
      <c r="G929" s="16">
        <f>IFERROR(__xludf.DUMMYFUNCTION("""COMPUTED_VALUE"""),8573.26)</f>
        <v>8573.26</v>
      </c>
      <c r="H929" s="227"/>
      <c r="I929" s="21" t="str">
        <f>IFERROR(__xludf.DUMMYFUNCTION("""COMPUTED_VALUE"""),"NUBANK")</f>
        <v>NUBANK</v>
      </c>
      <c r="J929" s="21"/>
      <c r="K929" s="216"/>
      <c r="L929" s="216"/>
      <c r="M929" s="216"/>
      <c r="N929" s="216"/>
      <c r="O929" s="216"/>
      <c r="P929" s="216"/>
      <c r="Q929" s="216"/>
    </row>
    <row r="930">
      <c r="A930" s="11" t="str">
        <f>IFERROR(__xludf.DUMMYFUNCTION("""COMPUTED_VALUE"""),"PAGO")</f>
        <v>PAGO</v>
      </c>
      <c r="B930" s="98" t="str">
        <f>IFERROR(__xludf.DUMMYFUNCTION("""COMPUTED_VALUE"""),"Transferi para investimento - Nubank (reserva de oportunidades)")</f>
        <v>Transferi para investimento - Nubank (reserva de oportunidades)</v>
      </c>
      <c r="C930" s="13">
        <f>IFERROR(__xludf.DUMMYFUNCTION("""COMPUTED_VALUE"""),29.0)</f>
        <v>29</v>
      </c>
      <c r="D930" s="13" t="str">
        <f>IFERROR(__xludf.DUMMYFUNCTION("""COMPUTED_VALUE"""),"SEX.")</f>
        <v>SEX.</v>
      </c>
      <c r="E930" s="13">
        <f>IFERROR(__xludf.DUMMYFUNCTION("""COMPUTED_VALUE"""),10.0)</f>
        <v>10</v>
      </c>
      <c r="F930" s="15"/>
      <c r="G930" s="16"/>
      <c r="H930" s="227">
        <f>IFERROR(__xludf.DUMMYFUNCTION("""COMPUTED_VALUE"""),10000.0)</f>
        <v>10000</v>
      </c>
      <c r="I930" s="21" t="str">
        <f>IFERROR(__xludf.DUMMYFUNCTION("""COMPUTED_VALUE"""),"NUBANK")</f>
        <v>NUBANK</v>
      </c>
      <c r="J930" s="21" t="str">
        <f>IFERROR(__xludf.DUMMYFUNCTION("""COMPUTED_VALUE"""),"#Transferencia #Investimento #Variavel #Nubank")</f>
        <v>#Transferencia #Investimento #Variavel #Nubank</v>
      </c>
      <c r="K930" s="216"/>
      <c r="L930" s="216"/>
      <c r="M930" s="216"/>
      <c r="N930" s="216"/>
      <c r="O930" s="216"/>
      <c r="P930" s="216"/>
      <c r="Q930" s="216"/>
    </row>
    <row r="931">
      <c r="A931" s="11" t="str">
        <f>IFERROR(__xludf.DUMMYFUNCTION("""COMPUTED_VALUE"""),"PAGO")</f>
        <v>PAGO</v>
      </c>
      <c r="B931" s="98" t="str">
        <f>IFERROR(__xludf.DUMMYFUNCTION("""COMPUTED_VALUE"""),"Mesada Eduardo")</f>
        <v>Mesada Eduardo</v>
      </c>
      <c r="C931" s="13">
        <f>IFERROR(__xludf.DUMMYFUNCTION("""COMPUTED_VALUE"""),29.0)</f>
        <v>29</v>
      </c>
      <c r="D931" s="13" t="str">
        <f>IFERROR(__xludf.DUMMYFUNCTION("""COMPUTED_VALUE"""),"SEX.")</f>
        <v>SEX.</v>
      </c>
      <c r="E931" s="13">
        <f>IFERROR(__xludf.DUMMYFUNCTION("""COMPUTED_VALUE"""),10.0)</f>
        <v>10</v>
      </c>
      <c r="F931" s="15"/>
      <c r="G931" s="16"/>
      <c r="H931" s="227">
        <f>IFERROR(__xludf.DUMMYFUNCTION("""COMPUTED_VALUE"""),50.0)</f>
        <v>50</v>
      </c>
      <c r="I931" s="21" t="str">
        <f>IFERROR(__xludf.DUMMYFUNCTION("""COMPUTED_VALUE"""),"NUBANK")</f>
        <v>NUBANK</v>
      </c>
      <c r="J931" s="21" t="str">
        <f>IFERROR(__xludf.DUMMYFUNCTION("""COMPUTED_VALUE"""),"#Mesada #Eduardo #Fixo")</f>
        <v>#Mesada #Eduardo #Fixo</v>
      </c>
      <c r="K931" s="216"/>
      <c r="L931" s="216"/>
      <c r="M931" s="216"/>
      <c r="N931" s="216"/>
      <c r="O931" s="216"/>
      <c r="P931" s="216"/>
      <c r="Q931" s="216"/>
    </row>
    <row r="932">
      <c r="A932" s="11" t="str">
        <f>IFERROR(__xludf.DUMMYFUNCTION("""COMPUTED_VALUE"""),"PAGO")</f>
        <v>PAGO</v>
      </c>
      <c r="B932" s="98" t="str">
        <f>IFERROR(__xludf.DUMMYFUNCTION("""COMPUTED_VALUE"""),"Entrada PIX Roberta (mesada Eduardo para google play)")</f>
        <v>Entrada PIX Roberta (mesada Eduardo para google play)</v>
      </c>
      <c r="C932" s="13">
        <f>IFERROR(__xludf.DUMMYFUNCTION("""COMPUTED_VALUE"""),30.0)</f>
        <v>30</v>
      </c>
      <c r="D932" s="13" t="str">
        <f>IFERROR(__xludf.DUMMYFUNCTION("""COMPUTED_VALUE"""),"SÁB.")</f>
        <v>SÁB.</v>
      </c>
      <c r="E932" s="13">
        <f>IFERROR(__xludf.DUMMYFUNCTION("""COMPUTED_VALUE"""),10.0)</f>
        <v>10</v>
      </c>
      <c r="F932" s="15"/>
      <c r="G932" s="16">
        <f>IFERROR(__xludf.DUMMYFUNCTION("""COMPUTED_VALUE"""),50.0)</f>
        <v>50</v>
      </c>
      <c r="H932" s="227"/>
      <c r="I932" s="21" t="str">
        <f>IFERROR(__xludf.DUMMYFUNCTION("""COMPUTED_VALUE"""),"INTER")</f>
        <v>INTER</v>
      </c>
      <c r="J932" s="21" t="str">
        <f>IFERROR(__xludf.DUMMYFUNCTION("""COMPUTED_VALUE"""),"#Recebimentos #Roberta #Eduardo #Inter #Variavel")</f>
        <v>#Recebimentos #Roberta #Eduardo #Inter #Variavel</v>
      </c>
      <c r="K932" s="216"/>
      <c r="L932" s="216"/>
      <c r="M932" s="216"/>
      <c r="N932" s="216"/>
      <c r="O932" s="216"/>
      <c r="P932" s="216"/>
      <c r="Q932" s="216"/>
    </row>
    <row r="933">
      <c r="A933" s="11" t="str">
        <f>IFERROR(__xludf.DUMMYFUNCTION("""COMPUTED_VALUE"""),"PAGO")</f>
        <v>PAGO</v>
      </c>
      <c r="B933" s="98" t="str">
        <f>IFERROR(__xludf.DUMMYFUNCTION("""COMPUTED_VALUE"""),"Google Play Gift Card")</f>
        <v>Google Play Gift Card</v>
      </c>
      <c r="C933" s="13">
        <f>IFERROR(__xludf.DUMMYFUNCTION("""COMPUTED_VALUE"""),30.0)</f>
        <v>30</v>
      </c>
      <c r="D933" s="13" t="str">
        <f>IFERROR(__xludf.DUMMYFUNCTION("""COMPUTED_VALUE"""),"SÁB.")</f>
        <v>SÁB.</v>
      </c>
      <c r="E933" s="13">
        <f>IFERROR(__xludf.DUMMYFUNCTION("""COMPUTED_VALUE"""),10.0)</f>
        <v>10</v>
      </c>
      <c r="F933" s="15"/>
      <c r="G933" s="16"/>
      <c r="H933" s="227">
        <f>IFERROR(__xludf.DUMMYFUNCTION("""COMPUTED_VALUE"""),50.0)</f>
        <v>50</v>
      </c>
      <c r="I933" s="21" t="str">
        <f>IFERROR(__xludf.DUMMYFUNCTION("""COMPUTED_VALUE"""),"INTER")</f>
        <v>INTER</v>
      </c>
      <c r="J933" s="21" t="str">
        <f>IFERROR(__xludf.DUMMYFUNCTION("""COMPUTED_VALUE"""),"#Lazer #Eduardo #Variavel ")</f>
        <v>#Lazer #Eduardo #Variavel </v>
      </c>
      <c r="K933" s="216"/>
      <c r="L933" s="216"/>
      <c r="M933" s="216"/>
      <c r="N933" s="216"/>
      <c r="O933" s="216"/>
      <c r="P933" s="216"/>
      <c r="Q933" s="216"/>
    </row>
    <row r="934">
      <c r="A934" s="11" t="str">
        <f>IFERROR(__xludf.DUMMYFUNCTION("""COMPUTED_VALUE"""),"PAGO")</f>
        <v>PAGO</v>
      </c>
      <c r="B934" s="98" t="str">
        <f>IFERROR(__xludf.DUMMYFUNCTION("""COMPUTED_VALUE"""),"Entrada CashBack Inter (google play)")</f>
        <v>Entrada CashBack Inter (google play)</v>
      </c>
      <c r="C934" s="13">
        <f>IFERROR(__xludf.DUMMYFUNCTION("""COMPUTED_VALUE"""),30.0)</f>
        <v>30</v>
      </c>
      <c r="D934" s="13" t="str">
        <f>IFERROR(__xludf.DUMMYFUNCTION("""COMPUTED_VALUE"""),"SÁB.")</f>
        <v>SÁB.</v>
      </c>
      <c r="E934" s="13">
        <f>IFERROR(__xludf.DUMMYFUNCTION("""COMPUTED_VALUE"""),10.0)</f>
        <v>10</v>
      </c>
      <c r="F934" s="15"/>
      <c r="G934" s="16">
        <f>IFERROR(__xludf.DUMMYFUNCTION("""COMPUTED_VALUE"""),2.2)</f>
        <v>2.2</v>
      </c>
      <c r="H934" s="227"/>
      <c r="I934" s="21" t="str">
        <f>IFERROR(__xludf.DUMMYFUNCTION("""COMPUTED_VALUE"""),"INTER")</f>
        <v>INTER</v>
      </c>
      <c r="J934" s="21" t="str">
        <f>IFERROR(__xludf.DUMMYFUNCTION("""COMPUTED_VALUE"""),"#Recebimentos #CashBack #Inter #Variavel")</f>
        <v>#Recebimentos #CashBack #Inter #Variavel</v>
      </c>
      <c r="K934" s="216"/>
      <c r="L934" s="216"/>
      <c r="M934" s="216"/>
      <c r="N934" s="216"/>
      <c r="O934" s="216"/>
      <c r="P934" s="216"/>
      <c r="Q934" s="216"/>
    </row>
    <row r="935">
      <c r="A935" s="11" t="str">
        <f>IFERROR(__xludf.DUMMYFUNCTION("""COMPUTED_VALUE"""),"PAGO")</f>
        <v>PAGO</v>
      </c>
      <c r="B935" s="98" t="str">
        <f>IFERROR(__xludf.DUMMYFUNCTION("""COMPUTED_VALUE"""),"Shibata")</f>
        <v>Shibata</v>
      </c>
      <c r="C935" s="13">
        <f>IFERROR(__xludf.DUMMYFUNCTION("""COMPUTED_VALUE"""),30.0)</f>
        <v>30</v>
      </c>
      <c r="D935" s="13" t="str">
        <f>IFERROR(__xludf.DUMMYFUNCTION("""COMPUTED_VALUE"""),"SÁB.")</f>
        <v>SÁB.</v>
      </c>
      <c r="E935" s="13">
        <f>IFERROR(__xludf.DUMMYFUNCTION("""COMPUTED_VALUE"""),10.0)</f>
        <v>10</v>
      </c>
      <c r="F935" s="15"/>
      <c r="G935" s="16"/>
      <c r="H935" s="227">
        <f>IFERROR(__xludf.DUMMYFUNCTION("""COMPUTED_VALUE"""),260.35)</f>
        <v>260.35</v>
      </c>
      <c r="I935" s="21" t="str">
        <f>IFERROR(__xludf.DUMMYFUNCTION("""COMPUTED_VALUE"""),"SODEXO-REF-IBM")</f>
        <v>SODEXO-REF-IBM</v>
      </c>
      <c r="J935" s="21" t="str">
        <f>IFERROR(__xludf.DUMMYFUNCTION("""COMPUTED_VALUE"""),"#Moradia #Essencial #Mercado #Variavel #Alimentação ")</f>
        <v>#Moradia #Essencial #Mercado #Variavel #Alimentação </v>
      </c>
      <c r="K935" s="216"/>
      <c r="L935" s="216"/>
      <c r="M935" s="216"/>
      <c r="N935" s="216"/>
      <c r="O935" s="216"/>
      <c r="P935" s="216"/>
      <c r="Q935" s="216"/>
    </row>
    <row r="936">
      <c r="A936" s="11" t="str">
        <f>IFERROR(__xludf.DUMMYFUNCTION("""COMPUTED_VALUE"""),"PAGO")</f>
        <v>PAGO</v>
      </c>
      <c r="B936" s="98" t="str">
        <f>IFERROR(__xludf.DUMMYFUNCTION("""COMPUTED_VALUE"""),"Shibata - Whisky Ballantines")</f>
        <v>Shibata - Whisky Ballantines</v>
      </c>
      <c r="C936" s="13">
        <f>IFERROR(__xludf.DUMMYFUNCTION("""COMPUTED_VALUE"""),30.0)</f>
        <v>30</v>
      </c>
      <c r="D936" s="13" t="str">
        <f>IFERROR(__xludf.DUMMYFUNCTION("""COMPUTED_VALUE"""),"SÁB.")</f>
        <v>SÁB.</v>
      </c>
      <c r="E936" s="13">
        <f>IFERROR(__xludf.DUMMYFUNCTION("""COMPUTED_VALUE"""),10.0)</f>
        <v>10</v>
      </c>
      <c r="F936" s="15"/>
      <c r="G936" s="16"/>
      <c r="H936" s="227">
        <f>IFERROR(__xludf.DUMMYFUNCTION("""COMPUTED_VALUE"""),59.9)</f>
        <v>59.9</v>
      </c>
      <c r="I936" s="21" t="str">
        <f>IFERROR(__xludf.DUMMYFUNCTION("""COMPUTED_VALUE"""),"NUBANK")</f>
        <v>NUBANK</v>
      </c>
      <c r="J936" s="21" t="str">
        <f>IFERROR(__xludf.DUMMYFUNCTION("""COMPUTED_VALUE"""),"#Lazer #Comida #Variavel")</f>
        <v>#Lazer #Comida #Variavel</v>
      </c>
      <c r="K936" s="216"/>
      <c r="L936" s="216"/>
      <c r="M936" s="216"/>
      <c r="N936" s="216"/>
      <c r="O936" s="216"/>
      <c r="P936" s="216"/>
      <c r="Q936" s="216"/>
    </row>
    <row r="937">
      <c r="A937" s="11" t="str">
        <f>IFERROR(__xludf.DUMMYFUNCTION("""COMPUTED_VALUE"""),"PAGO")</f>
        <v>PAGO</v>
      </c>
      <c r="B937" s="98" t="str">
        <f>IFERROR(__xludf.DUMMYFUNCTION("""COMPUTED_VALUE"""),"ValeSul Shopping - Parks e Games (fliperama)")</f>
        <v>ValeSul Shopping - Parks e Games (fliperama)</v>
      </c>
      <c r="C937" s="13">
        <f>IFERROR(__xludf.DUMMYFUNCTION("""COMPUTED_VALUE"""),31.0)</f>
        <v>31</v>
      </c>
      <c r="D937" s="13" t="str">
        <f>IFERROR(__xludf.DUMMYFUNCTION("""COMPUTED_VALUE"""),"DOM.")</f>
        <v>DOM.</v>
      </c>
      <c r="E937" s="13">
        <f>IFERROR(__xludf.DUMMYFUNCTION("""COMPUTED_VALUE"""),10.0)</f>
        <v>10</v>
      </c>
      <c r="F937" s="15"/>
      <c r="G937" s="16"/>
      <c r="H937" s="227">
        <f>IFERROR(__xludf.DUMMYFUNCTION("""COMPUTED_VALUE"""),60.0)</f>
        <v>60</v>
      </c>
      <c r="I937" s="21" t="str">
        <f>IFERROR(__xludf.DUMMYFUNCTION("""COMPUTED_VALUE"""),"NUBANK")</f>
        <v>NUBANK</v>
      </c>
      <c r="J937" s="21" t="str">
        <f>IFERROR(__xludf.DUMMYFUNCTION("""COMPUTED_VALUE"""),"#Lazer #Shopping #Variavel")</f>
        <v>#Lazer #Shopping #Variavel</v>
      </c>
      <c r="K937" s="216"/>
      <c r="L937" s="216"/>
      <c r="M937" s="216"/>
      <c r="N937" s="216"/>
      <c r="O937" s="216"/>
      <c r="P937" s="216"/>
      <c r="Q937" s="216"/>
    </row>
    <row r="938">
      <c r="A938" s="11" t="str">
        <f>IFERROR(__xludf.DUMMYFUNCTION("""COMPUTED_VALUE"""),"PAGO")</f>
        <v>PAGO</v>
      </c>
      <c r="B938" s="98" t="str">
        <f>IFERROR(__xludf.DUMMYFUNCTION("""COMPUTED_VALUE"""),"ValeSul Shopping - Parks e Games (fliperama)")</f>
        <v>ValeSul Shopping - Parks e Games (fliperama)</v>
      </c>
      <c r="C938" s="13">
        <f>IFERROR(__xludf.DUMMYFUNCTION("""COMPUTED_VALUE"""),31.0)</f>
        <v>31</v>
      </c>
      <c r="D938" s="13" t="str">
        <f>IFERROR(__xludf.DUMMYFUNCTION("""COMPUTED_VALUE"""),"DOM.")</f>
        <v>DOM.</v>
      </c>
      <c r="E938" s="13">
        <f>IFERROR(__xludf.DUMMYFUNCTION("""COMPUTED_VALUE"""),10.0)</f>
        <v>10</v>
      </c>
      <c r="F938" s="15"/>
      <c r="G938" s="16"/>
      <c r="H938" s="227">
        <f>IFERROR(__xludf.DUMMYFUNCTION("""COMPUTED_VALUE"""),20.0)</f>
        <v>20</v>
      </c>
      <c r="I938" s="21" t="str">
        <f>IFERROR(__xludf.DUMMYFUNCTION("""COMPUTED_VALUE"""),"NUBANK")</f>
        <v>NUBANK</v>
      </c>
      <c r="J938" s="21" t="str">
        <f>IFERROR(__xludf.DUMMYFUNCTION("""COMPUTED_VALUE"""),"#Lazer #Shopping #Variavel")</f>
        <v>#Lazer #Shopping #Variavel</v>
      </c>
      <c r="K938" s="216"/>
      <c r="L938" s="216"/>
      <c r="M938" s="216"/>
      <c r="N938" s="216"/>
      <c r="O938" s="216"/>
      <c r="P938" s="216"/>
      <c r="Q938" s="216"/>
    </row>
    <row r="939">
      <c r="A939" s="11" t="str">
        <f>IFERROR(__xludf.DUMMYFUNCTION("""COMPUTED_VALUE"""),"PAGO")</f>
        <v>PAGO</v>
      </c>
      <c r="B939" s="98" t="str">
        <f>IFERROR(__xludf.DUMMYFUNCTION("""COMPUTED_VALUE"""),"Estacionamento - ValeSul")</f>
        <v>Estacionamento - ValeSul</v>
      </c>
      <c r="C939" s="13">
        <f>IFERROR(__xludf.DUMMYFUNCTION("""COMPUTED_VALUE"""),22.0)</f>
        <v>22</v>
      </c>
      <c r="D939" s="13" t="str">
        <f>IFERROR(__xludf.DUMMYFUNCTION("""COMPUTED_VALUE"""),"SEX.")</f>
        <v>SEX.</v>
      </c>
      <c r="E939" s="13">
        <f>IFERROR(__xludf.DUMMYFUNCTION("""COMPUTED_VALUE"""),10.0)</f>
        <v>10</v>
      </c>
      <c r="F939" s="15"/>
      <c r="G939" s="16"/>
      <c r="H939" s="227">
        <f>IFERROR(__xludf.DUMMYFUNCTION("""COMPUTED_VALUE"""),7.0)</f>
        <v>7</v>
      </c>
      <c r="I939" s="21" t="str">
        <f>IFERROR(__xludf.DUMMYFUNCTION("""COMPUTED_VALUE"""),"NUBANK")</f>
        <v>NUBANK</v>
      </c>
      <c r="J939" s="21" t="str">
        <f>IFERROR(__xludf.DUMMYFUNCTION("""COMPUTED_VALUE"""),"#Carro #Estacionamento #Variavel")</f>
        <v>#Carro #Estacionamento #Variavel</v>
      </c>
      <c r="K939" s="216"/>
      <c r="L939" s="216"/>
      <c r="M939" s="216"/>
      <c r="N939" s="216"/>
      <c r="O939" s="216"/>
      <c r="P939" s="216"/>
      <c r="Q939" s="216"/>
    </row>
    <row r="940">
      <c r="A940" s="11" t="str">
        <f>IFERROR(__xludf.DUMMYFUNCTION("""COMPUTED_VALUE"""),"PAGO")</f>
        <v>PAGO</v>
      </c>
      <c r="B940" s="98" t="str">
        <f>IFERROR(__xludf.DUMMYFUNCTION("""COMPUTED_VALUE"""),"Leroy Merlin SJC")</f>
        <v>Leroy Merlin SJC</v>
      </c>
      <c r="C940" s="13">
        <f>IFERROR(__xludf.DUMMYFUNCTION("""COMPUTED_VALUE"""),2.0)</f>
        <v>2</v>
      </c>
      <c r="D940" s="13" t="str">
        <f>IFERROR(__xludf.DUMMYFUNCTION("""COMPUTED_VALUE"""),"SÁB.")</f>
        <v>SÁB.</v>
      </c>
      <c r="E940" s="13">
        <f>IFERROR(__xludf.DUMMYFUNCTION("""COMPUTED_VALUE"""),10.0)</f>
        <v>10</v>
      </c>
      <c r="F940" s="15"/>
      <c r="G940" s="16"/>
      <c r="H940" s="227">
        <f>IFERROR(__xludf.DUMMYFUNCTION("""COMPUTED_VALUE"""),349.06)</f>
        <v>349.06</v>
      </c>
      <c r="I940" s="21" t="str">
        <f>IFERROR(__xludf.DUMMYFUNCTION("""COMPUTED_VALUE"""),"NUBANK")</f>
        <v>NUBANK</v>
      </c>
      <c r="J940" s="21" t="str">
        <f>IFERROR(__xludf.DUMMYFUNCTION("""COMPUTED_VALUE"""),"#Essencial #Moradia #Variavel")</f>
        <v>#Essencial #Moradia #Variavel</v>
      </c>
      <c r="K940" s="216"/>
      <c r="L940" s="216"/>
      <c r="M940" s="216"/>
      <c r="N940" s="216"/>
      <c r="O940" s="216"/>
      <c r="P940" s="216"/>
      <c r="Q940" s="216"/>
    </row>
    <row r="941">
      <c r="A941" s="11"/>
      <c r="B941" s="98"/>
      <c r="C941" s="13"/>
      <c r="D941" s="13"/>
      <c r="E941" s="13"/>
      <c r="F941" s="15"/>
      <c r="G941" s="16"/>
      <c r="H941" s="227"/>
      <c r="I941" s="21"/>
      <c r="J941" s="21"/>
      <c r="K941" s="216"/>
      <c r="L941" s="216"/>
      <c r="M941" s="216"/>
      <c r="N941" s="216"/>
      <c r="O941" s="216"/>
      <c r="P941" s="216"/>
      <c r="Q941" s="216"/>
    </row>
    <row r="942">
      <c r="A942" s="11"/>
      <c r="B942" s="98"/>
      <c r="C942" s="13"/>
      <c r="D942" s="13"/>
      <c r="E942" s="13"/>
      <c r="F942" s="15"/>
      <c r="G942" s="16"/>
      <c r="H942" s="227"/>
      <c r="I942" s="21"/>
      <c r="J942" s="21"/>
      <c r="K942" s="216"/>
      <c r="L942" s="216"/>
      <c r="M942" s="216"/>
      <c r="N942" s="216"/>
      <c r="O942" s="216"/>
      <c r="P942" s="216"/>
      <c r="Q942" s="216"/>
    </row>
    <row r="943">
      <c r="A943" s="11"/>
      <c r="B943" s="98"/>
      <c r="C943" s="13"/>
      <c r="D943" s="13"/>
      <c r="E943" s="13"/>
      <c r="F943" s="15"/>
      <c r="G943" s="16"/>
      <c r="H943" s="227"/>
      <c r="I943" s="21"/>
      <c r="J943" s="21"/>
      <c r="K943" s="216"/>
      <c r="L943" s="216"/>
      <c r="M943" s="216"/>
      <c r="N943" s="216"/>
      <c r="O943" s="216"/>
      <c r="P943" s="216"/>
      <c r="Q943" s="216"/>
    </row>
    <row r="944">
      <c r="A944" s="11" t="str">
        <f>IFERROR(__xludf.DUMMYFUNCTION("""COMPUTED_VALUE"""),"PAGO")</f>
        <v>PAGO</v>
      </c>
      <c r="B944" s="98" t="str">
        <f>IFERROR(__xludf.DUMMYFUNCTION("""COMPUTED_VALUE"""),"Entrada mes anterior")</f>
        <v>Entrada mes anterior</v>
      </c>
      <c r="C944" s="13">
        <f>IFERROR(__xludf.DUMMYFUNCTION("""COMPUTED_VALUE"""),1.0)</f>
        <v>1</v>
      </c>
      <c r="D944" s="13" t="str">
        <f>IFERROR(__xludf.DUMMYFUNCTION("""COMPUTED_VALUE"""),"SEG.")</f>
        <v>SEG.</v>
      </c>
      <c r="E944" s="13">
        <f>IFERROR(__xludf.DUMMYFUNCTION("""COMPUTED_VALUE"""),11.0)</f>
        <v>11</v>
      </c>
      <c r="F944" s="15"/>
      <c r="G944" s="16">
        <f>IFERROR(__xludf.DUMMYFUNCTION("""COMPUTED_VALUE"""),120.43000000000097)</f>
        <v>120.43</v>
      </c>
      <c r="H944" s="227"/>
      <c r="I944" s="21" t="str">
        <f>IFERROR(__xludf.DUMMYFUNCTION("""COMPUTED_VALUE"""),"ITAU")</f>
        <v>ITAU</v>
      </c>
      <c r="J944" s="21" t="str">
        <f>IFERROR(__xludf.DUMMYFUNCTION("""COMPUTED_VALUE"""),"#Recebimentos #Ajuste #Variavel")</f>
        <v>#Recebimentos #Ajuste #Variavel</v>
      </c>
      <c r="K944" s="216"/>
      <c r="L944" s="216"/>
      <c r="M944" s="216"/>
      <c r="N944" s="216"/>
      <c r="O944" s="216"/>
      <c r="P944" s="216"/>
      <c r="Q944" s="216"/>
    </row>
    <row r="945">
      <c r="A945" s="11" t="str">
        <f>IFERROR(__xludf.DUMMYFUNCTION("""COMPUTED_VALUE"""),"PAGO")</f>
        <v>PAGO</v>
      </c>
      <c r="B945" s="98" t="str">
        <f>IFERROR(__xludf.DUMMYFUNCTION("""COMPUTED_VALUE"""),"Entrada mes anterior")</f>
        <v>Entrada mes anterior</v>
      </c>
      <c r="C945" s="13">
        <f>IFERROR(__xludf.DUMMYFUNCTION("""COMPUTED_VALUE"""),1.0)</f>
        <v>1</v>
      </c>
      <c r="D945" s="13" t="str">
        <f>IFERROR(__xludf.DUMMYFUNCTION("""COMPUTED_VALUE"""),"SEG.")</f>
        <v>SEG.</v>
      </c>
      <c r="E945" s="13">
        <f>IFERROR(__xludf.DUMMYFUNCTION("""COMPUTED_VALUE"""),11.0)</f>
        <v>11</v>
      </c>
      <c r="F945" s="15"/>
      <c r="G945" s="16">
        <f>IFERROR(__xludf.DUMMYFUNCTION("""COMPUTED_VALUE"""),5.050000000000182)</f>
        <v>5.05</v>
      </c>
      <c r="H945" s="227"/>
      <c r="I945" s="21" t="str">
        <f>IFERROR(__xludf.DUMMYFUNCTION("""COMPUTED_VALUE"""),"INTER")</f>
        <v>INTER</v>
      </c>
      <c r="J945" s="21" t="str">
        <f>IFERROR(__xludf.DUMMYFUNCTION("""COMPUTED_VALUE"""),"#Recebimentos #Ajuste #Variavel")</f>
        <v>#Recebimentos #Ajuste #Variavel</v>
      </c>
      <c r="K945" s="216"/>
      <c r="L945" s="216"/>
      <c r="M945" s="216"/>
      <c r="N945" s="216"/>
      <c r="O945" s="216"/>
      <c r="P945" s="216"/>
      <c r="Q945" s="216"/>
    </row>
    <row r="946">
      <c r="A946" s="11" t="str">
        <f>IFERROR(__xludf.DUMMYFUNCTION("""COMPUTED_VALUE"""),"PAGO")</f>
        <v>PAGO</v>
      </c>
      <c r="B946" s="98" t="str">
        <f>IFERROR(__xludf.DUMMYFUNCTION("""COMPUTED_VALUE"""),"Entrada mes anterior")</f>
        <v>Entrada mes anterior</v>
      </c>
      <c r="C946" s="13">
        <f>IFERROR(__xludf.DUMMYFUNCTION("""COMPUTED_VALUE"""),1.0)</f>
        <v>1</v>
      </c>
      <c r="D946" s="13" t="str">
        <f>IFERROR(__xludf.DUMMYFUNCTION("""COMPUTED_VALUE"""),"SEG.")</f>
        <v>SEG.</v>
      </c>
      <c r="E946" s="13">
        <f>IFERROR(__xludf.DUMMYFUNCTION("""COMPUTED_VALUE"""),11.0)</f>
        <v>11</v>
      </c>
      <c r="F946" s="15"/>
      <c r="G946" s="16">
        <f>IFERROR(__xludf.DUMMYFUNCTION("""COMPUTED_VALUE"""),-6.639133687258436E-13)</f>
        <v>0</v>
      </c>
      <c r="H946" s="227"/>
      <c r="I946" s="21" t="str">
        <f>IFERROR(__xludf.DUMMYFUNCTION("""COMPUTED_VALUE"""),"INTER-PJ")</f>
        <v>INTER-PJ</v>
      </c>
      <c r="J946" s="21" t="str">
        <f>IFERROR(__xludf.DUMMYFUNCTION("""COMPUTED_VALUE"""),"#Recebimentos #Ajuste #Variavel")</f>
        <v>#Recebimentos #Ajuste #Variavel</v>
      </c>
      <c r="K946" s="216"/>
      <c r="L946" s="216"/>
      <c r="M946" s="216"/>
      <c r="N946" s="216"/>
      <c r="O946" s="216"/>
      <c r="P946" s="216"/>
      <c r="Q946" s="216"/>
    </row>
    <row r="947">
      <c r="A947" s="11" t="str">
        <f>IFERROR(__xludf.DUMMYFUNCTION("""COMPUTED_VALUE"""),"PAGO")</f>
        <v>PAGO</v>
      </c>
      <c r="B947" s="98" t="str">
        <f>IFERROR(__xludf.DUMMYFUNCTION("""COMPUTED_VALUE"""),"Entrada mes anterior")</f>
        <v>Entrada mes anterior</v>
      </c>
      <c r="C947" s="13">
        <f>IFERROR(__xludf.DUMMYFUNCTION("""COMPUTED_VALUE"""),1.0)</f>
        <v>1</v>
      </c>
      <c r="D947" s="13" t="str">
        <f>IFERROR(__xludf.DUMMYFUNCTION("""COMPUTED_VALUE"""),"SEG.")</f>
        <v>SEG.</v>
      </c>
      <c r="E947" s="13">
        <f>IFERROR(__xludf.DUMMYFUNCTION("""COMPUTED_VALUE"""),11.0)</f>
        <v>11</v>
      </c>
      <c r="F947" s="15"/>
      <c r="G947" s="16">
        <f>IFERROR(__xludf.DUMMYFUNCTION("""COMPUTED_VALUE"""),2989.670000000002)</f>
        <v>2989.67</v>
      </c>
      <c r="H947" s="227"/>
      <c r="I947" s="21" t="str">
        <f>IFERROR(__xludf.DUMMYFUNCTION("""COMPUTED_VALUE"""),"NUBANK")</f>
        <v>NUBANK</v>
      </c>
      <c r="J947" s="21" t="str">
        <f>IFERROR(__xludf.DUMMYFUNCTION("""COMPUTED_VALUE"""),"#Recebimentos #Ajuste #Variavel")</f>
        <v>#Recebimentos #Ajuste #Variavel</v>
      </c>
      <c r="K947" s="216"/>
      <c r="L947" s="216"/>
      <c r="M947" s="216"/>
      <c r="N947" s="216"/>
      <c r="O947" s="216"/>
      <c r="P947" s="216"/>
      <c r="Q947" s="216"/>
    </row>
    <row r="948">
      <c r="A948" s="11" t="str">
        <f>IFERROR(__xludf.DUMMYFUNCTION("""COMPUTED_VALUE"""),"PAGO")</f>
        <v>PAGO</v>
      </c>
      <c r="B948" s="98" t="str">
        <f>IFERROR(__xludf.DUMMYFUNCTION("""COMPUTED_VALUE"""),"Entrada mes anterior")</f>
        <v>Entrada mes anterior</v>
      </c>
      <c r="C948" s="13">
        <f>IFERROR(__xludf.DUMMYFUNCTION("""COMPUTED_VALUE"""),1.0)</f>
        <v>1</v>
      </c>
      <c r="D948" s="13" t="str">
        <f>IFERROR(__xludf.DUMMYFUNCTION("""COMPUTED_VALUE"""),"SEG.")</f>
        <v>SEG.</v>
      </c>
      <c r="E948" s="13">
        <f>IFERROR(__xludf.DUMMYFUNCTION("""COMPUTED_VALUE"""),11.0)</f>
        <v>11</v>
      </c>
      <c r="F948" s="15"/>
      <c r="G948" s="16">
        <f>IFERROR(__xludf.DUMMYFUNCTION("""COMPUTED_VALUE"""),9.52)</f>
        <v>9.52</v>
      </c>
      <c r="H948" s="227"/>
      <c r="I948" s="21" t="str">
        <f>IFERROR(__xludf.DUMMYFUNCTION("""COMPUTED_VALUE"""),"C6BANK")</f>
        <v>C6BANK</v>
      </c>
      <c r="J948" s="21" t="str">
        <f>IFERROR(__xludf.DUMMYFUNCTION("""COMPUTED_VALUE"""),"#Recebimentos #Ajuste #Variavel")</f>
        <v>#Recebimentos #Ajuste #Variavel</v>
      </c>
      <c r="K948" s="216"/>
      <c r="L948" s="216"/>
      <c r="M948" s="216"/>
      <c r="N948" s="216"/>
      <c r="O948" s="216"/>
      <c r="P948" s="216"/>
      <c r="Q948" s="216"/>
    </row>
    <row r="949">
      <c r="A949" s="11" t="str">
        <f>IFERROR(__xludf.DUMMYFUNCTION("""COMPUTED_VALUE"""),"PAGO")</f>
        <v>PAGO</v>
      </c>
      <c r="B949" s="98" t="str">
        <f>IFERROR(__xludf.DUMMYFUNCTION("""COMPUTED_VALUE"""),"Entrada mes anterior")</f>
        <v>Entrada mes anterior</v>
      </c>
      <c r="C949" s="13">
        <f>IFERROR(__xludf.DUMMYFUNCTION("""COMPUTED_VALUE"""),1.0)</f>
        <v>1</v>
      </c>
      <c r="D949" s="13" t="str">
        <f>IFERROR(__xludf.DUMMYFUNCTION("""COMPUTED_VALUE"""),"SEG.")</f>
        <v>SEG.</v>
      </c>
      <c r="E949" s="13">
        <f>IFERROR(__xludf.DUMMYFUNCTION("""COMPUTED_VALUE"""),11.0)</f>
        <v>11</v>
      </c>
      <c r="F949" s="15"/>
      <c r="G949" s="16">
        <f>IFERROR(__xludf.DUMMYFUNCTION("""COMPUTED_VALUE"""),0.0)</f>
        <v>0</v>
      </c>
      <c r="H949" s="227"/>
      <c r="I949" s="21" t="str">
        <f>IFERROR(__xludf.DUMMYFUNCTION("""COMPUTED_VALUE"""),"SANTANDER")</f>
        <v>SANTANDER</v>
      </c>
      <c r="J949" s="21" t="str">
        <f>IFERROR(__xludf.DUMMYFUNCTION("""COMPUTED_VALUE"""),"#Recebimentos #Ajuste #Variavel")</f>
        <v>#Recebimentos #Ajuste #Variavel</v>
      </c>
      <c r="K949" s="216"/>
      <c r="L949" s="216"/>
      <c r="M949" s="216"/>
      <c r="N949" s="216"/>
      <c r="O949" s="216"/>
      <c r="P949" s="216"/>
      <c r="Q949" s="216"/>
    </row>
    <row r="950">
      <c r="A950" s="11" t="str">
        <f>IFERROR(__xludf.DUMMYFUNCTION("""COMPUTED_VALUE"""),"PAGO")</f>
        <v>PAGO</v>
      </c>
      <c r="B950" s="98" t="str">
        <f>IFERROR(__xludf.DUMMYFUNCTION("""COMPUTED_VALUE"""),"Entrada mes anterior")</f>
        <v>Entrada mes anterior</v>
      </c>
      <c r="C950" s="13">
        <f>IFERROR(__xludf.DUMMYFUNCTION("""COMPUTED_VALUE"""),1.0)</f>
        <v>1</v>
      </c>
      <c r="D950" s="13" t="str">
        <f>IFERROR(__xludf.DUMMYFUNCTION("""COMPUTED_VALUE"""),"SEG.")</f>
        <v>SEG.</v>
      </c>
      <c r="E950" s="13">
        <f>IFERROR(__xludf.DUMMYFUNCTION("""COMPUTED_VALUE"""),11.0)</f>
        <v>11</v>
      </c>
      <c r="F950" s="15"/>
      <c r="G950" s="16">
        <f>IFERROR(__xludf.DUMMYFUNCTION("""COMPUTED_VALUE"""),652.3099999999998)</f>
        <v>652.31</v>
      </c>
      <c r="H950" s="227"/>
      <c r="I950" s="21" t="str">
        <f>IFERROR(__xludf.DUMMYFUNCTION("""COMPUTED_VALUE"""),"SODEXO-REF-IBM")</f>
        <v>SODEXO-REF-IBM</v>
      </c>
      <c r="J950" s="21" t="str">
        <f>IFERROR(__xludf.DUMMYFUNCTION("""COMPUTED_VALUE"""),"#Recebimentos #Ajuste #Variavel")</f>
        <v>#Recebimentos #Ajuste #Variavel</v>
      </c>
      <c r="K950" s="216"/>
      <c r="L950" s="216"/>
      <c r="M950" s="216"/>
      <c r="N950" s="216"/>
      <c r="O950" s="216"/>
      <c r="P950" s="216"/>
      <c r="Q950" s="216"/>
    </row>
    <row r="951">
      <c r="A951" s="11" t="str">
        <f>IFERROR(__xludf.DUMMYFUNCTION("""COMPUTED_VALUE"""),"PAGO")</f>
        <v>PAGO</v>
      </c>
      <c r="B951" s="98" t="str">
        <f>IFERROR(__xludf.DUMMYFUNCTION("""COMPUTED_VALUE"""),"Entrada mes anterior")</f>
        <v>Entrada mes anterior</v>
      </c>
      <c r="C951" s="13">
        <f>IFERROR(__xludf.DUMMYFUNCTION("""COMPUTED_VALUE"""),1.0)</f>
        <v>1</v>
      </c>
      <c r="D951" s="13" t="str">
        <f>IFERROR(__xludf.DUMMYFUNCTION("""COMPUTED_VALUE"""),"SEG.")</f>
        <v>SEG.</v>
      </c>
      <c r="E951" s="13">
        <f>IFERROR(__xludf.DUMMYFUNCTION("""COMPUTED_VALUE"""),11.0)</f>
        <v>11</v>
      </c>
      <c r="F951" s="15"/>
      <c r="G951" s="16">
        <f>IFERROR(__xludf.DUMMYFUNCTION("""COMPUTED_VALUE"""),330.45000000000005)</f>
        <v>330.45</v>
      </c>
      <c r="H951" s="227"/>
      <c r="I951" s="21" t="str">
        <f>IFERROR(__xludf.DUMMYFUNCTION("""COMPUTED_VALUE"""),"SODEXO-ALI-IBM")</f>
        <v>SODEXO-ALI-IBM</v>
      </c>
      <c r="J951" s="21" t="str">
        <f>IFERROR(__xludf.DUMMYFUNCTION("""COMPUTED_VALUE"""),"#Recebimentos #Ajuste #Variavel")</f>
        <v>#Recebimentos #Ajuste #Variavel</v>
      </c>
      <c r="K951" s="216"/>
      <c r="L951" s="216"/>
      <c r="M951" s="216"/>
      <c r="N951" s="216"/>
      <c r="O951" s="216"/>
      <c r="P951" s="216"/>
      <c r="Q951" s="216"/>
    </row>
    <row r="952">
      <c r="A952" s="11" t="str">
        <f>IFERROR(__xludf.DUMMYFUNCTION("""COMPUTED_VALUE"""),"PAGO")</f>
        <v>PAGO</v>
      </c>
      <c r="B952" s="98" t="str">
        <f>IFERROR(__xludf.DUMMYFUNCTION("""COMPUTED_VALUE"""),"Shopping Jd Oriente - Shibata - D e G Com Brinquedos")</f>
        <v>Shopping Jd Oriente - Shibata - D e G Com Brinquedos</v>
      </c>
      <c r="C952" s="13">
        <f>IFERROR(__xludf.DUMMYFUNCTION("""COMPUTED_VALUE"""),2.0)</f>
        <v>2</v>
      </c>
      <c r="D952" s="13" t="str">
        <f>IFERROR(__xludf.DUMMYFUNCTION("""COMPUTED_VALUE"""),"TER.")</f>
        <v>TER.</v>
      </c>
      <c r="E952" s="13">
        <f>IFERROR(__xludf.DUMMYFUNCTION("""COMPUTED_VALUE"""),11.0)</f>
        <v>11</v>
      </c>
      <c r="F952" s="15"/>
      <c r="G952" s="16"/>
      <c r="H952" s="227">
        <f>IFERROR(__xludf.DUMMYFUNCTION("""COMPUTED_VALUE"""),116.0)</f>
        <v>116</v>
      </c>
      <c r="I952" s="21" t="str">
        <f>IFERROR(__xludf.DUMMYFUNCTION("""COMPUTED_VALUE"""),"NUBANK")</f>
        <v>NUBANK</v>
      </c>
      <c r="J952" s="21" t="str">
        <f>IFERROR(__xludf.DUMMYFUNCTION("""COMPUTED_VALUE"""),"#Lazer #Presentes #Eduardo #Carlos #Variavel")</f>
        <v>#Lazer #Presentes #Eduardo #Carlos #Variavel</v>
      </c>
      <c r="K952" s="216"/>
      <c r="L952" s="216"/>
      <c r="M952" s="216"/>
      <c r="N952" s="216"/>
      <c r="O952" s="216"/>
      <c r="P952" s="216"/>
      <c r="Q952" s="216"/>
    </row>
    <row r="953">
      <c r="A953" s="11" t="str">
        <f>IFERROR(__xludf.DUMMYFUNCTION("""COMPUTED_VALUE"""),"PAGO")</f>
        <v>PAGO</v>
      </c>
      <c r="B953" s="98" t="str">
        <f>IFERROR(__xludf.DUMMYFUNCTION("""COMPUTED_VALUE"""),"Shibata")</f>
        <v>Shibata</v>
      </c>
      <c r="C953" s="13">
        <f>IFERROR(__xludf.DUMMYFUNCTION("""COMPUTED_VALUE"""),2.0)</f>
        <v>2</v>
      </c>
      <c r="D953" s="13" t="str">
        <f>IFERROR(__xludf.DUMMYFUNCTION("""COMPUTED_VALUE"""),"TER.")</f>
        <v>TER.</v>
      </c>
      <c r="E953" s="13">
        <f>IFERROR(__xludf.DUMMYFUNCTION("""COMPUTED_VALUE"""),11.0)</f>
        <v>11</v>
      </c>
      <c r="F953" s="15"/>
      <c r="G953" s="16"/>
      <c r="H953" s="227">
        <f>IFERROR(__xludf.DUMMYFUNCTION("""COMPUTED_VALUE"""),58.76)</f>
        <v>58.76</v>
      </c>
      <c r="I953" s="21" t="str">
        <f>IFERROR(__xludf.DUMMYFUNCTION("""COMPUTED_VALUE"""),"SODEXO-REF-IBM")</f>
        <v>SODEXO-REF-IBM</v>
      </c>
      <c r="J953" s="21" t="str">
        <f>IFERROR(__xludf.DUMMYFUNCTION("""COMPUTED_VALUE"""),"#Moradia #Essencial #Mercado #Variavel #Alimentação ")</f>
        <v>#Moradia #Essencial #Mercado #Variavel #Alimentação </v>
      </c>
      <c r="K953" s="216"/>
      <c r="L953" s="216"/>
      <c r="M953" s="216"/>
      <c r="N953" s="216"/>
      <c r="O953" s="216"/>
      <c r="P953" s="216"/>
      <c r="Q953" s="216"/>
    </row>
    <row r="954">
      <c r="A954" s="11" t="str">
        <f>IFERROR(__xludf.DUMMYFUNCTION("""COMPUTED_VALUE"""),"PAGO")</f>
        <v>PAGO</v>
      </c>
      <c r="B954" s="98" t="str">
        <f>IFERROR(__xludf.DUMMYFUNCTION("""COMPUTED_VALUE"""),"Facillita Passadoria - passar roupas - PIX 09257416801")</f>
        <v>Facillita Passadoria - passar roupas - PIX 09257416801</v>
      </c>
      <c r="C954" s="13">
        <f>IFERROR(__xludf.DUMMYFUNCTION("""COMPUTED_VALUE"""),2.0)</f>
        <v>2</v>
      </c>
      <c r="D954" s="13" t="str">
        <f>IFERROR(__xludf.DUMMYFUNCTION("""COMPUTED_VALUE"""),"TER.")</f>
        <v>TER.</v>
      </c>
      <c r="E954" s="13">
        <f>IFERROR(__xludf.DUMMYFUNCTION("""COMPUTED_VALUE"""),11.0)</f>
        <v>11</v>
      </c>
      <c r="F954" s="15"/>
      <c r="G954" s="16"/>
      <c r="H954" s="227">
        <f>IFERROR(__xludf.DUMMYFUNCTION("""COMPUTED_VALUE"""),154.0)</f>
        <v>154</v>
      </c>
      <c r="I954" s="21" t="str">
        <f>IFERROR(__xludf.DUMMYFUNCTION("""COMPUTED_VALUE"""),"NUBANK")</f>
        <v>NUBANK</v>
      </c>
      <c r="J954" s="21" t="str">
        <f>IFERROR(__xludf.DUMMYFUNCTION("""COMPUTED_VALUE"""),"#Essencial #Roupas #Passar #Roberta #Variavel")</f>
        <v>#Essencial #Roupas #Passar #Roberta #Variavel</v>
      </c>
      <c r="K954" s="216"/>
      <c r="L954" s="216"/>
      <c r="M954" s="216"/>
      <c r="N954" s="216"/>
      <c r="O954" s="216"/>
      <c r="P954" s="216"/>
      <c r="Q954" s="216"/>
    </row>
    <row r="955">
      <c r="A955" s="11" t="str">
        <f>IFERROR(__xludf.DUMMYFUNCTION("""COMPUTED_VALUE"""),"PAGO")</f>
        <v>PAGO</v>
      </c>
      <c r="B955" s="98" t="str">
        <f>IFERROR(__xludf.DUMMYFUNCTION("""COMPUTED_VALUE"""),"Mesada Eduardo")</f>
        <v>Mesada Eduardo</v>
      </c>
      <c r="C955" s="13">
        <f>IFERROR(__xludf.DUMMYFUNCTION("""COMPUTED_VALUE"""),2.0)</f>
        <v>2</v>
      </c>
      <c r="D955" s="13" t="str">
        <f>IFERROR(__xludf.DUMMYFUNCTION("""COMPUTED_VALUE"""),"TER.")</f>
        <v>TER.</v>
      </c>
      <c r="E955" s="13">
        <f>IFERROR(__xludf.DUMMYFUNCTION("""COMPUTED_VALUE"""),11.0)</f>
        <v>11</v>
      </c>
      <c r="F955" s="15"/>
      <c r="G955" s="16"/>
      <c r="H955" s="227">
        <f>IFERROR(__xludf.DUMMYFUNCTION("""COMPUTED_VALUE"""),50.0)</f>
        <v>50</v>
      </c>
      <c r="I955" s="21" t="str">
        <f>IFERROR(__xludf.DUMMYFUNCTION("""COMPUTED_VALUE"""),"NUBANK")</f>
        <v>NUBANK</v>
      </c>
      <c r="J955" s="21" t="str">
        <f>IFERROR(__xludf.DUMMYFUNCTION("""COMPUTED_VALUE"""),"#Mesada #Eduardo #Fixo")</f>
        <v>#Mesada #Eduardo #Fixo</v>
      </c>
      <c r="K955" s="216"/>
      <c r="L955" s="216"/>
      <c r="M955" s="216"/>
      <c r="N955" s="216"/>
      <c r="O955" s="216"/>
      <c r="P955" s="216"/>
      <c r="Q955" s="216"/>
    </row>
    <row r="956">
      <c r="A956" s="11" t="str">
        <f>IFERROR(__xludf.DUMMYFUNCTION("""COMPUTED_VALUE"""),"PAGO")</f>
        <v>PAGO</v>
      </c>
      <c r="B956" s="98" t="str">
        <f>IFERROR(__xludf.DUMMYFUNCTION("""COMPUTED_VALUE"""),"Agua - DEBITO AUTO")</f>
        <v>Agua - DEBITO AUTO</v>
      </c>
      <c r="C956" s="13">
        <f>IFERROR(__xludf.DUMMYFUNCTION("""COMPUTED_VALUE"""),2.0)</f>
        <v>2</v>
      </c>
      <c r="D956" s="13" t="str">
        <f>IFERROR(__xludf.DUMMYFUNCTION("""COMPUTED_VALUE"""),"TER.")</f>
        <v>TER.</v>
      </c>
      <c r="E956" s="13">
        <f>IFERROR(__xludf.DUMMYFUNCTION("""COMPUTED_VALUE"""),11.0)</f>
        <v>11</v>
      </c>
      <c r="F956" s="15"/>
      <c r="G956" s="16"/>
      <c r="H956" s="227">
        <f>IFERROR(__xludf.DUMMYFUNCTION("""COMPUTED_VALUE"""),61.14)</f>
        <v>61.14</v>
      </c>
      <c r="I956" s="21" t="str">
        <f>IFERROR(__xludf.DUMMYFUNCTION("""COMPUTED_VALUE"""),"ITAU")</f>
        <v>ITAU</v>
      </c>
      <c r="J956" s="21" t="str">
        <f>IFERROR(__xludf.DUMMYFUNCTION("""COMPUTED_VALUE"""),"#Moradia #Essencial #Agua #Fixo")</f>
        <v>#Moradia #Essencial #Agua #Fixo</v>
      </c>
      <c r="K956" s="216"/>
      <c r="L956" s="216"/>
      <c r="M956" s="216"/>
      <c r="N956" s="216"/>
      <c r="O956" s="216"/>
      <c r="P956" s="216"/>
      <c r="Q956" s="216"/>
    </row>
    <row r="957">
      <c r="A957" s="11" t="str">
        <f>IFERROR(__xludf.DUMMYFUNCTION("""COMPUTED_VALUE"""),"PAGO")</f>
        <v>PAGO</v>
      </c>
      <c r="B957" s="98" t="str">
        <f>IFERROR(__xludf.DUMMYFUNCTION("""COMPUTED_VALUE"""),"Rendimento")</f>
        <v>Rendimento</v>
      </c>
      <c r="C957" s="13">
        <f>IFERROR(__xludf.DUMMYFUNCTION("""COMPUTED_VALUE"""),2.0)</f>
        <v>2</v>
      </c>
      <c r="D957" s="13" t="str">
        <f>IFERROR(__xludf.DUMMYFUNCTION("""COMPUTED_VALUE"""),"TER.")</f>
        <v>TER.</v>
      </c>
      <c r="E957" s="13">
        <f>IFERROR(__xludf.DUMMYFUNCTION("""COMPUTED_VALUE"""),11.0)</f>
        <v>11</v>
      </c>
      <c r="F957" s="15"/>
      <c r="G957" s="16">
        <f>IFERROR(__xludf.DUMMYFUNCTION("""COMPUTED_VALUE"""),4.98)</f>
        <v>4.98</v>
      </c>
      <c r="H957" s="227"/>
      <c r="I957" s="21" t="str">
        <f>IFERROR(__xludf.DUMMYFUNCTION("""COMPUTED_VALUE"""),"NUBANK")</f>
        <v>NUBANK</v>
      </c>
      <c r="J957" s="21" t="str">
        <f>IFERROR(__xludf.DUMMYFUNCTION("""COMPUTED_VALUE"""),"#Recebimentos #Rendimentos #Variavel")</f>
        <v>#Recebimentos #Rendimentos #Variavel</v>
      </c>
      <c r="K957" s="216"/>
      <c r="L957" s="216"/>
      <c r="M957" s="216"/>
      <c r="N957" s="216"/>
      <c r="O957" s="216"/>
      <c r="P957" s="216"/>
      <c r="Q957" s="216"/>
    </row>
    <row r="958">
      <c r="A958" s="11" t="str">
        <f>IFERROR(__xludf.DUMMYFUNCTION("""COMPUTED_VALUE"""),"CONTAS")</f>
        <v>CONTAS</v>
      </c>
      <c r="B958" s="98" t="str">
        <f>IFERROR(__xludf.DUMMYFUNCTION("""COMPUTED_VALUE"""),"Transferencia via PIX")</f>
        <v>Transferencia via PIX</v>
      </c>
      <c r="C958" s="13">
        <f>IFERROR(__xludf.DUMMYFUNCTION("""COMPUTED_VALUE"""),3.0)</f>
        <v>3</v>
      </c>
      <c r="D958" s="13" t="str">
        <f>IFERROR(__xludf.DUMMYFUNCTION("""COMPUTED_VALUE"""),"QUA.")</f>
        <v>QUA.</v>
      </c>
      <c r="E958" s="13">
        <f>IFERROR(__xludf.DUMMYFUNCTION("""COMPUTED_VALUE"""),11.0)</f>
        <v>11</v>
      </c>
      <c r="F958" s="15"/>
      <c r="G958" s="16"/>
      <c r="H958" s="227">
        <f>IFERROR(__xludf.DUMMYFUNCTION("""COMPUTED_VALUE"""),300.0)</f>
        <v>300</v>
      </c>
      <c r="I958" s="21" t="str">
        <f>IFERROR(__xludf.DUMMYFUNCTION("""COMPUTED_VALUE"""),"NUBANK")</f>
        <v>NUBANK</v>
      </c>
      <c r="J958" s="21"/>
      <c r="K958" s="216"/>
      <c r="L958" s="216"/>
      <c r="M958" s="216"/>
      <c r="N958" s="216"/>
      <c r="O958" s="216"/>
      <c r="P958" s="216"/>
      <c r="Q958" s="216"/>
    </row>
    <row r="959">
      <c r="A959" s="11" t="str">
        <f>IFERROR(__xludf.DUMMYFUNCTION("""COMPUTED_VALUE"""),"CONTAS")</f>
        <v>CONTAS</v>
      </c>
      <c r="B959" s="98" t="str">
        <f>IFERROR(__xludf.DUMMYFUNCTION("""COMPUTED_VALUE"""),"Recebimento via PIX")</f>
        <v>Recebimento via PIX</v>
      </c>
      <c r="C959" s="13">
        <f>IFERROR(__xludf.DUMMYFUNCTION("""COMPUTED_VALUE"""),3.0)</f>
        <v>3</v>
      </c>
      <c r="D959" s="13" t="str">
        <f>IFERROR(__xludf.DUMMYFUNCTION("""COMPUTED_VALUE"""),"QUA.")</f>
        <v>QUA.</v>
      </c>
      <c r="E959" s="13">
        <f>IFERROR(__xludf.DUMMYFUNCTION("""COMPUTED_VALUE"""),11.0)</f>
        <v>11</v>
      </c>
      <c r="F959" s="15"/>
      <c r="G959" s="16">
        <f>IFERROR(__xludf.DUMMYFUNCTION("""COMPUTED_VALUE"""),300.0)</f>
        <v>300</v>
      </c>
      <c r="H959" s="227"/>
      <c r="I959" s="21" t="str">
        <f>IFERROR(__xludf.DUMMYFUNCTION("""COMPUTED_VALUE"""),"ITAU")</f>
        <v>ITAU</v>
      </c>
      <c r="J959" s="21"/>
      <c r="K959" s="216"/>
      <c r="L959" s="216"/>
      <c r="M959" s="216"/>
      <c r="N959" s="216"/>
      <c r="O959" s="216"/>
      <c r="P959" s="216"/>
      <c r="Q959" s="216"/>
    </row>
    <row r="960">
      <c r="A960" s="11" t="str">
        <f>IFERROR(__xludf.DUMMYFUNCTION("""COMPUTED_VALUE"""),"PAGO")</f>
        <v>PAGO</v>
      </c>
      <c r="B960" s="98" t="str">
        <f>IFERROR(__xludf.DUMMYFUNCTION("""COMPUTED_VALUE"""),"Psicologa - Kelley Nascimento (para Roberta) PIX 31993029435")</f>
        <v>Psicologa - Kelley Nascimento (para Roberta) PIX 31993029435</v>
      </c>
      <c r="C960" s="13">
        <f>IFERROR(__xludf.DUMMYFUNCTION("""COMPUTED_VALUE"""),5.0)</f>
        <v>5</v>
      </c>
      <c r="D960" s="13" t="str">
        <f>IFERROR(__xludf.DUMMYFUNCTION("""COMPUTED_VALUE"""),"SEX.")</f>
        <v>SEX.</v>
      </c>
      <c r="E960" s="13">
        <f>IFERROR(__xludf.DUMMYFUNCTION("""COMPUTED_VALUE"""),11.0)</f>
        <v>11</v>
      </c>
      <c r="F960" s="15">
        <f>IFERROR(__xludf.DUMMYFUNCTION("""COMPUTED_VALUE"""),44503.0)</f>
        <v>44503</v>
      </c>
      <c r="G960" s="16"/>
      <c r="H960" s="227">
        <f>IFERROR(__xludf.DUMMYFUNCTION("""COMPUTED_VALUE"""),400.0)</f>
        <v>400</v>
      </c>
      <c r="I960" s="21" t="str">
        <f>IFERROR(__xludf.DUMMYFUNCTION("""COMPUTED_VALUE"""),"NUBANK")</f>
        <v>NUBANK</v>
      </c>
      <c r="J960" s="21" t="str">
        <f>IFERROR(__xludf.DUMMYFUNCTION("""COMPUTED_VALUE"""),"#Psicologa #Fixo #Roberta")</f>
        <v>#Psicologa #Fixo #Roberta</v>
      </c>
      <c r="K960" s="216"/>
      <c r="L960" s="216"/>
      <c r="M960" s="216"/>
      <c r="N960" s="216"/>
      <c r="O960" s="216"/>
      <c r="P960" s="216"/>
      <c r="Q960" s="216"/>
    </row>
    <row r="961">
      <c r="A961" s="11" t="str">
        <f>IFERROR(__xludf.DUMMYFUNCTION("""COMPUTED_VALUE"""),"PAGO")</f>
        <v>PAGO</v>
      </c>
      <c r="B961" s="98" t="str">
        <f>IFERROR(__xludf.DUMMYFUNCTION("""COMPUTED_VALUE"""),"Transferi para PicPay (google play gift card para o Eduardo)")</f>
        <v>Transferi para PicPay (google play gift card para o Eduardo)</v>
      </c>
      <c r="C961" s="13">
        <f>IFERROR(__xludf.DUMMYFUNCTION("""COMPUTED_VALUE"""),5.0)</f>
        <v>5</v>
      </c>
      <c r="D961" s="13" t="str">
        <f>IFERROR(__xludf.DUMMYFUNCTION("""COMPUTED_VALUE"""),"SEX.")</f>
        <v>SEX.</v>
      </c>
      <c r="E961" s="13">
        <f>IFERROR(__xludf.DUMMYFUNCTION("""COMPUTED_VALUE"""),11.0)</f>
        <v>11</v>
      </c>
      <c r="F961" s="15"/>
      <c r="G961" s="16"/>
      <c r="H961" s="227">
        <f>IFERROR(__xludf.DUMMYFUNCTION("""COMPUTED_VALUE"""),6.0)</f>
        <v>6</v>
      </c>
      <c r="I961" s="21" t="str">
        <f>IFERROR(__xludf.DUMMYFUNCTION("""COMPUTED_VALUE"""),"NUBANK")</f>
        <v>NUBANK</v>
      </c>
      <c r="J961" s="21" t="str">
        <f>IFERROR(__xludf.DUMMYFUNCTION("""COMPUTED_VALUE"""),"#Transferencia #PIX #Nubank #PicPay #Variavel")</f>
        <v>#Transferencia #PIX #Nubank #PicPay #Variavel</v>
      </c>
      <c r="K961" s="216"/>
      <c r="L961" s="216"/>
      <c r="M961" s="216"/>
      <c r="N961" s="216"/>
      <c r="O961" s="216"/>
      <c r="P961" s="216"/>
      <c r="Q961" s="216"/>
    </row>
    <row r="962">
      <c r="A962" s="11" t="str">
        <f>IFERROR(__xludf.DUMMYFUNCTION("""COMPUTED_VALUE"""),"PAGO")</f>
        <v>PAGO</v>
      </c>
      <c r="B962" s="98" t="str">
        <f>IFERROR(__xludf.DUMMYFUNCTION("""COMPUTED_VALUE"""),"Nota Fiscal Paulista")</f>
        <v>Nota Fiscal Paulista</v>
      </c>
      <c r="C962" s="13">
        <f>IFERROR(__xludf.DUMMYFUNCTION("""COMPUTED_VALUE"""),5.0)</f>
        <v>5</v>
      </c>
      <c r="D962" s="13" t="str">
        <f>IFERROR(__xludf.DUMMYFUNCTION("""COMPUTED_VALUE"""),"SEX.")</f>
        <v>SEX.</v>
      </c>
      <c r="E962" s="13">
        <f>IFERROR(__xludf.DUMMYFUNCTION("""COMPUTED_VALUE"""),11.0)</f>
        <v>11</v>
      </c>
      <c r="F962" s="15"/>
      <c r="G962" s="16">
        <f>IFERROR(__xludf.DUMMYFUNCTION("""COMPUTED_VALUE"""),97.41)</f>
        <v>97.41</v>
      </c>
      <c r="H962" s="227"/>
      <c r="I962" s="21" t="str">
        <f>IFERROR(__xludf.DUMMYFUNCTION("""COMPUTED_VALUE"""),"ITAU")</f>
        <v>ITAU</v>
      </c>
      <c r="J962" s="21" t="str">
        <f>IFERROR(__xludf.DUMMYFUNCTION("""COMPUTED_VALUE"""),"#Recebimentos #NotaFiscalPaulista #Variavel")</f>
        <v>#Recebimentos #NotaFiscalPaulista #Variavel</v>
      </c>
      <c r="K962" s="216"/>
      <c r="L962" s="216"/>
      <c r="M962" s="216"/>
      <c r="N962" s="216"/>
      <c r="O962" s="216"/>
      <c r="P962" s="216"/>
      <c r="Q962" s="216"/>
    </row>
    <row r="963">
      <c r="A963" s="11" t="str">
        <f>IFERROR(__xludf.DUMMYFUNCTION("""COMPUTED_VALUE"""),"PAGO")</f>
        <v>PAGO</v>
      </c>
      <c r="B963" s="98" t="str">
        <f>IFERROR(__xludf.DUMMYFUNCTION("""COMPUTED_VALUE"""),"Levitar SJC - sorvetes")</f>
        <v>Levitar SJC - sorvetes</v>
      </c>
      <c r="C963" s="13">
        <f>IFERROR(__xludf.DUMMYFUNCTION("""COMPUTED_VALUE"""),5.0)</f>
        <v>5</v>
      </c>
      <c r="D963" s="13" t="str">
        <f>IFERROR(__xludf.DUMMYFUNCTION("""COMPUTED_VALUE"""),"SEX.")</f>
        <v>SEX.</v>
      </c>
      <c r="E963" s="13">
        <f>IFERROR(__xludf.DUMMYFUNCTION("""COMPUTED_VALUE"""),11.0)</f>
        <v>11</v>
      </c>
      <c r="F963" s="15"/>
      <c r="G963" s="16"/>
      <c r="H963" s="227">
        <f>IFERROR(__xludf.DUMMYFUNCTION("""COMPUTED_VALUE"""),49.3)</f>
        <v>49.3</v>
      </c>
      <c r="I963" s="21" t="str">
        <f>IFERROR(__xludf.DUMMYFUNCTION("""COMPUTED_VALUE"""),"ITAU")</f>
        <v>ITAU</v>
      </c>
      <c r="J963" s="21" t="str">
        <f>IFERROR(__xludf.DUMMYFUNCTION("""COMPUTED_VALUE"""),"#Lazer #Comida #Variavel")</f>
        <v>#Lazer #Comida #Variavel</v>
      </c>
      <c r="K963" s="216"/>
      <c r="L963" s="216"/>
      <c r="M963" s="216"/>
      <c r="N963" s="216"/>
      <c r="O963" s="216"/>
      <c r="P963" s="216"/>
      <c r="Q963" s="216"/>
    </row>
    <row r="964">
      <c r="A964" s="11" t="str">
        <f>IFERROR(__xludf.DUMMYFUNCTION("""COMPUTED_VALUE"""),"PAGO")</f>
        <v>PAGO</v>
      </c>
      <c r="B964" s="98" t="str">
        <f>IFERROR(__xludf.DUMMYFUNCTION("""COMPUTED_VALUE"""),"Aluguel de Itaquera - Joice")</f>
        <v>Aluguel de Itaquera - Joice</v>
      </c>
      <c r="C964" s="13">
        <f>IFERROR(__xludf.DUMMYFUNCTION("""COMPUTED_VALUE"""),5.0)</f>
        <v>5</v>
      </c>
      <c r="D964" s="13" t="str">
        <f>IFERROR(__xludf.DUMMYFUNCTION("""COMPUTED_VALUE"""),"SEX.")</f>
        <v>SEX.</v>
      </c>
      <c r="E964" s="13">
        <f>IFERROR(__xludf.DUMMYFUNCTION("""COMPUTED_VALUE"""),11.0)</f>
        <v>11</v>
      </c>
      <c r="F964" s="15"/>
      <c r="G964" s="16">
        <f>IFERROR(__xludf.DUMMYFUNCTION("""COMPUTED_VALUE"""),500.0)</f>
        <v>500</v>
      </c>
      <c r="H964" s="227"/>
      <c r="I964" s="21" t="str">
        <f>IFERROR(__xludf.DUMMYFUNCTION("""COMPUTED_VALUE"""),"NUBANK")</f>
        <v>NUBANK</v>
      </c>
      <c r="J964" s="21" t="str">
        <f>IFERROR(__xludf.DUMMYFUNCTION("""COMPUTED_VALUE"""),"#Recebimentos #Aluguel #Itaquera #Variavel")</f>
        <v>#Recebimentos #Aluguel #Itaquera #Variavel</v>
      </c>
      <c r="K964" s="216"/>
      <c r="L964" s="216"/>
      <c r="M964" s="216"/>
      <c r="N964" s="216"/>
      <c r="O964" s="216"/>
      <c r="P964" s="216"/>
      <c r="Q964" s="216"/>
    </row>
    <row r="965">
      <c r="A965" s="11" t="str">
        <f>IFERROR(__xludf.DUMMYFUNCTION("""COMPUTED_VALUE"""),"PAGO")</f>
        <v>PAGO</v>
      </c>
      <c r="B965" s="98" t="str">
        <f>IFERROR(__xludf.DUMMYFUNCTION("""COMPUTED_VALUE"""),"Transferencia via PIX - Roberta (aluguel)")</f>
        <v>Transferencia via PIX - Roberta (aluguel)</v>
      </c>
      <c r="C965" s="13">
        <f>IFERROR(__xludf.DUMMYFUNCTION("""COMPUTED_VALUE"""),5.0)</f>
        <v>5</v>
      </c>
      <c r="D965" s="13" t="str">
        <f>IFERROR(__xludf.DUMMYFUNCTION("""COMPUTED_VALUE"""),"SEX.")</f>
        <v>SEX.</v>
      </c>
      <c r="E965" s="13">
        <f>IFERROR(__xludf.DUMMYFUNCTION("""COMPUTED_VALUE"""),11.0)</f>
        <v>11</v>
      </c>
      <c r="F965" s="15"/>
      <c r="G965" s="16"/>
      <c r="H965" s="227">
        <f>IFERROR(__xludf.DUMMYFUNCTION("""COMPUTED_VALUE"""),500.0)</f>
        <v>500</v>
      </c>
      <c r="I965" s="21" t="str">
        <f>IFERROR(__xludf.DUMMYFUNCTION("""COMPUTED_VALUE"""),"NUBANK")</f>
        <v>NUBANK</v>
      </c>
      <c r="J965" s="21" t="str">
        <f>IFERROR(__xludf.DUMMYFUNCTION("""COMPUTED_VALUE"""),"#Roberta #Aluguel #Itaquera #Variavel")</f>
        <v>#Roberta #Aluguel #Itaquera #Variavel</v>
      </c>
      <c r="K965" s="216"/>
      <c r="L965" s="216"/>
      <c r="M965" s="216"/>
      <c r="N965" s="216"/>
      <c r="O965" s="216"/>
      <c r="P965" s="216"/>
      <c r="Q965" s="216"/>
    </row>
    <row r="966">
      <c r="A966" s="11" t="str">
        <f>IFERROR(__xludf.DUMMYFUNCTION("""COMPUTED_VALUE"""),"PAGO")</f>
        <v>PAGO</v>
      </c>
      <c r="B966" s="98" t="str">
        <f>IFERROR(__xludf.DUMMYFUNCTION("""COMPUTED_VALUE"""),"Shibata")</f>
        <v>Shibata</v>
      </c>
      <c r="C966" s="13">
        <f>IFERROR(__xludf.DUMMYFUNCTION("""COMPUTED_VALUE"""),6.0)</f>
        <v>6</v>
      </c>
      <c r="D966" s="13" t="str">
        <f>IFERROR(__xludf.DUMMYFUNCTION("""COMPUTED_VALUE"""),"SÁB.")</f>
        <v>SÁB.</v>
      </c>
      <c r="E966" s="13">
        <f>IFERROR(__xludf.DUMMYFUNCTION("""COMPUTED_VALUE"""),11.0)</f>
        <v>11</v>
      </c>
      <c r="F966" s="15"/>
      <c r="G966" s="16"/>
      <c r="H966" s="227">
        <f>IFERROR(__xludf.DUMMYFUNCTION("""COMPUTED_VALUE"""),250.53)</f>
        <v>250.53</v>
      </c>
      <c r="I966" s="21" t="str">
        <f>IFERROR(__xludf.DUMMYFUNCTION("""COMPUTED_VALUE"""),"SODEXO-REF-IBM")</f>
        <v>SODEXO-REF-IBM</v>
      </c>
      <c r="J966" s="21" t="str">
        <f>IFERROR(__xludf.DUMMYFUNCTION("""COMPUTED_VALUE"""),"#Moradia #Essencial #Mercado #Variavel #Alimentação ")</f>
        <v>#Moradia #Essencial #Mercado #Variavel #Alimentação </v>
      </c>
      <c r="K966" s="216"/>
      <c r="L966" s="216"/>
      <c r="M966" s="216"/>
      <c r="N966" s="216"/>
      <c r="O966" s="216"/>
      <c r="P966" s="216"/>
      <c r="Q966" s="216"/>
    </row>
    <row r="967">
      <c r="A967" s="11" t="str">
        <f>IFERROR(__xludf.DUMMYFUNCTION("""COMPUTED_VALUE"""),"PAGO")</f>
        <v>PAGO</v>
      </c>
      <c r="B967" s="98" t="str">
        <f>IFERROR(__xludf.DUMMYFUNCTION("""COMPUTED_VALUE"""),"Recarga TIM Cicero 11 948825242")</f>
        <v>Recarga TIM Cicero 11 948825242</v>
      </c>
      <c r="C967" s="13">
        <f>IFERROR(__xludf.DUMMYFUNCTION("""COMPUTED_VALUE"""),7.0)</f>
        <v>7</v>
      </c>
      <c r="D967" s="13" t="str">
        <f>IFERROR(__xludf.DUMMYFUNCTION("""COMPUTED_VALUE"""),"DOM.")</f>
        <v>DOM.</v>
      </c>
      <c r="E967" s="13">
        <f>IFERROR(__xludf.DUMMYFUNCTION("""COMPUTED_VALUE"""),11.0)</f>
        <v>11</v>
      </c>
      <c r="F967" s="15"/>
      <c r="G967" s="16"/>
      <c r="H967" s="227">
        <f>IFERROR(__xludf.DUMMYFUNCTION("""COMPUTED_VALUE"""),20.0)</f>
        <v>20</v>
      </c>
      <c r="I967" s="21" t="str">
        <f>IFERROR(__xludf.DUMMYFUNCTION("""COMPUTED_VALUE"""),"NUBANK")</f>
        <v>NUBANK</v>
      </c>
      <c r="J967" s="21" t="str">
        <f>IFERROR(__xludf.DUMMYFUNCTION("""COMPUTED_VALUE"""),"#Variavel #Recarga #TIM ")</f>
        <v>#Variavel #Recarga #TIM </v>
      </c>
      <c r="K967" s="216"/>
      <c r="L967" s="216"/>
      <c r="M967" s="216"/>
      <c r="N967" s="216"/>
      <c r="O967" s="216"/>
      <c r="P967" s="216"/>
      <c r="Q967" s="216"/>
    </row>
    <row r="968">
      <c r="A968" s="11" t="str">
        <f>IFERROR(__xludf.DUMMYFUNCTION("""COMPUTED_VALUE"""),"PAGO")</f>
        <v>PAGO</v>
      </c>
      <c r="B968" s="98" t="str">
        <f>IFERROR(__xludf.DUMMYFUNCTION("""COMPUTED_VALUE"""),"Coaching / Psicologa - Candice Oliveira")</f>
        <v>Coaching / Psicologa - Candice Oliveira</v>
      </c>
      <c r="C968" s="13">
        <f>IFERROR(__xludf.DUMMYFUNCTION("""COMPUTED_VALUE"""),8.0)</f>
        <v>8</v>
      </c>
      <c r="D968" s="13" t="str">
        <f>IFERROR(__xludf.DUMMYFUNCTION("""COMPUTED_VALUE"""),"SEG.")</f>
        <v>SEG.</v>
      </c>
      <c r="E968" s="13">
        <f>IFERROR(__xludf.DUMMYFUNCTION("""COMPUTED_VALUE"""),11.0)</f>
        <v>11</v>
      </c>
      <c r="F968" s="15"/>
      <c r="G968" s="16"/>
      <c r="H968" s="227">
        <f>IFERROR(__xludf.DUMMYFUNCTION("""COMPUTED_VALUE"""),100.0)</f>
        <v>100</v>
      </c>
      <c r="I968" s="21" t="str">
        <f>IFERROR(__xludf.DUMMYFUNCTION("""COMPUTED_VALUE"""),"ITAU")</f>
        <v>ITAU</v>
      </c>
      <c r="J968" s="21" t="str">
        <f>IFERROR(__xludf.DUMMYFUNCTION("""COMPUTED_VALUE"""),"#Coaching #Fixo")</f>
        <v>#Coaching #Fixo</v>
      </c>
      <c r="K968" s="216"/>
      <c r="L968" s="216"/>
      <c r="M968" s="216"/>
      <c r="N968" s="216"/>
      <c r="O968" s="216"/>
      <c r="P968" s="216"/>
      <c r="Q968" s="216"/>
    </row>
    <row r="969">
      <c r="A969" s="11" t="str">
        <f>IFERROR(__xludf.DUMMYFUNCTION("""COMPUTED_VALUE"""),"PAGO")</f>
        <v>PAGO</v>
      </c>
      <c r="B969" s="98" t="str">
        <f>IFERROR(__xludf.DUMMYFUNCTION("""COMPUTED_VALUE"""),"Cartao Roberta")</f>
        <v>Cartao Roberta</v>
      </c>
      <c r="C969" s="13">
        <f>IFERROR(__xludf.DUMMYFUNCTION("""COMPUTED_VALUE"""),8.0)</f>
        <v>8</v>
      </c>
      <c r="D969" s="13" t="str">
        <f>IFERROR(__xludf.DUMMYFUNCTION("""COMPUTED_VALUE"""),"SEG.")</f>
        <v>SEG.</v>
      </c>
      <c r="E969" s="13">
        <f>IFERROR(__xludf.DUMMYFUNCTION("""COMPUTED_VALUE"""),11.0)</f>
        <v>11</v>
      </c>
      <c r="F969" s="15">
        <f>IFERROR(__xludf.DUMMYFUNCTION("""COMPUTED_VALUE"""),44503.0)</f>
        <v>44503</v>
      </c>
      <c r="G969" s="16"/>
      <c r="H969" s="227">
        <f>IFERROR(__xludf.DUMMYFUNCTION("""COMPUTED_VALUE"""),440.67999999999995)</f>
        <v>440.68</v>
      </c>
      <c r="I969" s="21" t="str">
        <f>IFERROR(__xludf.DUMMYFUNCTION("""COMPUTED_VALUE"""),"NUBANK")</f>
        <v>NUBANK</v>
      </c>
      <c r="J969" s="21"/>
      <c r="K969" s="216"/>
      <c r="L969" s="216"/>
      <c r="M969" s="216"/>
      <c r="N969" s="216"/>
      <c r="O969" s="216"/>
      <c r="P969" s="216"/>
      <c r="Q969" s="216"/>
    </row>
    <row r="970">
      <c r="A970" s="11" t="str">
        <f>IFERROR(__xludf.DUMMYFUNCTION("""COMPUTED_VALUE"""),"CREDITO")</f>
        <v>CREDITO</v>
      </c>
      <c r="B970" s="98" t="str">
        <f>IFERROR(__xludf.DUMMYFUNCTION("""COMPUTED_VALUE"""),"HAVANCOM 02/02 - VESTUARIO")</f>
        <v>HAVANCOM 02/02 - VESTUARIO</v>
      </c>
      <c r="C970" s="13"/>
      <c r="D970" s="13"/>
      <c r="E970" s="13">
        <f>IFERROR(__xludf.DUMMYFUNCTION("""COMPUTED_VALUE"""),11.0)</f>
        <v>11</v>
      </c>
      <c r="F970" s="15">
        <f>IFERROR(__xludf.DUMMYFUNCTION("""COMPUTED_VALUE"""),44443.0)</f>
        <v>44443</v>
      </c>
      <c r="G970" s="16"/>
      <c r="H970" s="227">
        <f>IFERROR(__xludf.DUMMYFUNCTION("""COMPUTED_VALUE"""),35.0)</f>
        <v>35</v>
      </c>
      <c r="I970" s="21"/>
      <c r="J970" s="21" t="str">
        <f>IFERROR(__xludf.DUMMYFUNCTION("""COMPUTED_VALUE"""),"#CartaoDeCredito #Roberta #Variavel")</f>
        <v>#CartaoDeCredito #Roberta #Variavel</v>
      </c>
      <c r="K970" s="216"/>
      <c r="L970" s="216"/>
      <c r="M970" s="216"/>
      <c r="N970" s="216"/>
      <c r="O970" s="216"/>
      <c r="P970" s="216"/>
      <c r="Q970" s="216"/>
    </row>
    <row r="971">
      <c r="A971" s="11" t="str">
        <f>IFERROR(__xludf.DUMMYFUNCTION("""COMPUTED_VALUE"""),"CREDITO")</f>
        <v>CREDITO</v>
      </c>
      <c r="B971" s="98" t="str">
        <f>IFERROR(__xludf.DUMMYFUNCTION("""COMPUTED_VALUE"""),"HAVANCOM 02/02 - VESTUARIO")</f>
        <v>HAVANCOM 02/02 - VESTUARIO</v>
      </c>
      <c r="C971" s="13"/>
      <c r="D971" s="13"/>
      <c r="E971" s="13">
        <f>IFERROR(__xludf.DUMMYFUNCTION("""COMPUTED_VALUE"""),11.0)</f>
        <v>11</v>
      </c>
      <c r="F971" s="15">
        <f>IFERROR(__xludf.DUMMYFUNCTION("""COMPUTED_VALUE"""),44443.0)</f>
        <v>44443</v>
      </c>
      <c r="G971" s="16"/>
      <c r="H971" s="227">
        <f>IFERROR(__xludf.DUMMYFUNCTION("""COMPUTED_VALUE"""),-0.01)</f>
        <v>-0.01</v>
      </c>
      <c r="I971" s="21"/>
      <c r="J971" s="21" t="str">
        <f>IFERROR(__xludf.DUMMYFUNCTION("""COMPUTED_VALUE"""),"#CartaoDeCredito #Roberta #Variavel")</f>
        <v>#CartaoDeCredito #Roberta #Variavel</v>
      </c>
      <c r="K971" s="216"/>
      <c r="L971" s="216"/>
      <c r="M971" s="216"/>
      <c r="N971" s="216"/>
      <c r="O971" s="216"/>
      <c r="P971" s="216"/>
      <c r="Q971" s="216"/>
    </row>
    <row r="972">
      <c r="A972" s="11" t="str">
        <f>IFERROR(__xludf.DUMMYFUNCTION("""COMPUTED_VALUE"""),"CREDITO")</f>
        <v>CREDITO</v>
      </c>
      <c r="B972" s="98" t="str">
        <f>IFERROR(__xludf.DUMMYFUNCTION("""COMPUTED_VALUE"""),"SPITI DIVERSOS .SAO PAULO")</f>
        <v>SPITI DIVERSOS .SAO PAULO</v>
      </c>
      <c r="C972" s="13"/>
      <c r="D972" s="13"/>
      <c r="E972" s="13">
        <f>IFERROR(__xludf.DUMMYFUNCTION("""COMPUTED_VALUE"""),11.0)</f>
        <v>11</v>
      </c>
      <c r="F972" s="15">
        <f>IFERROR(__xludf.DUMMYFUNCTION("""COMPUTED_VALUE"""),44470.0)</f>
        <v>44470</v>
      </c>
      <c r="G972" s="16"/>
      <c r="H972" s="227">
        <f>IFERROR(__xludf.DUMMYFUNCTION("""COMPUTED_VALUE"""),1.0)</f>
        <v>1</v>
      </c>
      <c r="I972" s="21"/>
      <c r="J972" s="21" t="str">
        <f>IFERROR(__xludf.DUMMYFUNCTION("""COMPUTED_VALUE"""),"#CartaoDeCredito #Roberta #Variavel")</f>
        <v>#CartaoDeCredito #Roberta #Variavel</v>
      </c>
      <c r="K972" s="216"/>
      <c r="L972" s="216"/>
      <c r="M972" s="216"/>
      <c r="N972" s="216"/>
      <c r="O972" s="216"/>
      <c r="P972" s="216"/>
      <c r="Q972" s="216"/>
    </row>
    <row r="973">
      <c r="A973" s="11" t="str">
        <f>IFERROR(__xludf.DUMMYFUNCTION("""COMPUTED_VALUE"""),"CREDITO")</f>
        <v>CREDITO</v>
      </c>
      <c r="B973" s="98" t="str">
        <f>IFERROR(__xludf.DUMMYFUNCTION("""COMPUTED_VALUE"""),"SALINAS AUTO POSTO - VEICULO SAO JOSE DOS")</f>
        <v>SALINAS AUTO POSTO - VEICULO SAO JOSE DOS</v>
      </c>
      <c r="C973" s="13"/>
      <c r="D973" s="13"/>
      <c r="E973" s="13">
        <f>IFERROR(__xludf.DUMMYFUNCTION("""COMPUTED_VALUE"""),11.0)</f>
        <v>11</v>
      </c>
      <c r="F973" s="15">
        <f>IFERROR(__xludf.DUMMYFUNCTION("""COMPUTED_VALUE"""),44477.0)</f>
        <v>44477</v>
      </c>
      <c r="G973" s="16"/>
      <c r="H973" s="227">
        <f>IFERROR(__xludf.DUMMYFUNCTION("""COMPUTED_VALUE"""),233.95)</f>
        <v>233.95</v>
      </c>
      <c r="I973" s="21"/>
      <c r="J973" s="21" t="str">
        <f>IFERROR(__xludf.DUMMYFUNCTION("""COMPUTED_VALUE"""),"#CartaoDeCredito #Roberta #Carro #Combustivel #Variavel")</f>
        <v>#CartaoDeCredito #Roberta #Carro #Combustivel #Variavel</v>
      </c>
      <c r="K973" s="216"/>
      <c r="L973" s="216"/>
      <c r="M973" s="216"/>
      <c r="N973" s="216"/>
      <c r="O973" s="216"/>
      <c r="P973" s="216"/>
      <c r="Q973" s="216"/>
    </row>
    <row r="974">
      <c r="A974" s="11" t="str">
        <f>IFERROR(__xludf.DUMMYFUNCTION("""COMPUTED_VALUE"""),"CREDITO")</f>
        <v>CREDITO</v>
      </c>
      <c r="B974" s="98" t="str">
        <f>IFERROR(__xludf.DUMMYFUNCTION("""COMPUTED_VALUE"""),"SEGURO RESIDENCIAL ITAU")</f>
        <v>SEGURO RESIDENCIAL ITAU</v>
      </c>
      <c r="C974" s="13"/>
      <c r="D974" s="13"/>
      <c r="E974" s="13">
        <f>IFERROR(__xludf.DUMMYFUNCTION("""COMPUTED_VALUE"""),11.0)</f>
        <v>11</v>
      </c>
      <c r="F974" s="15">
        <f>IFERROR(__xludf.DUMMYFUNCTION("""COMPUTED_VALUE"""),44487.0)</f>
        <v>44487</v>
      </c>
      <c r="G974" s="16"/>
      <c r="H974" s="227">
        <f>IFERROR(__xludf.DUMMYFUNCTION("""COMPUTED_VALUE"""),15.02)</f>
        <v>15.02</v>
      </c>
      <c r="I974" s="21"/>
      <c r="J974" s="21" t="str">
        <f>IFERROR(__xludf.DUMMYFUNCTION("""COMPUTED_VALUE"""),"#CartaoDeCredito #Roberta #Essencial #Fixo #Moradia")</f>
        <v>#CartaoDeCredito #Roberta #Essencial #Fixo #Moradia</v>
      </c>
      <c r="K974" s="216"/>
      <c r="L974" s="216"/>
      <c r="M974" s="216"/>
      <c r="N974" s="216"/>
      <c r="O974" s="216"/>
      <c r="P974" s="216"/>
      <c r="Q974" s="216"/>
    </row>
    <row r="975">
      <c r="A975" s="11" t="str">
        <f>IFERROR(__xludf.DUMMYFUNCTION("""COMPUTED_VALUE"""),"CREDITO")</f>
        <v>CREDITO</v>
      </c>
      <c r="B975" s="98" t="str">
        <f>IFERROR(__xludf.DUMMYFUNCTION("""COMPUTED_VALUE"""),"FARMACONDE - SAUDE.SAUDE SAO JOSE DOS")</f>
        <v>FARMACONDE - SAUDE.SAUDE SAO JOSE DOS</v>
      </c>
      <c r="C975" s="13"/>
      <c r="D975" s="13"/>
      <c r="E975" s="13">
        <f>IFERROR(__xludf.DUMMYFUNCTION("""COMPUTED_VALUE"""),11.0)</f>
        <v>11</v>
      </c>
      <c r="F975" s="15">
        <f>IFERROR(__xludf.DUMMYFUNCTION("""COMPUTED_VALUE"""),44496.0)</f>
        <v>44496</v>
      </c>
      <c r="G975" s="16"/>
      <c r="H975" s="227">
        <f>IFERROR(__xludf.DUMMYFUNCTION("""COMPUTED_VALUE"""),39.95)</f>
        <v>39.95</v>
      </c>
      <c r="I975" s="21"/>
      <c r="J975" s="21" t="str">
        <f>IFERROR(__xludf.DUMMYFUNCTION("""COMPUTED_VALUE"""),"#CartaoDeCredito #Roberta #Variavel #Carlos #Eduardo")</f>
        <v>#CartaoDeCredito #Roberta #Variavel #Carlos #Eduardo</v>
      </c>
      <c r="K975" s="216"/>
      <c r="L975" s="216"/>
      <c r="M975" s="216"/>
      <c r="N975" s="216"/>
      <c r="O975" s="216"/>
      <c r="P975" s="216"/>
      <c r="Q975" s="216"/>
    </row>
    <row r="976">
      <c r="A976" s="11" t="str">
        <f>IFERROR(__xludf.DUMMYFUNCTION("""COMPUTED_VALUE"""),"CREDITO")</f>
        <v>CREDITO</v>
      </c>
      <c r="B976" s="98" t="str">
        <f>IFERROR(__xludf.DUMMYFUNCTION("""COMPUTED_VALUE"""),"FARMACONDE - SAUDE.SAUDE SAO JOSE DOS")</f>
        <v>FARMACONDE - SAUDE.SAUDE SAO JOSE DOS</v>
      </c>
      <c r="C976" s="13"/>
      <c r="D976" s="13"/>
      <c r="E976" s="13">
        <f>IFERROR(__xludf.DUMMYFUNCTION("""COMPUTED_VALUE"""),11.0)</f>
        <v>11</v>
      </c>
      <c r="F976" s="15">
        <f>IFERROR(__xludf.DUMMYFUNCTION("""COMPUTED_VALUE"""),44496.0)</f>
        <v>44496</v>
      </c>
      <c r="G976" s="16"/>
      <c r="H976" s="227">
        <f>IFERROR(__xludf.DUMMYFUNCTION("""COMPUTED_VALUE"""),45.0)</f>
        <v>45</v>
      </c>
      <c r="I976" s="21"/>
      <c r="J976" s="21" t="str">
        <f>IFERROR(__xludf.DUMMYFUNCTION("""COMPUTED_VALUE"""),"#CartaoDeCredito #Roberta #Variavel #Carlos #Eduardo")</f>
        <v>#CartaoDeCredito #Roberta #Variavel #Carlos #Eduardo</v>
      </c>
      <c r="K976" s="216"/>
      <c r="L976" s="216"/>
      <c r="M976" s="216"/>
      <c r="N976" s="216"/>
      <c r="O976" s="216"/>
      <c r="P976" s="216"/>
      <c r="Q976" s="216"/>
    </row>
    <row r="977">
      <c r="A977" s="11" t="str">
        <f>IFERROR(__xludf.DUMMYFUNCTION("""COMPUTED_VALUE"""),"CREDITO")</f>
        <v>CREDITO</v>
      </c>
      <c r="B977" s="98" t="str">
        <f>IFERROR(__xludf.DUMMYFUNCTION("""COMPUTED_VALUE"""),"FARMA DELIVERY SITE M SAUDE.SANTO ANDRE")</f>
        <v>FARMA DELIVERY SITE M SAUDE.SANTO ANDRE</v>
      </c>
      <c r="C977" s="13"/>
      <c r="D977" s="13"/>
      <c r="E977" s="13">
        <f>IFERROR(__xludf.DUMMYFUNCTION("""COMPUTED_VALUE"""),11.0)</f>
        <v>11</v>
      </c>
      <c r="F977" s="15">
        <f>IFERROR(__xludf.DUMMYFUNCTION("""COMPUTED_VALUE"""),44496.0)</f>
        <v>44496</v>
      </c>
      <c r="G977" s="16"/>
      <c r="H977" s="227">
        <f>IFERROR(__xludf.DUMMYFUNCTION("""COMPUTED_VALUE"""),70.77)</f>
        <v>70.77</v>
      </c>
      <c r="I977" s="21"/>
      <c r="J977" s="21" t="str">
        <f>IFERROR(__xludf.DUMMYFUNCTION("""COMPUTED_VALUE"""),"#CartaoDeCredito #Roberta #Variavel #Carlos")</f>
        <v>#CartaoDeCredito #Roberta #Variavel #Carlos</v>
      </c>
      <c r="K977" s="216"/>
      <c r="L977" s="216"/>
      <c r="M977" s="216"/>
      <c r="N977" s="216"/>
      <c r="O977" s="216"/>
      <c r="P977" s="216"/>
      <c r="Q977" s="216"/>
    </row>
    <row r="978">
      <c r="A978" s="11" t="str">
        <f>IFERROR(__xludf.DUMMYFUNCTION("""COMPUTED_VALUE"""),"PAGO")</f>
        <v>PAGO</v>
      </c>
      <c r="B978" s="98" t="str">
        <f>IFERROR(__xludf.DUMMYFUNCTION("""COMPUTED_VALUE"""),"Convenio Sr. Antonio - São Cristovão")</f>
        <v>Convenio Sr. Antonio - São Cristovão</v>
      </c>
      <c r="C978" s="13">
        <f>IFERROR(__xludf.DUMMYFUNCTION("""COMPUTED_VALUE"""),8.0)</f>
        <v>8</v>
      </c>
      <c r="D978" s="13" t="str">
        <f>IFERROR(__xludf.DUMMYFUNCTION("""COMPUTED_VALUE"""),"SEG.")</f>
        <v>SEG.</v>
      </c>
      <c r="E978" s="13">
        <f>IFERROR(__xludf.DUMMYFUNCTION("""COMPUTED_VALUE"""),11.0)</f>
        <v>11</v>
      </c>
      <c r="F978" s="15">
        <f>IFERROR(__xludf.DUMMYFUNCTION("""COMPUTED_VALUE"""),44503.0)</f>
        <v>44503</v>
      </c>
      <c r="G978" s="16"/>
      <c r="H978" s="227">
        <f>IFERROR(__xludf.DUMMYFUNCTION("""COMPUTED_VALUE"""),495.76)</f>
        <v>495.76</v>
      </c>
      <c r="I978" s="21" t="str">
        <f>IFERROR(__xludf.DUMMYFUNCTION("""COMPUTED_VALUE"""),"NUBANK")</f>
        <v>NUBANK</v>
      </c>
      <c r="J978" s="21" t="str">
        <f>IFERROR(__xludf.DUMMYFUNCTION("""COMPUTED_VALUE"""),"#Essencial #Saude #Convenio #Papai #Fixo")</f>
        <v>#Essencial #Saude #Convenio #Papai #Fixo</v>
      </c>
      <c r="K978" s="216"/>
      <c r="L978" s="216"/>
      <c r="M978" s="216"/>
      <c r="N978" s="216"/>
      <c r="O978" s="216"/>
      <c r="P978" s="216"/>
      <c r="Q978" s="216"/>
    </row>
    <row r="979">
      <c r="A979" s="11" t="str">
        <f>IFERROR(__xludf.DUMMYFUNCTION("""COMPUTED_VALUE"""),"PAGO")</f>
        <v>PAGO</v>
      </c>
      <c r="B979" s="98" t="str">
        <f>IFERROR(__xludf.DUMMYFUNCTION("""COMPUTED_VALUE"""),"Fatura VIVOFIBRA INTERNET")</f>
        <v>Fatura VIVOFIBRA INTERNET</v>
      </c>
      <c r="C979" s="13">
        <f>IFERROR(__xludf.DUMMYFUNCTION("""COMPUTED_VALUE"""),8.0)</f>
        <v>8</v>
      </c>
      <c r="D979" s="13" t="str">
        <f>IFERROR(__xludf.DUMMYFUNCTION("""COMPUTED_VALUE"""),"SEG.")</f>
        <v>SEG.</v>
      </c>
      <c r="E979" s="13">
        <f>IFERROR(__xludf.DUMMYFUNCTION("""COMPUTED_VALUE"""),11.0)</f>
        <v>11</v>
      </c>
      <c r="F979" s="15">
        <f>IFERROR(__xludf.DUMMYFUNCTION("""COMPUTED_VALUE"""),44503.0)</f>
        <v>44503</v>
      </c>
      <c r="G979" s="16"/>
      <c r="H979" s="227">
        <f>IFERROR(__xludf.DUMMYFUNCTION("""COMPUTED_VALUE"""),107.09)</f>
        <v>107.09</v>
      </c>
      <c r="I979" s="21" t="str">
        <f>IFERROR(__xludf.DUMMYFUNCTION("""COMPUTED_VALUE"""),"NUBANK")</f>
        <v>NUBANK</v>
      </c>
      <c r="J979" s="21" t="str">
        <f>IFERROR(__xludf.DUMMYFUNCTION("""COMPUTED_VALUE"""),"#Essencial #Internet #Fixo ")</f>
        <v>#Essencial #Internet #Fixo </v>
      </c>
      <c r="K979" s="216"/>
      <c r="L979" s="216"/>
      <c r="M979" s="216"/>
      <c r="N979" s="216"/>
      <c r="O979" s="216"/>
      <c r="P979" s="216"/>
      <c r="Q979" s="216"/>
    </row>
    <row r="980">
      <c r="A980" s="11" t="str">
        <f>IFERROR(__xludf.DUMMYFUNCTION("""COMPUTED_VALUE"""),"PAGO")</f>
        <v>PAGO</v>
      </c>
      <c r="B980" s="98" t="str">
        <f>IFERROR(__xludf.DUMMYFUNCTION("""COMPUTED_VALUE"""),"Fatura VIVOFIBRA NETFLIX")</f>
        <v>Fatura VIVOFIBRA NETFLIX</v>
      </c>
      <c r="C980" s="13">
        <f>IFERROR(__xludf.DUMMYFUNCTION("""COMPUTED_VALUE"""),8.0)</f>
        <v>8</v>
      </c>
      <c r="D980" s="13" t="str">
        <f>IFERROR(__xludf.DUMMYFUNCTION("""COMPUTED_VALUE"""),"SEG.")</f>
        <v>SEG.</v>
      </c>
      <c r="E980" s="13">
        <f>IFERROR(__xludf.DUMMYFUNCTION("""COMPUTED_VALUE"""),11.0)</f>
        <v>11</v>
      </c>
      <c r="F980" s="15">
        <f>IFERROR(__xludf.DUMMYFUNCTION("""COMPUTED_VALUE"""),44503.0)</f>
        <v>44503</v>
      </c>
      <c r="G980" s="16"/>
      <c r="H980" s="227">
        <f>IFERROR(__xludf.DUMMYFUNCTION("""COMPUTED_VALUE"""),32.9)</f>
        <v>32.9</v>
      </c>
      <c r="I980" s="21" t="str">
        <f>IFERROR(__xludf.DUMMYFUNCTION("""COMPUTED_VALUE"""),"NUBANK")</f>
        <v>NUBANK</v>
      </c>
      <c r="J980" s="21" t="str">
        <f>IFERROR(__xludf.DUMMYFUNCTION("""COMPUTED_VALUE"""),"#Essencial #Streaming #Fixo ")</f>
        <v>#Essencial #Streaming #Fixo </v>
      </c>
      <c r="K980" s="216"/>
      <c r="L980" s="216"/>
      <c r="M980" s="216"/>
      <c r="N980" s="216"/>
      <c r="O980" s="216"/>
      <c r="P980" s="216"/>
      <c r="Q980" s="216"/>
    </row>
    <row r="981">
      <c r="A981" s="11" t="str">
        <f>IFERROR(__xludf.DUMMYFUNCTION("""COMPUTED_VALUE"""),"PAGO")</f>
        <v>PAGO</v>
      </c>
      <c r="B981" s="98" t="str">
        <f>IFERROR(__xludf.DUMMYFUNCTION("""COMPUTED_VALUE"""),"Supermercados Máximo")</f>
        <v>Supermercados Máximo</v>
      </c>
      <c r="C981" s="13">
        <f>IFERROR(__xludf.DUMMYFUNCTION("""COMPUTED_VALUE"""),9.0)</f>
        <v>9</v>
      </c>
      <c r="D981" s="13" t="str">
        <f>IFERROR(__xludf.DUMMYFUNCTION("""COMPUTED_VALUE"""),"TER.")</f>
        <v>TER.</v>
      </c>
      <c r="E981" s="13">
        <f>IFERROR(__xludf.DUMMYFUNCTION("""COMPUTED_VALUE"""),11.0)</f>
        <v>11</v>
      </c>
      <c r="F981" s="15"/>
      <c r="G981" s="16"/>
      <c r="H981" s="227">
        <f>IFERROR(__xludf.DUMMYFUNCTION("""COMPUTED_VALUE"""),12.68)</f>
        <v>12.68</v>
      </c>
      <c r="I981" s="21" t="str">
        <f>IFERROR(__xludf.DUMMYFUNCTION("""COMPUTED_VALUE"""),"SODEXO-ALI-IBM")</f>
        <v>SODEXO-ALI-IBM</v>
      </c>
      <c r="J981" s="21" t="str">
        <f>IFERROR(__xludf.DUMMYFUNCTION("""COMPUTED_VALUE"""),"#Moradia #Essencial #Mercado #Variavel #Alimentação ")</f>
        <v>#Moradia #Essencial #Mercado #Variavel #Alimentação </v>
      </c>
      <c r="K981" s="216"/>
      <c r="L981" s="216"/>
      <c r="M981" s="216"/>
      <c r="N981" s="216"/>
      <c r="O981" s="216"/>
      <c r="P981" s="216"/>
      <c r="Q981" s="216"/>
    </row>
    <row r="982">
      <c r="A982" s="11" t="str">
        <f>IFERROR(__xludf.DUMMYFUNCTION("""COMPUTED_VALUE"""),"PAGO")</f>
        <v>PAGO</v>
      </c>
      <c r="B982" s="98" t="str">
        <f>IFERROR(__xludf.DUMMYFUNCTION("""COMPUTED_VALUE"""),"Limpeza do sofá pequeno")</f>
        <v>Limpeza do sofá pequeno</v>
      </c>
      <c r="C982" s="13">
        <f>IFERROR(__xludf.DUMMYFUNCTION("""COMPUTED_VALUE"""),9.0)</f>
        <v>9</v>
      </c>
      <c r="D982" s="13" t="str">
        <f>IFERROR(__xludf.DUMMYFUNCTION("""COMPUTED_VALUE"""),"TER.")</f>
        <v>TER.</v>
      </c>
      <c r="E982" s="13">
        <f>IFERROR(__xludf.DUMMYFUNCTION("""COMPUTED_VALUE"""),11.0)</f>
        <v>11</v>
      </c>
      <c r="F982" s="15"/>
      <c r="G982" s="16"/>
      <c r="H982" s="227">
        <f>IFERROR(__xludf.DUMMYFUNCTION("""COMPUTED_VALUE"""),140.0)</f>
        <v>140</v>
      </c>
      <c r="I982" s="21" t="str">
        <f>IFERROR(__xludf.DUMMYFUNCTION("""COMPUTED_VALUE"""),"ITAU")</f>
        <v>ITAU</v>
      </c>
      <c r="J982" s="21" t="str">
        <f>IFERROR(__xludf.DUMMYFUNCTION("""COMPUTED_VALUE"""),"#Moradia #Limpeza #Sofa #Variavel")</f>
        <v>#Moradia #Limpeza #Sofa #Variavel</v>
      </c>
      <c r="K982" s="216"/>
      <c r="L982" s="216"/>
      <c r="M982" s="216"/>
      <c r="N982" s="216"/>
      <c r="O982" s="216"/>
      <c r="P982" s="216"/>
      <c r="Q982" s="216"/>
    </row>
    <row r="983">
      <c r="A983" s="11" t="str">
        <f>IFERROR(__xludf.DUMMYFUNCTION("""COMPUTED_VALUE"""),"PAGO")</f>
        <v>PAGO</v>
      </c>
      <c r="B983" s="98" t="str">
        <f>IFERROR(__xludf.DUMMYFUNCTION("""COMPUTED_VALUE"""),"Shibata - Pizza")</f>
        <v>Shibata - Pizza</v>
      </c>
      <c r="C983" s="13">
        <f>IFERROR(__xludf.DUMMYFUNCTION("""COMPUTED_VALUE"""),9.0)</f>
        <v>9</v>
      </c>
      <c r="D983" s="13" t="str">
        <f>IFERROR(__xludf.DUMMYFUNCTION("""COMPUTED_VALUE"""),"TER.")</f>
        <v>TER.</v>
      </c>
      <c r="E983" s="13">
        <f>IFERROR(__xludf.DUMMYFUNCTION("""COMPUTED_VALUE"""),11.0)</f>
        <v>11</v>
      </c>
      <c r="F983" s="15"/>
      <c r="G983" s="16"/>
      <c r="H983" s="227">
        <f>IFERROR(__xludf.DUMMYFUNCTION("""COMPUTED_VALUE"""),29.9)</f>
        <v>29.9</v>
      </c>
      <c r="I983" s="21" t="str">
        <f>IFERROR(__xludf.DUMMYFUNCTION("""COMPUTED_VALUE"""),"SODEXO-REF-IBM")</f>
        <v>SODEXO-REF-IBM</v>
      </c>
      <c r="J983" s="21" t="str">
        <f>IFERROR(__xludf.DUMMYFUNCTION("""COMPUTED_VALUE"""),"#Lazer #Comida #Variavel")</f>
        <v>#Lazer #Comida #Variavel</v>
      </c>
      <c r="K983" s="216"/>
      <c r="L983" s="216"/>
      <c r="M983" s="216"/>
      <c r="N983" s="216"/>
      <c r="O983" s="216"/>
      <c r="P983" s="216"/>
      <c r="Q983" s="216"/>
    </row>
    <row r="984">
      <c r="A984" s="11" t="str">
        <f>IFERROR(__xludf.DUMMYFUNCTION("""COMPUTED_VALUE"""),"PAGO")</f>
        <v>PAGO</v>
      </c>
      <c r="B984" s="98" t="str">
        <f>IFERROR(__xludf.DUMMYFUNCTION("""COMPUTED_VALUE"""),"Shibata")</f>
        <v>Shibata</v>
      </c>
      <c r="C984" s="13">
        <f>IFERROR(__xludf.DUMMYFUNCTION("""COMPUTED_VALUE"""),9.0)</f>
        <v>9</v>
      </c>
      <c r="D984" s="13" t="str">
        <f>IFERROR(__xludf.DUMMYFUNCTION("""COMPUTED_VALUE"""),"TER.")</f>
        <v>TER.</v>
      </c>
      <c r="E984" s="13">
        <f>IFERROR(__xludf.DUMMYFUNCTION("""COMPUTED_VALUE"""),11.0)</f>
        <v>11</v>
      </c>
      <c r="F984" s="15"/>
      <c r="G984" s="16"/>
      <c r="H984" s="227">
        <f>IFERROR(__xludf.DUMMYFUNCTION("""COMPUTED_VALUE"""),92.0)</f>
        <v>92</v>
      </c>
      <c r="I984" s="21" t="str">
        <f>IFERROR(__xludf.DUMMYFUNCTION("""COMPUTED_VALUE"""),"SODEXO-REF-IBM")</f>
        <v>SODEXO-REF-IBM</v>
      </c>
      <c r="J984" s="21" t="str">
        <f>IFERROR(__xludf.DUMMYFUNCTION("""COMPUTED_VALUE"""),"#Moradia #Essencial #Mercado #Variavel #Alimentação ")</f>
        <v>#Moradia #Essencial #Mercado #Variavel #Alimentação </v>
      </c>
      <c r="K984" s="216"/>
      <c r="L984" s="216"/>
      <c r="M984" s="216"/>
      <c r="N984" s="216"/>
      <c r="O984" s="216"/>
      <c r="P984" s="216"/>
      <c r="Q984" s="216"/>
    </row>
    <row r="985">
      <c r="A985" s="11" t="str">
        <f>IFERROR(__xludf.DUMMYFUNCTION("""COMPUTED_VALUE"""),"PAGO")</f>
        <v>PAGO</v>
      </c>
      <c r="B985" s="98" t="str">
        <f>IFERROR(__xludf.DUMMYFUNCTION("""COMPUTED_VALUE"""),"Colégio Evoluti SJC")</f>
        <v>Colégio Evoluti SJC</v>
      </c>
      <c r="C985" s="13">
        <f>IFERROR(__xludf.DUMMYFUNCTION("""COMPUTED_VALUE"""),10.0)</f>
        <v>10</v>
      </c>
      <c r="D985" s="13" t="str">
        <f>IFERROR(__xludf.DUMMYFUNCTION("""COMPUTED_VALUE"""),"QUA.")</f>
        <v>QUA.</v>
      </c>
      <c r="E985" s="13">
        <f>IFERROR(__xludf.DUMMYFUNCTION("""COMPUTED_VALUE"""),11.0)</f>
        <v>11</v>
      </c>
      <c r="F985" s="15">
        <f>IFERROR(__xludf.DUMMYFUNCTION("""COMPUTED_VALUE"""),44503.0)</f>
        <v>44503</v>
      </c>
      <c r="G985" s="16"/>
      <c r="H985" s="227">
        <f>IFERROR(__xludf.DUMMYFUNCTION("""COMPUTED_VALUE"""),643.0)</f>
        <v>643</v>
      </c>
      <c r="I985" s="21" t="str">
        <f>IFERROR(__xludf.DUMMYFUNCTION("""COMPUTED_VALUE"""),"NUBANK")</f>
        <v>NUBANK</v>
      </c>
      <c r="J985" s="21" t="str">
        <f>IFERROR(__xludf.DUMMYFUNCTION("""COMPUTED_VALUE"""),"#Essencial #Escola #Eduardo #Fixo")</f>
        <v>#Essencial #Escola #Eduardo #Fixo</v>
      </c>
      <c r="K985" s="216"/>
      <c r="L985" s="216"/>
      <c r="M985" s="216"/>
      <c r="N985" s="216"/>
      <c r="O985" s="216"/>
      <c r="P985" s="216"/>
      <c r="Q985" s="216"/>
    </row>
    <row r="986">
      <c r="A986" s="11" t="str">
        <f>IFERROR(__xludf.DUMMYFUNCTION("""COMPUTED_VALUE"""),"PAGO")</f>
        <v>PAGO</v>
      </c>
      <c r="B986" s="98" t="str">
        <f>IFERROR(__xludf.DUMMYFUNCTION("""COMPUTED_VALUE"""),"Cartao NuBank")</f>
        <v>Cartao NuBank</v>
      </c>
      <c r="C986" s="13">
        <f>IFERROR(__xludf.DUMMYFUNCTION("""COMPUTED_VALUE"""),12.0)</f>
        <v>12</v>
      </c>
      <c r="D986" s="13" t="str">
        <f>IFERROR(__xludf.DUMMYFUNCTION("""COMPUTED_VALUE"""),"SEX.")</f>
        <v>SEX.</v>
      </c>
      <c r="E986" s="13">
        <f>IFERROR(__xludf.DUMMYFUNCTION("""COMPUTED_VALUE"""),11.0)</f>
        <v>11</v>
      </c>
      <c r="F986" s="15">
        <f>IFERROR(__xludf.DUMMYFUNCTION("""COMPUTED_VALUE"""),44504.0)</f>
        <v>44504</v>
      </c>
      <c r="G986" s="16"/>
      <c r="H986" s="227">
        <f>IFERROR(__xludf.DUMMYFUNCTION("""COMPUTED_VALUE"""),221.85000000000002)</f>
        <v>221.85</v>
      </c>
      <c r="I986" s="21" t="str">
        <f>IFERROR(__xludf.DUMMYFUNCTION("""COMPUTED_VALUE"""),"NUBANK")</f>
        <v>NUBANK</v>
      </c>
      <c r="J986" s="21"/>
      <c r="K986" s="216"/>
      <c r="L986" s="216"/>
      <c r="M986" s="216"/>
      <c r="N986" s="216"/>
      <c r="O986" s="216"/>
      <c r="P986" s="216"/>
      <c r="Q986" s="216"/>
    </row>
    <row r="987">
      <c r="A987" s="11" t="str">
        <f>IFERROR(__xludf.DUMMYFUNCTION("""COMPUTED_VALUE"""),"CREDITO")</f>
        <v>CREDITO</v>
      </c>
      <c r="B987" s="98" t="str">
        <f>IFERROR(__xludf.DUMMYFUNCTION("""COMPUTED_VALUE"""),"Americanas - Gift Card Google Play - Dias das crianças")</f>
        <v>Americanas - Gift Card Google Play - Dias das crianças</v>
      </c>
      <c r="C987" s="13"/>
      <c r="D987" s="13"/>
      <c r="E987" s="13">
        <f>IFERROR(__xludf.DUMMYFUNCTION("""COMPUTED_VALUE"""),11.0)</f>
        <v>11</v>
      </c>
      <c r="F987" s="15">
        <f>IFERROR(__xludf.DUMMYFUNCTION("""COMPUTED_VALUE"""),44480.0)</f>
        <v>44480</v>
      </c>
      <c r="G987" s="16"/>
      <c r="H987" s="227">
        <f>IFERROR(__xludf.DUMMYFUNCTION("""COMPUTED_VALUE"""),100.0)</f>
        <v>100</v>
      </c>
      <c r="I987" s="21"/>
      <c r="J987" s="21" t="str">
        <f>IFERROR(__xludf.DUMMYFUNCTION("""COMPUTED_VALUE"""),"#CartaoDeCredito #Cicero #Lazer #Eduardo #Variavel")</f>
        <v>#CartaoDeCredito #Cicero #Lazer #Eduardo #Variavel</v>
      </c>
      <c r="K987" s="216"/>
      <c r="L987" s="216"/>
      <c r="M987" s="216"/>
      <c r="N987" s="216"/>
      <c r="O987" s="216"/>
      <c r="P987" s="216"/>
      <c r="Q987" s="216"/>
    </row>
    <row r="988">
      <c r="A988" s="11" t="str">
        <f>IFERROR(__xludf.DUMMYFUNCTION("""COMPUTED_VALUE"""),"CREDITO")</f>
        <v>CREDITO</v>
      </c>
      <c r="B988" s="98" t="str">
        <f>IFERROR(__xludf.DUMMYFUNCTION("""COMPUTED_VALUE"""),"Google Play - Dias das crianças")</f>
        <v>Google Play - Dias das crianças</v>
      </c>
      <c r="C988" s="13"/>
      <c r="D988" s="13"/>
      <c r="E988" s="13">
        <f>IFERROR(__xludf.DUMMYFUNCTION("""COMPUTED_VALUE"""),11.0)</f>
        <v>11</v>
      </c>
      <c r="F988" s="15">
        <f>IFERROR(__xludf.DUMMYFUNCTION("""COMPUTED_VALUE"""),44480.0)</f>
        <v>44480</v>
      </c>
      <c r="G988" s="16"/>
      <c r="H988" s="227">
        <f>IFERROR(__xludf.DUMMYFUNCTION("""COMPUTED_VALUE"""),98.99)</f>
        <v>98.99</v>
      </c>
      <c r="I988" s="21"/>
      <c r="J988" s="21" t="str">
        <f>IFERROR(__xludf.DUMMYFUNCTION("""COMPUTED_VALUE"""),"#CartaoDeCredito #Cicero #Lazer #Eduardo #Variavel")</f>
        <v>#CartaoDeCredito #Cicero #Lazer #Eduardo #Variavel</v>
      </c>
      <c r="K988" s="216"/>
      <c r="L988" s="216"/>
      <c r="M988" s="216"/>
      <c r="N988" s="216"/>
      <c r="O988" s="216"/>
      <c r="P988" s="216"/>
      <c r="Q988" s="216"/>
    </row>
    <row r="989">
      <c r="A989" s="11" t="str">
        <f>IFERROR(__xludf.DUMMYFUNCTION("""COMPUTED_VALUE"""),"CREDITO")</f>
        <v>CREDITO</v>
      </c>
      <c r="B989" s="98" t="str">
        <f>IFERROR(__xludf.DUMMYFUNCTION("""COMPUTED_VALUE"""),"Google Play - Dias das crianças")</f>
        <v>Google Play - Dias das crianças</v>
      </c>
      <c r="C989" s="13"/>
      <c r="D989" s="13"/>
      <c r="E989" s="13">
        <f>IFERROR(__xludf.DUMMYFUNCTION("""COMPUTED_VALUE"""),11.0)</f>
        <v>11</v>
      </c>
      <c r="F989" s="15">
        <f>IFERROR(__xludf.DUMMYFUNCTION("""COMPUTED_VALUE"""),44480.0)</f>
        <v>44480</v>
      </c>
      <c r="G989" s="16"/>
      <c r="H989" s="227">
        <f>IFERROR(__xludf.DUMMYFUNCTION("""COMPUTED_VALUE"""),19.99)</f>
        <v>19.99</v>
      </c>
      <c r="I989" s="21"/>
      <c r="J989" s="21" t="str">
        <f>IFERROR(__xludf.DUMMYFUNCTION("""COMPUTED_VALUE"""),"#CartaoDeCredito #Cicero #Lazer #Eduardo #Variavel")</f>
        <v>#CartaoDeCredito #Cicero #Lazer #Eduardo #Variavel</v>
      </c>
      <c r="K989" s="216"/>
      <c r="L989" s="216"/>
      <c r="M989" s="216"/>
      <c r="N989" s="216"/>
      <c r="O989" s="216"/>
      <c r="P989" s="216"/>
      <c r="Q989" s="216"/>
    </row>
    <row r="990">
      <c r="A990" s="11" t="str">
        <f>IFERROR(__xludf.DUMMYFUNCTION("""COMPUTED_VALUE"""),"CREDITO")</f>
        <v>CREDITO</v>
      </c>
      <c r="B990" s="98" t="str">
        <f>IFERROR(__xludf.DUMMYFUNCTION("""COMPUTED_VALUE"""),"Americanas - Gift Card Google Play - Dias das crianças - ESTORNO")</f>
        <v>Americanas - Gift Card Google Play - Dias das crianças - ESTORNO</v>
      </c>
      <c r="C990" s="13"/>
      <c r="D990" s="13"/>
      <c r="E990" s="13">
        <f>IFERROR(__xludf.DUMMYFUNCTION("""COMPUTED_VALUE"""),11.0)</f>
        <v>11</v>
      </c>
      <c r="F990" s="15">
        <f>IFERROR(__xludf.DUMMYFUNCTION("""COMPUTED_VALUE"""),44484.0)</f>
        <v>44484</v>
      </c>
      <c r="G990" s="16"/>
      <c r="H990" s="227">
        <f>IFERROR(__xludf.DUMMYFUNCTION("""COMPUTED_VALUE"""),-100.0)</f>
        <v>-100</v>
      </c>
      <c r="I990" s="21"/>
      <c r="J990" s="21" t="str">
        <f>IFERROR(__xludf.DUMMYFUNCTION("""COMPUTED_VALUE"""),"#CartaoDeCredito #Cicero #Lazer #Eduardo #Variavel")</f>
        <v>#CartaoDeCredito #Cicero #Lazer #Eduardo #Variavel</v>
      </c>
      <c r="K990" s="216"/>
      <c r="L990" s="216"/>
      <c r="M990" s="216"/>
      <c r="N990" s="216"/>
      <c r="O990" s="216"/>
      <c r="P990" s="216"/>
      <c r="Q990" s="216"/>
    </row>
    <row r="991">
      <c r="A991" s="11" t="str">
        <f>IFERROR(__xludf.DUMMYFUNCTION("""COMPUTED_VALUE"""),"CREDITO")</f>
        <v>CREDITO</v>
      </c>
      <c r="B991" s="98" t="str">
        <f>IFERROR(__xludf.DUMMYFUNCTION("""COMPUTED_VALUE"""),"Amazon.com.br digital Go Premium - Jogo do Rato - comprei por engano")</f>
        <v>Amazon.com.br digital Go Premium - Jogo do Rato - comprei por engano</v>
      </c>
      <c r="C991" s="13"/>
      <c r="D991" s="13"/>
      <c r="E991" s="13">
        <f>IFERROR(__xludf.DUMMYFUNCTION("""COMPUTED_VALUE"""),11.0)</f>
        <v>11</v>
      </c>
      <c r="F991" s="15">
        <f>IFERROR(__xludf.DUMMYFUNCTION("""COMPUTED_VALUE"""),44493.0)</f>
        <v>44493</v>
      </c>
      <c r="G991" s="16"/>
      <c r="H991" s="227">
        <f>IFERROR(__xludf.DUMMYFUNCTION("""COMPUTED_VALUE"""),16.08)</f>
        <v>16.08</v>
      </c>
      <c r="I991" s="21"/>
      <c r="J991" s="21" t="str">
        <f>IFERROR(__xludf.DUMMYFUNCTION("""COMPUTED_VALUE"""),"#CartaoDeCredito #Cicero #Lazer #Carlos #Variavel")</f>
        <v>#CartaoDeCredito #Cicero #Lazer #Carlos #Variavel</v>
      </c>
      <c r="K991" s="216"/>
      <c r="L991" s="216"/>
      <c r="M991" s="216"/>
      <c r="N991" s="216"/>
      <c r="O991" s="216"/>
      <c r="P991" s="216"/>
      <c r="Q991" s="216"/>
    </row>
    <row r="992">
      <c r="A992" s="11" t="str">
        <f>IFERROR(__xludf.DUMMYFUNCTION("""COMPUTED_VALUE"""),"CREDITO")</f>
        <v>CREDITO</v>
      </c>
      <c r="B992" s="98" t="str">
        <f>IFERROR(__xludf.DUMMYFUNCTION("""COMPUTED_VALUE"""),"Google YouTube Premium")</f>
        <v>Google YouTube Premium</v>
      </c>
      <c r="C992" s="13"/>
      <c r="D992" s="13"/>
      <c r="E992" s="13">
        <f>IFERROR(__xludf.DUMMYFUNCTION("""COMPUTED_VALUE"""),11.0)</f>
        <v>11</v>
      </c>
      <c r="F992" s="15">
        <f>IFERROR(__xludf.DUMMYFUNCTION("""COMPUTED_VALUE"""),44494.0)</f>
        <v>44494</v>
      </c>
      <c r="G992" s="16"/>
      <c r="H992" s="227">
        <f>IFERROR(__xludf.DUMMYFUNCTION("""COMPUTED_VALUE"""),31.9)</f>
        <v>31.9</v>
      </c>
      <c r="I992" s="21"/>
      <c r="J992" s="21" t="str">
        <f>IFERROR(__xludf.DUMMYFUNCTION("""COMPUTED_VALUE"""),"#CartaoDeCredito #Cicero #Streaming #Fixo ")</f>
        <v>#CartaoDeCredito #Cicero #Streaming #Fixo </v>
      </c>
      <c r="K992" s="216"/>
      <c r="L992" s="216"/>
      <c r="M992" s="216"/>
      <c r="N992" s="216"/>
      <c r="O992" s="216"/>
      <c r="P992" s="216"/>
      <c r="Q992" s="216"/>
    </row>
    <row r="993">
      <c r="A993" s="11" t="str">
        <f>IFERROR(__xludf.DUMMYFUNCTION("""COMPUTED_VALUE"""),"CREDITO")</f>
        <v>CREDITO</v>
      </c>
      <c r="B993" s="98" t="str">
        <f>IFERROR(__xludf.DUMMYFUNCTION("""COMPUTED_VALUE"""),"Amazonprimebr")</f>
        <v>Amazonprimebr</v>
      </c>
      <c r="C993" s="13"/>
      <c r="D993" s="13"/>
      <c r="E993" s="13">
        <f>IFERROR(__xludf.DUMMYFUNCTION("""COMPUTED_VALUE"""),11.0)</f>
        <v>11</v>
      </c>
      <c r="F993" s="15">
        <f>IFERROR(__xludf.DUMMYFUNCTION("""COMPUTED_VALUE"""),44495.0)</f>
        <v>44495</v>
      </c>
      <c r="G993" s="16"/>
      <c r="H993" s="227">
        <f>IFERROR(__xludf.DUMMYFUNCTION("""COMPUTED_VALUE"""),9.9)</f>
        <v>9.9</v>
      </c>
      <c r="I993" s="21"/>
      <c r="J993" s="21" t="str">
        <f>IFERROR(__xludf.DUMMYFUNCTION("""COMPUTED_VALUE"""),"#CartaoDeCredito #Cicero #Streaming #Fixo ")</f>
        <v>#CartaoDeCredito #Cicero #Streaming #Fixo </v>
      </c>
      <c r="K993" s="216"/>
      <c r="L993" s="216"/>
      <c r="M993" s="216"/>
      <c r="N993" s="216"/>
      <c r="O993" s="216"/>
      <c r="P993" s="216"/>
      <c r="Q993" s="216"/>
    </row>
    <row r="994">
      <c r="A994" s="11" t="str">
        <f>IFERROR(__xludf.DUMMYFUNCTION("""COMPUTED_VALUE"""),"CREDITO")</f>
        <v>CREDITO</v>
      </c>
      <c r="B994" s="98" t="str">
        <f>IFERROR(__xludf.DUMMYFUNCTION("""COMPUTED_VALUE"""),"Microsoft Game Pass Ultimate")</f>
        <v>Microsoft Game Pass Ultimate</v>
      </c>
      <c r="C994" s="13"/>
      <c r="D994" s="13"/>
      <c r="E994" s="13">
        <f>IFERROR(__xludf.DUMMYFUNCTION("""COMPUTED_VALUE"""),11.0)</f>
        <v>11</v>
      </c>
      <c r="F994" s="15">
        <f>IFERROR(__xludf.DUMMYFUNCTION("""COMPUTED_VALUE"""),44501.0)</f>
        <v>44501</v>
      </c>
      <c r="G994" s="16"/>
      <c r="H994" s="227">
        <f>IFERROR(__xludf.DUMMYFUNCTION("""COMPUTED_VALUE"""),44.99)</f>
        <v>44.99</v>
      </c>
      <c r="I994" s="21"/>
      <c r="J994" s="21" t="str">
        <f>IFERROR(__xludf.DUMMYFUNCTION("""COMPUTED_VALUE"""),"#CartaoDeCredito #Cicero #Lazer #Variavel")</f>
        <v>#CartaoDeCredito #Cicero #Lazer #Variavel</v>
      </c>
      <c r="K994" s="216"/>
      <c r="L994" s="216"/>
      <c r="M994" s="216"/>
      <c r="N994" s="216"/>
      <c r="O994" s="216"/>
      <c r="P994" s="216"/>
      <c r="Q994" s="216"/>
    </row>
    <row r="995">
      <c r="A995" s="11" t="str">
        <f>IFERROR(__xludf.DUMMYFUNCTION("""COMPUTED_VALUE"""),"PAGO")</f>
        <v>PAGO</v>
      </c>
      <c r="B995" s="98" t="str">
        <f>IFERROR(__xludf.DUMMYFUNCTION("""COMPUTED_VALUE"""),"Salario - IBM")</f>
        <v>Salario - IBM</v>
      </c>
      <c r="C995" s="13">
        <f>IFERROR(__xludf.DUMMYFUNCTION("""COMPUTED_VALUE"""),12.0)</f>
        <v>12</v>
      </c>
      <c r="D995" s="13" t="str">
        <f>IFERROR(__xludf.DUMMYFUNCTION("""COMPUTED_VALUE"""),"SEX.")</f>
        <v>SEX.</v>
      </c>
      <c r="E995" s="13">
        <f>IFERROR(__xludf.DUMMYFUNCTION("""COMPUTED_VALUE"""),11.0)</f>
        <v>11</v>
      </c>
      <c r="F995" s="15"/>
      <c r="G995" s="16">
        <f>IFERROR(__xludf.DUMMYFUNCTION("""COMPUTED_VALUE"""),5100.0)</f>
        <v>5100</v>
      </c>
      <c r="H995" s="227"/>
      <c r="I995" s="21" t="str">
        <f>IFERROR(__xludf.DUMMYFUNCTION("""COMPUTED_VALUE"""),"SANTANDER")</f>
        <v>SANTANDER</v>
      </c>
      <c r="J995" s="21" t="str">
        <f>IFERROR(__xludf.DUMMYFUNCTION("""COMPUTED_VALUE"""),"#Recebimentos #Salario #Fixo")</f>
        <v>#Recebimentos #Salario #Fixo</v>
      </c>
      <c r="K995" s="216"/>
      <c r="L995" s="216"/>
      <c r="M995" s="216"/>
      <c r="N995" s="216"/>
      <c r="O995" s="216"/>
      <c r="P995" s="216"/>
      <c r="Q995" s="216"/>
    </row>
    <row r="996">
      <c r="A996" s="11" t="str">
        <f>IFERROR(__xludf.DUMMYFUNCTION("""COMPUTED_VALUE"""),"CONTAS")</f>
        <v>CONTAS</v>
      </c>
      <c r="B996" s="98" t="str">
        <f>IFERROR(__xludf.DUMMYFUNCTION("""COMPUTED_VALUE"""),"Transferencia via PIX")</f>
        <v>Transferencia via PIX</v>
      </c>
      <c r="C996" s="13">
        <f>IFERROR(__xludf.DUMMYFUNCTION("""COMPUTED_VALUE"""),12.0)</f>
        <v>12</v>
      </c>
      <c r="D996" s="13" t="str">
        <f>IFERROR(__xludf.DUMMYFUNCTION("""COMPUTED_VALUE"""),"SEX.")</f>
        <v>SEX.</v>
      </c>
      <c r="E996" s="13">
        <f>IFERROR(__xludf.DUMMYFUNCTION("""COMPUTED_VALUE"""),11.0)</f>
        <v>11</v>
      </c>
      <c r="F996" s="15"/>
      <c r="G996" s="16"/>
      <c r="H996" s="227">
        <f>IFERROR(__xludf.DUMMYFUNCTION("""COMPUTED_VALUE"""),5100.0)</f>
        <v>5100</v>
      </c>
      <c r="I996" s="21" t="str">
        <f>IFERROR(__xludf.DUMMYFUNCTION("""COMPUTED_VALUE"""),"SANTANDER")</f>
        <v>SANTANDER</v>
      </c>
      <c r="J996" s="21"/>
      <c r="K996" s="216"/>
      <c r="L996" s="216"/>
      <c r="M996" s="216"/>
      <c r="N996" s="216"/>
      <c r="O996" s="216"/>
      <c r="P996" s="216"/>
      <c r="Q996" s="216"/>
    </row>
    <row r="997">
      <c r="A997" s="11" t="str">
        <f>IFERROR(__xludf.DUMMYFUNCTION("""COMPUTED_VALUE"""),"CONTAS")</f>
        <v>CONTAS</v>
      </c>
      <c r="B997" s="98" t="str">
        <f>IFERROR(__xludf.DUMMYFUNCTION("""COMPUTED_VALUE"""),"Recebimento via PIX")</f>
        <v>Recebimento via PIX</v>
      </c>
      <c r="C997" s="13">
        <f>IFERROR(__xludf.DUMMYFUNCTION("""COMPUTED_VALUE"""),12.0)</f>
        <v>12</v>
      </c>
      <c r="D997" s="13" t="str">
        <f>IFERROR(__xludf.DUMMYFUNCTION("""COMPUTED_VALUE"""),"SEX.")</f>
        <v>SEX.</v>
      </c>
      <c r="E997" s="13">
        <f>IFERROR(__xludf.DUMMYFUNCTION("""COMPUTED_VALUE"""),11.0)</f>
        <v>11</v>
      </c>
      <c r="F997" s="15"/>
      <c r="G997" s="16">
        <f>IFERROR(__xludf.DUMMYFUNCTION("""COMPUTED_VALUE"""),5100.0)</f>
        <v>5100</v>
      </c>
      <c r="H997" s="227"/>
      <c r="I997" s="21" t="str">
        <f>IFERROR(__xludf.DUMMYFUNCTION("""COMPUTED_VALUE"""),"NUBANK")</f>
        <v>NUBANK</v>
      </c>
      <c r="J997" s="21"/>
      <c r="K997" s="216"/>
      <c r="L997" s="216"/>
      <c r="M997" s="216"/>
      <c r="N997" s="216"/>
      <c r="O997" s="216"/>
      <c r="P997" s="216"/>
      <c r="Q997" s="216"/>
    </row>
    <row r="998">
      <c r="A998" s="11" t="str">
        <f>IFERROR(__xludf.DUMMYFUNCTION("""COMPUTED_VALUE"""),"CONTAS")</f>
        <v>CONTAS</v>
      </c>
      <c r="B998" s="98" t="str">
        <f>IFERROR(__xludf.DUMMYFUNCTION("""COMPUTED_VALUE"""),"Transferencia via PIX")</f>
        <v>Transferencia via PIX</v>
      </c>
      <c r="C998" s="13">
        <f>IFERROR(__xludf.DUMMYFUNCTION("""COMPUTED_VALUE"""),12.0)</f>
        <v>12</v>
      </c>
      <c r="D998" s="13" t="str">
        <f>IFERROR(__xludf.DUMMYFUNCTION("""COMPUTED_VALUE"""),"SEX.")</f>
        <v>SEX.</v>
      </c>
      <c r="E998" s="13">
        <f>IFERROR(__xludf.DUMMYFUNCTION("""COMPUTED_VALUE"""),11.0)</f>
        <v>11</v>
      </c>
      <c r="F998" s="15"/>
      <c r="G998" s="16"/>
      <c r="H998" s="227">
        <f>IFERROR(__xludf.DUMMYFUNCTION("""COMPUTED_VALUE"""),1300.0)</f>
        <v>1300</v>
      </c>
      <c r="I998" s="21" t="str">
        <f>IFERROR(__xludf.DUMMYFUNCTION("""COMPUTED_VALUE"""),"NUBANK")</f>
        <v>NUBANK</v>
      </c>
      <c r="J998" s="21"/>
      <c r="K998" s="216"/>
      <c r="L998" s="216"/>
      <c r="M998" s="216"/>
      <c r="N998" s="216"/>
      <c r="O998" s="216"/>
      <c r="P998" s="216"/>
      <c r="Q998" s="216"/>
    </row>
    <row r="999">
      <c r="A999" s="11" t="str">
        <f>IFERROR(__xludf.DUMMYFUNCTION("""COMPUTED_VALUE"""),"CONTAS")</f>
        <v>CONTAS</v>
      </c>
      <c r="B999" s="98" t="str">
        <f>IFERROR(__xludf.DUMMYFUNCTION("""COMPUTED_VALUE"""),"Recebimento via PIX")</f>
        <v>Recebimento via PIX</v>
      </c>
      <c r="C999" s="13">
        <f>IFERROR(__xludf.DUMMYFUNCTION("""COMPUTED_VALUE"""),12.0)</f>
        <v>12</v>
      </c>
      <c r="D999" s="13" t="str">
        <f>IFERROR(__xludf.DUMMYFUNCTION("""COMPUTED_VALUE"""),"SEX.")</f>
        <v>SEX.</v>
      </c>
      <c r="E999" s="13">
        <f>IFERROR(__xludf.DUMMYFUNCTION("""COMPUTED_VALUE"""),11.0)</f>
        <v>11</v>
      </c>
      <c r="F999" s="15"/>
      <c r="G999" s="16">
        <f>IFERROR(__xludf.DUMMYFUNCTION("""COMPUTED_VALUE"""),1300.0)</f>
        <v>1300</v>
      </c>
      <c r="H999" s="227"/>
      <c r="I999" s="21" t="str">
        <f>IFERROR(__xludf.DUMMYFUNCTION("""COMPUTED_VALUE"""),"ITAU")</f>
        <v>ITAU</v>
      </c>
      <c r="J999" s="21"/>
      <c r="K999" s="216"/>
      <c r="L999" s="216"/>
      <c r="M999" s="216"/>
      <c r="N999" s="216"/>
      <c r="O999" s="216"/>
      <c r="P999" s="216"/>
      <c r="Q999" s="216"/>
    </row>
    <row r="1000">
      <c r="A1000" s="11" t="str">
        <f>IFERROR(__xludf.DUMMYFUNCTION("""COMPUTED_VALUE"""),"PAGO")</f>
        <v>PAGO</v>
      </c>
      <c r="B1000" s="98" t="str">
        <f>IFERROR(__xludf.DUMMYFUNCTION("""COMPUTED_VALUE"""),"iFood - Cura Gula")</f>
        <v>iFood - Cura Gula</v>
      </c>
      <c r="C1000" s="13">
        <f>IFERROR(__xludf.DUMMYFUNCTION("""COMPUTED_VALUE"""),12.0)</f>
        <v>12</v>
      </c>
      <c r="D1000" s="13" t="str">
        <f>IFERROR(__xludf.DUMMYFUNCTION("""COMPUTED_VALUE"""),"SEX.")</f>
        <v>SEX.</v>
      </c>
      <c r="E1000" s="13">
        <f>IFERROR(__xludf.DUMMYFUNCTION("""COMPUTED_VALUE"""),11.0)</f>
        <v>11</v>
      </c>
      <c r="F1000" s="15"/>
      <c r="G1000" s="16"/>
      <c r="H1000" s="227">
        <f>IFERROR(__xludf.DUMMYFUNCTION("""COMPUTED_VALUE"""),32.0)</f>
        <v>32</v>
      </c>
      <c r="I1000" s="21" t="str">
        <f>IFERROR(__xludf.DUMMYFUNCTION("""COMPUTED_VALUE"""),"NUBANK")</f>
        <v>NUBANK</v>
      </c>
      <c r="J1000" s="21" t="str">
        <f>IFERROR(__xludf.DUMMYFUNCTION("""COMPUTED_VALUE"""),"#Lazer #Comida #Variavel")</f>
        <v>#Lazer #Comida #Variavel</v>
      </c>
      <c r="K1000" s="216"/>
      <c r="L1000" s="216"/>
      <c r="M1000" s="216"/>
      <c r="N1000" s="216"/>
      <c r="O1000" s="216"/>
      <c r="P1000" s="216"/>
      <c r="Q1000" s="216"/>
    </row>
    <row r="1001">
      <c r="A1001" s="11" t="str">
        <f>IFERROR(__xludf.DUMMYFUNCTION("""COMPUTED_VALUE"""),"PAGO")</f>
        <v>PAGO</v>
      </c>
      <c r="B1001" s="98" t="str">
        <f>IFERROR(__xludf.DUMMYFUNCTION("""COMPUTED_VALUE"""),"Casamento Carolina ITAU")</f>
        <v>Casamento Carolina ITAU</v>
      </c>
      <c r="C1001" s="13">
        <f>IFERROR(__xludf.DUMMYFUNCTION("""COMPUTED_VALUE"""),12.0)</f>
        <v>12</v>
      </c>
      <c r="D1001" s="13" t="str">
        <f>IFERROR(__xludf.DUMMYFUNCTION("""COMPUTED_VALUE"""),"SEX.")</f>
        <v>SEX.</v>
      </c>
      <c r="E1001" s="13">
        <f>IFERROR(__xludf.DUMMYFUNCTION("""COMPUTED_VALUE"""),11.0)</f>
        <v>11</v>
      </c>
      <c r="F1001" s="15"/>
      <c r="G1001" s="16"/>
      <c r="H1001" s="227">
        <f>IFERROR(__xludf.DUMMYFUNCTION("""COMPUTED_VALUE"""),100.0)</f>
        <v>100</v>
      </c>
      <c r="I1001" s="21" t="str">
        <f>IFERROR(__xludf.DUMMYFUNCTION("""COMPUTED_VALUE"""),"NUBANK")</f>
        <v>NUBANK</v>
      </c>
      <c r="J1001" s="21" t="str">
        <f>IFERROR(__xludf.DUMMYFUNCTION("""COMPUTED_VALUE"""),"#Lazer #Doação #Variavel")</f>
        <v>#Lazer #Doação #Variavel</v>
      </c>
      <c r="K1001" s="216"/>
      <c r="L1001" s="216"/>
      <c r="M1001" s="216"/>
      <c r="N1001" s="216"/>
      <c r="O1001" s="216"/>
      <c r="P1001" s="216"/>
      <c r="Q1001" s="216"/>
    </row>
    <row r="1002">
      <c r="A1002" s="11" t="str">
        <f>IFERROR(__xludf.DUMMYFUNCTION("""COMPUTED_VALUE"""),"PAGO")</f>
        <v>PAGO</v>
      </c>
      <c r="B1002" s="98" t="str">
        <f>IFERROR(__xludf.DUMMYFUNCTION("""COMPUTED_VALUE"""),"iFood - Pizza Me")</f>
        <v>iFood - Pizza Me</v>
      </c>
      <c r="C1002" s="13">
        <f>IFERROR(__xludf.DUMMYFUNCTION("""COMPUTED_VALUE"""),12.0)</f>
        <v>12</v>
      </c>
      <c r="D1002" s="13" t="str">
        <f>IFERROR(__xludf.DUMMYFUNCTION("""COMPUTED_VALUE"""),"SEX.")</f>
        <v>SEX.</v>
      </c>
      <c r="E1002" s="13">
        <f>IFERROR(__xludf.DUMMYFUNCTION("""COMPUTED_VALUE"""),11.0)</f>
        <v>11</v>
      </c>
      <c r="F1002" s="15"/>
      <c r="G1002" s="16"/>
      <c r="H1002" s="227">
        <f>IFERROR(__xludf.DUMMYFUNCTION("""COMPUTED_VALUE"""),126.89)</f>
        <v>126.89</v>
      </c>
      <c r="I1002" s="21" t="str">
        <f>IFERROR(__xludf.DUMMYFUNCTION("""COMPUTED_VALUE"""),"NUBANK")</f>
        <v>NUBANK</v>
      </c>
      <c r="J1002" s="21" t="str">
        <f>IFERROR(__xludf.DUMMYFUNCTION("""COMPUTED_VALUE"""),"#Lazer #Comida #Variavel")</f>
        <v>#Lazer #Comida #Variavel</v>
      </c>
      <c r="K1002" s="216"/>
      <c r="L1002" s="216"/>
      <c r="M1002" s="216"/>
      <c r="N1002" s="216"/>
      <c r="O1002" s="216"/>
      <c r="P1002" s="216"/>
      <c r="Q1002" s="216"/>
    </row>
    <row r="1003">
      <c r="A1003" s="11" t="str">
        <f>IFERROR(__xludf.DUMMYFUNCTION("""COMPUTED_VALUE"""),"PAGO")</f>
        <v>PAGO</v>
      </c>
      <c r="B1003" s="98" t="str">
        <f>IFERROR(__xludf.DUMMYFUNCTION("""COMPUTED_VALUE"""),"Leroy Merlin SJC - vários itens")</f>
        <v>Leroy Merlin SJC - vários itens</v>
      </c>
      <c r="C1003" s="13">
        <f>IFERROR(__xludf.DUMMYFUNCTION("""COMPUTED_VALUE"""),13.0)</f>
        <v>13</v>
      </c>
      <c r="D1003" s="13" t="str">
        <f>IFERROR(__xludf.DUMMYFUNCTION("""COMPUTED_VALUE"""),"SÁB.")</f>
        <v>SÁB.</v>
      </c>
      <c r="E1003" s="13">
        <f>IFERROR(__xludf.DUMMYFUNCTION("""COMPUTED_VALUE"""),11.0)</f>
        <v>11</v>
      </c>
      <c r="F1003" s="15"/>
      <c r="G1003" s="16"/>
      <c r="H1003" s="227">
        <f>IFERROR(__xludf.DUMMYFUNCTION("""COMPUTED_VALUE"""),282.87)</f>
        <v>282.87</v>
      </c>
      <c r="I1003" s="21" t="str">
        <f>IFERROR(__xludf.DUMMYFUNCTION("""COMPUTED_VALUE"""),"NUBANK")</f>
        <v>NUBANK</v>
      </c>
      <c r="J1003" s="21" t="str">
        <f>IFERROR(__xludf.DUMMYFUNCTION("""COMPUTED_VALUE"""),"#Lazer #Moradia #Variavel #Essencial")</f>
        <v>#Lazer #Moradia #Variavel #Essencial</v>
      </c>
      <c r="K1003" s="216"/>
      <c r="L1003" s="216"/>
      <c r="M1003" s="216"/>
      <c r="N1003" s="216"/>
      <c r="O1003" s="216"/>
      <c r="P1003" s="216"/>
      <c r="Q1003" s="216"/>
    </row>
    <row r="1004">
      <c r="A1004" s="11" t="str">
        <f>IFERROR(__xludf.DUMMYFUNCTION("""COMPUTED_VALUE"""),"PAGO")</f>
        <v>PAGO</v>
      </c>
      <c r="B1004" s="98" t="str">
        <f>IFERROR(__xludf.DUMMYFUNCTION("""COMPUTED_VALUE"""),"Leroy Merlin SJC - tela mosquiteiro")</f>
        <v>Leroy Merlin SJC - tela mosquiteiro</v>
      </c>
      <c r="C1004" s="13">
        <f>IFERROR(__xludf.DUMMYFUNCTION("""COMPUTED_VALUE"""),13.0)</f>
        <v>13</v>
      </c>
      <c r="D1004" s="13" t="str">
        <f>IFERROR(__xludf.DUMMYFUNCTION("""COMPUTED_VALUE"""),"SÁB.")</f>
        <v>SÁB.</v>
      </c>
      <c r="E1004" s="13">
        <f>IFERROR(__xludf.DUMMYFUNCTION("""COMPUTED_VALUE"""),11.0)</f>
        <v>11</v>
      </c>
      <c r="F1004" s="15"/>
      <c r="G1004" s="16"/>
      <c r="H1004" s="227">
        <f>IFERROR(__xludf.DUMMYFUNCTION("""COMPUTED_VALUE"""),53.9)</f>
        <v>53.9</v>
      </c>
      <c r="I1004" s="21" t="str">
        <f>IFERROR(__xludf.DUMMYFUNCTION("""COMPUTED_VALUE"""),"NUBANK")</f>
        <v>NUBANK</v>
      </c>
      <c r="J1004" s="21" t="str">
        <f>IFERROR(__xludf.DUMMYFUNCTION("""COMPUTED_VALUE"""),"#Moradia #Variavel #Essencial")</f>
        <v>#Moradia #Variavel #Essencial</v>
      </c>
      <c r="K1004" s="216"/>
      <c r="L1004" s="216"/>
      <c r="M1004" s="216"/>
      <c r="N1004" s="216"/>
      <c r="O1004" s="216"/>
      <c r="P1004" s="216"/>
      <c r="Q1004" s="216"/>
    </row>
    <row r="1005">
      <c r="A1005" s="11" t="str">
        <f>IFERROR(__xludf.DUMMYFUNCTION("""COMPUTED_VALUE"""),"PAGO")</f>
        <v>PAGO</v>
      </c>
      <c r="B1005" s="98" t="str">
        <f>IFERROR(__xludf.DUMMYFUNCTION("""COMPUTED_VALUE"""),"Shibata - Pizza")</f>
        <v>Shibata - Pizza</v>
      </c>
      <c r="C1005" s="13">
        <f>IFERROR(__xludf.DUMMYFUNCTION("""COMPUTED_VALUE"""),14.0)</f>
        <v>14</v>
      </c>
      <c r="D1005" s="13" t="str">
        <f>IFERROR(__xludf.DUMMYFUNCTION("""COMPUTED_VALUE"""),"DOM.")</f>
        <v>DOM.</v>
      </c>
      <c r="E1005" s="13">
        <f>IFERROR(__xludf.DUMMYFUNCTION("""COMPUTED_VALUE"""),11.0)</f>
        <v>11</v>
      </c>
      <c r="F1005" s="15"/>
      <c r="G1005" s="16"/>
      <c r="H1005" s="227">
        <f>IFERROR(__xludf.DUMMYFUNCTION("""COMPUTED_VALUE"""),64.8)</f>
        <v>64.8</v>
      </c>
      <c r="I1005" s="21" t="str">
        <f>IFERROR(__xludf.DUMMYFUNCTION("""COMPUTED_VALUE"""),"SODEXO-REF-IBM")</f>
        <v>SODEXO-REF-IBM</v>
      </c>
      <c r="J1005" s="21" t="str">
        <f>IFERROR(__xludf.DUMMYFUNCTION("""COMPUTED_VALUE"""),"#Lazer #Comida #Variavel")</f>
        <v>#Lazer #Comida #Variavel</v>
      </c>
      <c r="K1005" s="216"/>
      <c r="L1005" s="216"/>
      <c r="M1005" s="216"/>
      <c r="N1005" s="216"/>
      <c r="O1005" s="216"/>
      <c r="P1005" s="216"/>
      <c r="Q1005" s="216"/>
    </row>
    <row r="1006">
      <c r="A1006" s="11" t="str">
        <f>IFERROR(__xludf.DUMMYFUNCTION("""COMPUTED_VALUE"""),"PAGO")</f>
        <v>PAGO</v>
      </c>
      <c r="B1006" s="98" t="str">
        <f>IFERROR(__xludf.DUMMYFUNCTION("""COMPUTED_VALUE"""),"Shibata")</f>
        <v>Shibata</v>
      </c>
      <c r="C1006" s="13">
        <f>IFERROR(__xludf.DUMMYFUNCTION("""COMPUTED_VALUE"""),14.0)</f>
        <v>14</v>
      </c>
      <c r="D1006" s="13" t="str">
        <f>IFERROR(__xludf.DUMMYFUNCTION("""COMPUTED_VALUE"""),"DOM.")</f>
        <v>DOM.</v>
      </c>
      <c r="E1006" s="13">
        <f>IFERROR(__xludf.DUMMYFUNCTION("""COMPUTED_VALUE"""),11.0)</f>
        <v>11</v>
      </c>
      <c r="F1006" s="15"/>
      <c r="G1006" s="16"/>
      <c r="H1006" s="227">
        <f>IFERROR(__xludf.DUMMYFUNCTION("""COMPUTED_VALUE"""),150.19)</f>
        <v>150.19</v>
      </c>
      <c r="I1006" s="21" t="str">
        <f>IFERROR(__xludf.DUMMYFUNCTION("""COMPUTED_VALUE"""),"SODEXO-ALI-IBM")</f>
        <v>SODEXO-ALI-IBM</v>
      </c>
      <c r="J1006" s="21" t="str">
        <f>IFERROR(__xludf.DUMMYFUNCTION("""COMPUTED_VALUE"""),"#Moradia #Essencial #Mercado #Variavel #Alimentação ")</f>
        <v>#Moradia #Essencial #Mercado #Variavel #Alimentação </v>
      </c>
      <c r="K1006" s="216"/>
      <c r="L1006" s="216"/>
      <c r="M1006" s="216"/>
      <c r="N1006" s="216"/>
      <c r="O1006" s="216"/>
      <c r="P1006" s="216"/>
      <c r="Q1006" s="216"/>
    </row>
    <row r="1007">
      <c r="A1007" s="11" t="str">
        <f>IFERROR(__xludf.DUMMYFUNCTION("""COMPUTED_VALUE"""),"PAGO")</f>
        <v>PAGO</v>
      </c>
      <c r="B1007" s="98" t="str">
        <f>IFERROR(__xludf.DUMMYFUNCTION("""COMPUTED_VALUE"""),"Convenio Carlos")</f>
        <v>Convenio Carlos</v>
      </c>
      <c r="C1007" s="13">
        <f>IFERROR(__xludf.DUMMYFUNCTION("""COMPUTED_VALUE"""),15.0)</f>
        <v>15</v>
      </c>
      <c r="D1007" s="13" t="str">
        <f>IFERROR(__xludf.DUMMYFUNCTION("""COMPUTED_VALUE"""),"SEG.")</f>
        <v>SEG.</v>
      </c>
      <c r="E1007" s="13">
        <f>IFERROR(__xludf.DUMMYFUNCTION("""COMPUTED_VALUE"""),11.0)</f>
        <v>11</v>
      </c>
      <c r="F1007" s="15">
        <f>IFERROR(__xludf.DUMMYFUNCTION("""COMPUTED_VALUE"""),44512.0)</f>
        <v>44512</v>
      </c>
      <c r="G1007" s="16"/>
      <c r="H1007" s="227">
        <f>IFERROR(__xludf.DUMMYFUNCTION("""COMPUTED_VALUE"""),192.43)</f>
        <v>192.43</v>
      </c>
      <c r="I1007" s="21" t="str">
        <f>IFERROR(__xludf.DUMMYFUNCTION("""COMPUTED_VALUE"""),"ITAU")</f>
        <v>ITAU</v>
      </c>
      <c r="J1007" s="21" t="str">
        <f>IFERROR(__xludf.DUMMYFUNCTION("""COMPUTED_VALUE"""),"#Essencial #Saude #Convenio #Familia #Fixo ")</f>
        <v>#Essencial #Saude #Convenio #Familia #Fixo </v>
      </c>
      <c r="K1007" s="216"/>
      <c r="L1007" s="216"/>
      <c r="M1007" s="216"/>
      <c r="N1007" s="216"/>
      <c r="O1007" s="216"/>
      <c r="P1007" s="216"/>
      <c r="Q1007" s="216"/>
    </row>
    <row r="1008">
      <c r="A1008" s="11" t="str">
        <f>IFERROR(__xludf.DUMMYFUNCTION("""COMPUTED_VALUE"""),"PAGO")</f>
        <v>PAGO</v>
      </c>
      <c r="B1008" s="98" t="str">
        <f>IFERROR(__xludf.DUMMYFUNCTION("""COMPUTED_VALUE"""),"Convenio Eduardo")</f>
        <v>Convenio Eduardo</v>
      </c>
      <c r="C1008" s="13">
        <f>IFERROR(__xludf.DUMMYFUNCTION("""COMPUTED_VALUE"""),15.0)</f>
        <v>15</v>
      </c>
      <c r="D1008" s="13" t="str">
        <f>IFERROR(__xludf.DUMMYFUNCTION("""COMPUTED_VALUE"""),"SEG.")</f>
        <v>SEG.</v>
      </c>
      <c r="E1008" s="13">
        <f>IFERROR(__xludf.DUMMYFUNCTION("""COMPUTED_VALUE"""),11.0)</f>
        <v>11</v>
      </c>
      <c r="F1008" s="15">
        <f>IFERROR(__xludf.DUMMYFUNCTION("""COMPUTED_VALUE"""),44512.0)</f>
        <v>44512</v>
      </c>
      <c r="G1008" s="16"/>
      <c r="H1008" s="227">
        <f>IFERROR(__xludf.DUMMYFUNCTION("""COMPUTED_VALUE"""),192.43)</f>
        <v>192.43</v>
      </c>
      <c r="I1008" s="21" t="str">
        <f>IFERROR(__xludf.DUMMYFUNCTION("""COMPUTED_VALUE"""),"ITAU")</f>
        <v>ITAU</v>
      </c>
      <c r="J1008" s="21" t="str">
        <f>IFERROR(__xludf.DUMMYFUNCTION("""COMPUTED_VALUE"""),"#Essencial #Saude #Convenio #Familia #Fixo ")</f>
        <v>#Essencial #Saude #Convenio #Familia #Fixo </v>
      </c>
      <c r="K1008" s="216"/>
      <c r="L1008" s="216"/>
      <c r="M1008" s="216"/>
      <c r="N1008" s="216"/>
      <c r="O1008" s="216"/>
      <c r="P1008" s="216"/>
      <c r="Q1008" s="216"/>
    </row>
    <row r="1009">
      <c r="A1009" s="11" t="str">
        <f>IFERROR(__xludf.DUMMYFUNCTION("""COMPUTED_VALUE"""),"PAGO")</f>
        <v>PAGO</v>
      </c>
      <c r="B1009" s="98" t="str">
        <f>IFERROR(__xludf.DUMMYFUNCTION("""COMPUTED_VALUE"""),"Convenio Roberta")</f>
        <v>Convenio Roberta</v>
      </c>
      <c r="C1009" s="13">
        <f>IFERROR(__xludf.DUMMYFUNCTION("""COMPUTED_VALUE"""),15.0)</f>
        <v>15</v>
      </c>
      <c r="D1009" s="13" t="str">
        <f>IFERROR(__xludf.DUMMYFUNCTION("""COMPUTED_VALUE"""),"SEG.")</f>
        <v>SEG.</v>
      </c>
      <c r="E1009" s="13">
        <f>IFERROR(__xludf.DUMMYFUNCTION("""COMPUTED_VALUE"""),11.0)</f>
        <v>11</v>
      </c>
      <c r="F1009" s="15">
        <f>IFERROR(__xludf.DUMMYFUNCTION("""COMPUTED_VALUE"""),44512.0)</f>
        <v>44512</v>
      </c>
      <c r="G1009" s="16"/>
      <c r="H1009" s="227">
        <f>IFERROR(__xludf.DUMMYFUNCTION("""COMPUTED_VALUE"""),243.3)</f>
        <v>243.3</v>
      </c>
      <c r="I1009" s="21" t="str">
        <f>IFERROR(__xludf.DUMMYFUNCTION("""COMPUTED_VALUE"""),"ITAU")</f>
        <v>ITAU</v>
      </c>
      <c r="J1009" s="21" t="str">
        <f>IFERROR(__xludf.DUMMYFUNCTION("""COMPUTED_VALUE"""),"#Essencial #Saude #Convenio #Familia #Fixo ")</f>
        <v>#Essencial #Saude #Convenio #Familia #Fixo </v>
      </c>
      <c r="K1009" s="216"/>
      <c r="L1009" s="216"/>
      <c r="M1009" s="216"/>
      <c r="N1009" s="216"/>
      <c r="O1009" s="216"/>
      <c r="P1009" s="216"/>
      <c r="Q1009" s="216"/>
    </row>
    <row r="1010">
      <c r="A1010" s="11" t="str">
        <f>IFERROR(__xludf.DUMMYFUNCTION("""COMPUTED_VALUE"""),"PAGO")</f>
        <v>PAGO</v>
      </c>
      <c r="B1010" s="98" t="str">
        <f>IFERROR(__xludf.DUMMYFUNCTION("""COMPUTED_VALUE"""),"Levitar SJC - sorvetes")</f>
        <v>Levitar SJC - sorvetes</v>
      </c>
      <c r="C1010" s="13">
        <f>IFERROR(__xludf.DUMMYFUNCTION("""COMPUTED_VALUE"""),17.0)</f>
        <v>17</v>
      </c>
      <c r="D1010" s="13" t="str">
        <f>IFERROR(__xludf.DUMMYFUNCTION("""COMPUTED_VALUE"""),"QUA.")</f>
        <v>QUA.</v>
      </c>
      <c r="E1010" s="13">
        <f>IFERROR(__xludf.DUMMYFUNCTION("""COMPUTED_VALUE"""),11.0)</f>
        <v>11</v>
      </c>
      <c r="F1010" s="15"/>
      <c r="G1010" s="16"/>
      <c r="H1010" s="227">
        <f>IFERROR(__xludf.DUMMYFUNCTION("""COMPUTED_VALUE"""),43.0)</f>
        <v>43</v>
      </c>
      <c r="I1010" s="21" t="str">
        <f>IFERROR(__xludf.DUMMYFUNCTION("""COMPUTED_VALUE"""),"NUBANK")</f>
        <v>NUBANK</v>
      </c>
      <c r="J1010" s="21" t="str">
        <f>IFERROR(__xludf.DUMMYFUNCTION("""COMPUTED_VALUE"""),"#Lazer #Comida #Variavel")</f>
        <v>#Lazer #Comida #Variavel</v>
      </c>
      <c r="K1010" s="216"/>
      <c r="L1010" s="216"/>
      <c r="M1010" s="216"/>
      <c r="N1010" s="216"/>
      <c r="O1010" s="216"/>
      <c r="P1010" s="216"/>
      <c r="Q1010" s="216"/>
    </row>
    <row r="1011">
      <c r="A1011" s="11" t="str">
        <f>IFERROR(__xludf.DUMMYFUNCTION("""COMPUTED_VALUE"""),"PAGO")</f>
        <v>PAGO</v>
      </c>
      <c r="B1011" s="98" t="str">
        <f>IFERROR(__xludf.DUMMYFUNCTION("""COMPUTED_VALUE"""),"Shibata - clique e retire")</f>
        <v>Shibata - clique e retire</v>
      </c>
      <c r="C1011" s="13">
        <f>IFERROR(__xludf.DUMMYFUNCTION("""COMPUTED_VALUE"""),17.0)</f>
        <v>17</v>
      </c>
      <c r="D1011" s="13" t="str">
        <f>IFERROR(__xludf.DUMMYFUNCTION("""COMPUTED_VALUE"""),"QUA.")</f>
        <v>QUA.</v>
      </c>
      <c r="E1011" s="13">
        <f>IFERROR(__xludf.DUMMYFUNCTION("""COMPUTED_VALUE"""),11.0)</f>
        <v>11</v>
      </c>
      <c r="F1011" s="15"/>
      <c r="G1011" s="16"/>
      <c r="H1011" s="227">
        <f>IFERROR(__xludf.DUMMYFUNCTION("""COMPUTED_VALUE"""),156.6)</f>
        <v>156.6</v>
      </c>
      <c r="I1011" s="21" t="str">
        <f>IFERROR(__xludf.DUMMYFUNCTION("""COMPUTED_VALUE"""),"SODEXO-ALI-IBM")</f>
        <v>SODEXO-ALI-IBM</v>
      </c>
      <c r="J1011" s="21" t="str">
        <f>IFERROR(__xludf.DUMMYFUNCTION("""COMPUTED_VALUE"""),"#Moradia #Essencial #Mercado #Variavel #Alimentação ")</f>
        <v>#Moradia #Essencial #Mercado #Variavel #Alimentação </v>
      </c>
      <c r="K1011" s="216"/>
      <c r="L1011" s="216"/>
      <c r="M1011" s="216"/>
      <c r="N1011" s="216"/>
      <c r="O1011" s="216"/>
      <c r="P1011" s="216"/>
      <c r="Q1011" s="216"/>
    </row>
    <row r="1012">
      <c r="A1012" s="11" t="str">
        <f>IFERROR(__xludf.DUMMYFUNCTION("""COMPUTED_VALUE"""),"PAGO")</f>
        <v>PAGO</v>
      </c>
      <c r="B1012" s="98" t="str">
        <f>IFERROR(__xludf.DUMMYFUNCTION("""COMPUTED_VALUE"""),"Entrada prestação casa de Itaquera")</f>
        <v>Entrada prestação casa de Itaquera</v>
      </c>
      <c r="C1012" s="13">
        <f>IFERROR(__xludf.DUMMYFUNCTION("""COMPUTED_VALUE"""),18.0)</f>
        <v>18</v>
      </c>
      <c r="D1012" s="13" t="str">
        <f>IFERROR(__xludf.DUMMYFUNCTION("""COMPUTED_VALUE"""),"QUI.")</f>
        <v>QUI.</v>
      </c>
      <c r="E1012" s="13">
        <f>IFERROR(__xludf.DUMMYFUNCTION("""COMPUTED_VALUE"""),11.0)</f>
        <v>11</v>
      </c>
      <c r="F1012" s="15"/>
      <c r="G1012" s="16">
        <f>IFERROR(__xludf.DUMMYFUNCTION("""COMPUTED_VALUE"""),2500.0)</f>
        <v>2500</v>
      </c>
      <c r="H1012" s="227"/>
      <c r="I1012" s="21" t="str">
        <f>IFERROR(__xludf.DUMMYFUNCTION("""COMPUTED_VALUE"""),"INTER")</f>
        <v>INTER</v>
      </c>
      <c r="J1012" s="21" t="str">
        <f>IFERROR(__xludf.DUMMYFUNCTION("""COMPUTED_VALUE"""),"#Recebimentos #Prestação #Itaquera #Inter #Variavel")</f>
        <v>#Recebimentos #Prestação #Itaquera #Inter #Variavel</v>
      </c>
      <c r="K1012" s="216"/>
      <c r="L1012" s="216"/>
      <c r="M1012" s="216"/>
      <c r="N1012" s="216"/>
      <c r="O1012" s="216"/>
      <c r="P1012" s="216"/>
      <c r="Q1012" s="216"/>
    </row>
    <row r="1013">
      <c r="A1013" s="11" t="str">
        <f>IFERROR(__xludf.DUMMYFUNCTION("""COMPUTED_VALUE"""),"CONTAS")</f>
        <v>CONTAS</v>
      </c>
      <c r="B1013" s="98" t="str">
        <f>IFERROR(__xludf.DUMMYFUNCTION("""COMPUTED_VALUE"""),"Transferencia via PIX")</f>
        <v>Transferencia via PIX</v>
      </c>
      <c r="C1013" s="13">
        <f>IFERROR(__xludf.DUMMYFUNCTION("""COMPUTED_VALUE"""),18.0)</f>
        <v>18</v>
      </c>
      <c r="D1013" s="13" t="str">
        <f>IFERROR(__xludf.DUMMYFUNCTION("""COMPUTED_VALUE"""),"QUI.")</f>
        <v>QUI.</v>
      </c>
      <c r="E1013" s="13">
        <f>IFERROR(__xludf.DUMMYFUNCTION("""COMPUTED_VALUE"""),11.0)</f>
        <v>11</v>
      </c>
      <c r="F1013" s="15"/>
      <c r="G1013" s="16"/>
      <c r="H1013" s="227">
        <f>IFERROR(__xludf.DUMMYFUNCTION("""COMPUTED_VALUE"""),2500.0)</f>
        <v>2500</v>
      </c>
      <c r="I1013" s="21" t="str">
        <f>IFERROR(__xludf.DUMMYFUNCTION("""COMPUTED_VALUE"""),"INTER")</f>
        <v>INTER</v>
      </c>
      <c r="J1013" s="21"/>
      <c r="K1013" s="216"/>
      <c r="L1013" s="216"/>
      <c r="M1013" s="216"/>
      <c r="N1013" s="216"/>
      <c r="O1013" s="216"/>
      <c r="P1013" s="216"/>
      <c r="Q1013" s="216"/>
    </row>
    <row r="1014">
      <c r="A1014" s="11" t="str">
        <f>IFERROR(__xludf.DUMMYFUNCTION("""COMPUTED_VALUE"""),"CONTAS")</f>
        <v>CONTAS</v>
      </c>
      <c r="B1014" s="98" t="str">
        <f>IFERROR(__xludf.DUMMYFUNCTION("""COMPUTED_VALUE"""),"Recebimento via PIX")</f>
        <v>Recebimento via PIX</v>
      </c>
      <c r="C1014" s="13">
        <f>IFERROR(__xludf.DUMMYFUNCTION("""COMPUTED_VALUE"""),18.0)</f>
        <v>18</v>
      </c>
      <c r="D1014" s="13" t="str">
        <f>IFERROR(__xludf.DUMMYFUNCTION("""COMPUTED_VALUE"""),"QUI.")</f>
        <v>QUI.</v>
      </c>
      <c r="E1014" s="13">
        <f>IFERROR(__xludf.DUMMYFUNCTION("""COMPUTED_VALUE"""),11.0)</f>
        <v>11</v>
      </c>
      <c r="F1014" s="15"/>
      <c r="G1014" s="16">
        <f>IFERROR(__xludf.DUMMYFUNCTION("""COMPUTED_VALUE"""),2500.0)</f>
        <v>2500</v>
      </c>
      <c r="H1014" s="227"/>
      <c r="I1014" s="21" t="str">
        <f>IFERROR(__xludf.DUMMYFUNCTION("""COMPUTED_VALUE"""),"NUBANK")</f>
        <v>NUBANK</v>
      </c>
      <c r="J1014" s="21"/>
      <c r="K1014" s="216"/>
      <c r="L1014" s="216"/>
      <c r="M1014" s="216"/>
      <c r="N1014" s="216"/>
      <c r="O1014" s="216"/>
      <c r="P1014" s="216"/>
      <c r="Q1014" s="216"/>
    </row>
    <row r="1015">
      <c r="A1015" s="11" t="str">
        <f>IFERROR(__xludf.DUMMYFUNCTION("""COMPUTED_VALUE"""),"PAGO")</f>
        <v>PAGO</v>
      </c>
      <c r="B1015" s="98" t="str">
        <f>IFERROR(__xludf.DUMMYFUNCTION("""COMPUTED_VALUE"""),"Transferi para investimento - Clear")</f>
        <v>Transferi para investimento - Clear</v>
      </c>
      <c r="C1015" s="13">
        <f>IFERROR(__xludf.DUMMYFUNCTION("""COMPUTED_VALUE"""),18.0)</f>
        <v>18</v>
      </c>
      <c r="D1015" s="13" t="str">
        <f>IFERROR(__xludf.DUMMYFUNCTION("""COMPUTED_VALUE"""),"QUI.")</f>
        <v>QUI.</v>
      </c>
      <c r="E1015" s="13">
        <f>IFERROR(__xludf.DUMMYFUNCTION("""COMPUTED_VALUE"""),11.0)</f>
        <v>11</v>
      </c>
      <c r="F1015" s="15"/>
      <c r="G1015" s="16"/>
      <c r="H1015" s="227">
        <f>IFERROR(__xludf.DUMMYFUNCTION("""COMPUTED_VALUE"""),2500.0)</f>
        <v>2500</v>
      </c>
      <c r="I1015" s="21" t="str">
        <f>IFERROR(__xludf.DUMMYFUNCTION("""COMPUTED_VALUE"""),"NUBANK")</f>
        <v>NUBANK</v>
      </c>
      <c r="J1015" s="21" t="str">
        <f>IFERROR(__xludf.DUMMYFUNCTION("""COMPUTED_VALUE"""),"#Transferencia #Investimento #Extra #Clear")</f>
        <v>#Transferencia #Investimento #Extra #Clear</v>
      </c>
      <c r="K1015" s="216"/>
      <c r="L1015" s="216"/>
      <c r="M1015" s="216"/>
      <c r="N1015" s="216"/>
      <c r="O1015" s="216"/>
      <c r="P1015" s="216"/>
      <c r="Q1015" s="216"/>
    </row>
    <row r="1016">
      <c r="A1016" s="11" t="str">
        <f>IFERROR(__xludf.DUMMYFUNCTION("""COMPUTED_VALUE"""),"PAGO")</f>
        <v>PAGO</v>
      </c>
      <c r="B1016" s="98" t="str">
        <f>IFERROR(__xludf.DUMMYFUNCTION("""COMPUTED_VALUE"""),"Transferencia via PIX - Ajuda Almir")</f>
        <v>Transferencia via PIX - Ajuda Almir</v>
      </c>
      <c r="C1016" s="13">
        <f>IFERROR(__xludf.DUMMYFUNCTION("""COMPUTED_VALUE"""),19.0)</f>
        <v>19</v>
      </c>
      <c r="D1016" s="13" t="str">
        <f>IFERROR(__xludf.DUMMYFUNCTION("""COMPUTED_VALUE"""),"SEX.")</f>
        <v>SEX.</v>
      </c>
      <c r="E1016" s="13">
        <f>IFERROR(__xludf.DUMMYFUNCTION("""COMPUTED_VALUE"""),11.0)</f>
        <v>11</v>
      </c>
      <c r="F1016" s="15"/>
      <c r="G1016" s="16"/>
      <c r="H1016" s="227">
        <f>IFERROR(__xludf.DUMMYFUNCTION("""COMPUTED_VALUE"""),800.0)</f>
        <v>800</v>
      </c>
      <c r="I1016" s="21" t="str">
        <f>IFERROR(__xludf.DUMMYFUNCTION("""COMPUTED_VALUE"""),"NUBANK")</f>
        <v>NUBANK</v>
      </c>
      <c r="J1016" s="21" t="str">
        <f>IFERROR(__xludf.DUMMYFUNCTION("""COMPUTED_VALUE"""),"#Nubank #Variavel #AjudaAlmir")</f>
        <v>#Nubank #Variavel #AjudaAlmir</v>
      </c>
      <c r="K1016" s="216"/>
      <c r="L1016" s="216"/>
      <c r="M1016" s="216"/>
      <c r="N1016" s="216"/>
      <c r="O1016" s="216"/>
      <c r="P1016" s="216"/>
      <c r="Q1016" s="216"/>
    </row>
    <row r="1017">
      <c r="A1017" s="11" t="str">
        <f>IFERROR(__xludf.DUMMYFUNCTION("""COMPUTED_VALUE"""),"PAGO")</f>
        <v>PAGO</v>
      </c>
      <c r="B1017" s="98" t="str">
        <f>IFERROR(__xludf.DUMMYFUNCTION("""COMPUTED_VALUE"""),"Convenio Cicero")</f>
        <v>Convenio Cicero</v>
      </c>
      <c r="C1017" s="13">
        <f>IFERROR(__xludf.DUMMYFUNCTION("""COMPUTED_VALUE"""),20.0)</f>
        <v>20</v>
      </c>
      <c r="D1017" s="13" t="str">
        <f>IFERROR(__xludf.DUMMYFUNCTION("""COMPUTED_VALUE"""),"SÁB.")</f>
        <v>SÁB.</v>
      </c>
      <c r="E1017" s="13">
        <f>IFERROR(__xludf.DUMMYFUNCTION("""COMPUTED_VALUE"""),11.0)</f>
        <v>11</v>
      </c>
      <c r="F1017" s="15">
        <f>IFERROR(__xludf.DUMMYFUNCTION("""COMPUTED_VALUE"""),44512.0)</f>
        <v>44512</v>
      </c>
      <c r="G1017" s="16"/>
      <c r="H1017" s="227">
        <f>IFERROR(__xludf.DUMMYFUNCTION("""COMPUTED_VALUE"""),373.41)</f>
        <v>373.41</v>
      </c>
      <c r="I1017" s="21" t="str">
        <f>IFERROR(__xludf.DUMMYFUNCTION("""COMPUTED_VALUE"""),"ITAU")</f>
        <v>ITAU</v>
      </c>
      <c r="J1017" s="21" t="str">
        <f>IFERROR(__xludf.DUMMYFUNCTION("""COMPUTED_VALUE"""),"#Essencial #Saude #Convenio #Familia #Cicero #Fixo ")</f>
        <v>#Essencial #Saude #Convenio #Familia #Cicero #Fixo </v>
      </c>
      <c r="K1017" s="216"/>
      <c r="L1017" s="216"/>
      <c r="M1017" s="216"/>
      <c r="N1017" s="216"/>
      <c r="O1017" s="216"/>
      <c r="P1017" s="216"/>
      <c r="Q1017" s="216"/>
    </row>
    <row r="1018">
      <c r="A1018" s="11" t="str">
        <f>IFERROR(__xludf.DUMMYFUNCTION("""COMPUTED_VALUE"""),"PAGO")</f>
        <v>PAGO</v>
      </c>
      <c r="B1018" s="98" t="str">
        <f>IFERROR(__xludf.DUMMYFUNCTION("""COMPUTED_VALUE"""),"Supermercados Máximo")</f>
        <v>Supermercados Máximo</v>
      </c>
      <c r="C1018" s="13">
        <f>IFERROR(__xludf.DUMMYFUNCTION("""COMPUTED_VALUE"""),21.0)</f>
        <v>21</v>
      </c>
      <c r="D1018" s="13" t="str">
        <f>IFERROR(__xludf.DUMMYFUNCTION("""COMPUTED_VALUE"""),"DOM.")</f>
        <v>DOM.</v>
      </c>
      <c r="E1018" s="13">
        <f>IFERROR(__xludf.DUMMYFUNCTION("""COMPUTED_VALUE"""),11.0)</f>
        <v>11</v>
      </c>
      <c r="F1018" s="15"/>
      <c r="G1018" s="16"/>
      <c r="H1018" s="227">
        <f>IFERROR(__xludf.DUMMYFUNCTION("""COMPUTED_VALUE"""),168.26)</f>
        <v>168.26</v>
      </c>
      <c r="I1018" s="21" t="str">
        <f>IFERROR(__xludf.DUMMYFUNCTION("""COMPUTED_VALUE"""),"NUBANK")</f>
        <v>NUBANK</v>
      </c>
      <c r="J1018" s="21" t="str">
        <f>IFERROR(__xludf.DUMMYFUNCTION("""COMPUTED_VALUE"""),"#Moradia #Essencial #Mercado #Variavel #Alimentação ")</f>
        <v>#Moradia #Essencial #Mercado #Variavel #Alimentação </v>
      </c>
      <c r="K1018" s="216"/>
      <c r="L1018" s="216"/>
      <c r="M1018" s="216"/>
      <c r="N1018" s="216"/>
      <c r="O1018" s="216"/>
      <c r="P1018" s="216"/>
      <c r="Q1018" s="216"/>
    </row>
    <row r="1019">
      <c r="A1019" s="11" t="str">
        <f>IFERROR(__xludf.DUMMYFUNCTION("""COMPUTED_VALUE"""),"PAGO")</f>
        <v>PAGO</v>
      </c>
      <c r="B1019" s="98" t="str">
        <f>IFERROR(__xludf.DUMMYFUNCTION("""COMPUTED_VALUE"""),"Drogaria São Paulo - Cidade Jardim")</f>
        <v>Drogaria São Paulo - Cidade Jardim</v>
      </c>
      <c r="C1019" s="13">
        <f>IFERROR(__xludf.DUMMYFUNCTION("""COMPUTED_VALUE"""),21.0)</f>
        <v>21</v>
      </c>
      <c r="D1019" s="13" t="str">
        <f>IFERROR(__xludf.DUMMYFUNCTION("""COMPUTED_VALUE"""),"DOM.")</f>
        <v>DOM.</v>
      </c>
      <c r="E1019" s="13">
        <f>IFERROR(__xludf.DUMMYFUNCTION("""COMPUTED_VALUE"""),11.0)</f>
        <v>11</v>
      </c>
      <c r="F1019" s="15"/>
      <c r="G1019" s="16"/>
      <c r="H1019" s="227">
        <f>IFERROR(__xludf.DUMMYFUNCTION("""COMPUTED_VALUE"""),64.94)</f>
        <v>64.94</v>
      </c>
      <c r="I1019" s="21" t="str">
        <f>IFERROR(__xludf.DUMMYFUNCTION("""COMPUTED_VALUE"""),"NUBANK")</f>
        <v>NUBANK</v>
      </c>
      <c r="J1019" s="21" t="str">
        <f>IFERROR(__xludf.DUMMYFUNCTION("""COMPUTED_VALUE"""),"#Remedios #Carlos #Eduardo #Variavel ")</f>
        <v>#Remedios #Carlos #Eduardo #Variavel </v>
      </c>
      <c r="K1019" s="216"/>
      <c r="L1019" s="216"/>
      <c r="M1019" s="216"/>
      <c r="N1019" s="216"/>
      <c r="O1019" s="216"/>
      <c r="P1019" s="216"/>
      <c r="Q1019" s="216"/>
    </row>
    <row r="1020">
      <c r="A1020" s="11" t="str">
        <f>IFERROR(__xludf.DUMMYFUNCTION("""COMPUTED_VALUE"""),"PAGO")</f>
        <v>PAGO</v>
      </c>
      <c r="B1020" s="98" t="str">
        <f>IFERROR(__xludf.DUMMYFUNCTION("""COMPUTED_VALUE"""),"Transferi para PicPay (google play gift card para o Eduardo)")</f>
        <v>Transferi para PicPay (google play gift card para o Eduardo)</v>
      </c>
      <c r="C1020" s="13">
        <f>IFERROR(__xludf.DUMMYFUNCTION("""COMPUTED_VALUE"""),5.0)</f>
        <v>5</v>
      </c>
      <c r="D1020" s="13" t="str">
        <f>IFERROR(__xludf.DUMMYFUNCTION("""COMPUTED_VALUE"""),"SEX.")</f>
        <v>SEX.</v>
      </c>
      <c r="E1020" s="13">
        <f>IFERROR(__xludf.DUMMYFUNCTION("""COMPUTED_VALUE"""),11.0)</f>
        <v>11</v>
      </c>
      <c r="F1020" s="15"/>
      <c r="G1020" s="16"/>
      <c r="H1020" s="227">
        <f>IFERROR(__xludf.DUMMYFUNCTION("""COMPUTED_VALUE"""),25.0)</f>
        <v>25</v>
      </c>
      <c r="I1020" s="21" t="str">
        <f>IFERROR(__xludf.DUMMYFUNCTION("""COMPUTED_VALUE"""),"NUBANK")</f>
        <v>NUBANK</v>
      </c>
      <c r="J1020" s="21" t="str">
        <f>IFERROR(__xludf.DUMMYFUNCTION("""COMPUTED_VALUE"""),"#Transferencia #PIX #Nubank #PicPay #Variavel")</f>
        <v>#Transferencia #PIX #Nubank #PicPay #Variavel</v>
      </c>
      <c r="K1020" s="216"/>
      <c r="L1020" s="216"/>
      <c r="M1020" s="216"/>
      <c r="N1020" s="216"/>
      <c r="O1020" s="216"/>
      <c r="P1020" s="216"/>
      <c r="Q1020" s="216"/>
    </row>
    <row r="1021">
      <c r="A1021" s="11" t="str">
        <f>IFERROR(__xludf.DUMMYFUNCTION("""COMPUTED_VALUE"""),"PAGO")</f>
        <v>PAGO</v>
      </c>
      <c r="B1021" s="98" t="str">
        <f>IFERROR(__xludf.DUMMYFUNCTION("""COMPUTED_VALUE"""),"Coaching / Psicologa - Candice Oliveira")</f>
        <v>Coaching / Psicologa - Candice Oliveira</v>
      </c>
      <c r="C1021" s="13">
        <f>IFERROR(__xludf.DUMMYFUNCTION("""COMPUTED_VALUE"""),22.0)</f>
        <v>22</v>
      </c>
      <c r="D1021" s="13" t="str">
        <f>IFERROR(__xludf.DUMMYFUNCTION("""COMPUTED_VALUE"""),"SEG.")</f>
        <v>SEG.</v>
      </c>
      <c r="E1021" s="13">
        <f>IFERROR(__xludf.DUMMYFUNCTION("""COMPUTED_VALUE"""),11.0)</f>
        <v>11</v>
      </c>
      <c r="F1021" s="15"/>
      <c r="G1021" s="16"/>
      <c r="H1021" s="227">
        <f>IFERROR(__xludf.DUMMYFUNCTION("""COMPUTED_VALUE"""),100.0)</f>
        <v>100</v>
      </c>
      <c r="I1021" s="21" t="str">
        <f>IFERROR(__xludf.DUMMYFUNCTION("""COMPUTED_VALUE"""),"NUBANK")</f>
        <v>NUBANK</v>
      </c>
      <c r="J1021" s="21" t="str">
        <f>IFERROR(__xludf.DUMMYFUNCTION("""COMPUTED_VALUE"""),"#Coaching #Fixo")</f>
        <v>#Coaching #Fixo</v>
      </c>
      <c r="K1021" s="216"/>
      <c r="L1021" s="216"/>
      <c r="M1021" s="216"/>
      <c r="N1021" s="216"/>
      <c r="O1021" s="216"/>
      <c r="P1021" s="216"/>
      <c r="Q1021" s="216"/>
    </row>
    <row r="1022">
      <c r="A1022" s="11" t="str">
        <f>IFERROR(__xludf.DUMMYFUNCTION("""COMPUTED_VALUE"""),"PAGO")</f>
        <v>PAGO</v>
      </c>
      <c r="B1022" s="98" t="str">
        <f>IFERROR(__xludf.DUMMYFUNCTION("""COMPUTED_VALUE"""),"Agua - ITAQUERA - SERÁ PAGO PELA JOICE (CASA ALUGADA)")</f>
        <v>Agua - ITAQUERA - SERÁ PAGO PELA JOICE (CASA ALUGADA)</v>
      </c>
      <c r="C1022" s="13">
        <f>IFERROR(__xludf.DUMMYFUNCTION("""COMPUTED_VALUE"""),22.0)</f>
        <v>22</v>
      </c>
      <c r="D1022" s="13" t="str">
        <f>IFERROR(__xludf.DUMMYFUNCTION("""COMPUTED_VALUE"""),"SEG.")</f>
        <v>SEG.</v>
      </c>
      <c r="E1022" s="13">
        <f>IFERROR(__xludf.DUMMYFUNCTION("""COMPUTED_VALUE"""),11.0)</f>
        <v>11</v>
      </c>
      <c r="F1022" s="15"/>
      <c r="G1022" s="16"/>
      <c r="H1022" s="227">
        <f>IFERROR(__xludf.DUMMYFUNCTION("""COMPUTED_VALUE"""),0.0)</f>
        <v>0</v>
      </c>
      <c r="I1022" s="21" t="str">
        <f>IFERROR(__xludf.DUMMYFUNCTION("""COMPUTED_VALUE"""),"NUBANK")</f>
        <v>NUBANK</v>
      </c>
      <c r="J1022" s="21" t="str">
        <f>IFERROR(__xludf.DUMMYFUNCTION("""COMPUTED_VALUE"""),"#Itaquera #Essencial #AjudaAlmir #Fixo")</f>
        <v>#Itaquera #Essencial #AjudaAlmir #Fixo</v>
      </c>
      <c r="K1022" s="216"/>
      <c r="L1022" s="216"/>
      <c r="M1022" s="216"/>
      <c r="N1022" s="216"/>
      <c r="O1022" s="216"/>
      <c r="P1022" s="216"/>
      <c r="Q1022" s="216"/>
    </row>
    <row r="1023">
      <c r="A1023" s="11" t="str">
        <f>IFERROR(__xludf.DUMMYFUNCTION("""COMPUTED_VALUE"""),"PAGO")</f>
        <v>PAGO</v>
      </c>
      <c r="B1023" s="98" t="str">
        <f>IFERROR(__xludf.DUMMYFUNCTION("""COMPUTED_VALUE"""),"Luz - DEBITO AUTO")</f>
        <v>Luz - DEBITO AUTO</v>
      </c>
      <c r="C1023" s="13">
        <f>IFERROR(__xludf.DUMMYFUNCTION("""COMPUTED_VALUE"""),23.0)</f>
        <v>23</v>
      </c>
      <c r="D1023" s="13" t="str">
        <f>IFERROR(__xludf.DUMMYFUNCTION("""COMPUTED_VALUE"""),"TER.")</f>
        <v>TER.</v>
      </c>
      <c r="E1023" s="13">
        <f>IFERROR(__xludf.DUMMYFUNCTION("""COMPUTED_VALUE"""),11.0)</f>
        <v>11</v>
      </c>
      <c r="F1023" s="15"/>
      <c r="G1023" s="16"/>
      <c r="H1023" s="227">
        <f>IFERROR(__xludf.DUMMYFUNCTION("""COMPUTED_VALUE"""),360.32)</f>
        <v>360.32</v>
      </c>
      <c r="I1023" s="21" t="str">
        <f>IFERROR(__xludf.DUMMYFUNCTION("""COMPUTED_VALUE"""),"ITAU")</f>
        <v>ITAU</v>
      </c>
      <c r="J1023" s="21" t="str">
        <f>IFERROR(__xludf.DUMMYFUNCTION("""COMPUTED_VALUE"""),"#Moradia #Essencial #Luz #Fixo")</f>
        <v>#Moradia #Essencial #Luz #Fixo</v>
      </c>
      <c r="K1023" s="216"/>
      <c r="L1023" s="216"/>
      <c r="M1023" s="216"/>
      <c r="N1023" s="216"/>
      <c r="O1023" s="216"/>
      <c r="P1023" s="216"/>
      <c r="Q1023" s="216"/>
    </row>
    <row r="1024">
      <c r="A1024" s="11" t="str">
        <f>IFERROR(__xludf.DUMMYFUNCTION("""COMPUTED_VALUE"""),"PAGO")</f>
        <v>PAGO</v>
      </c>
      <c r="B1024" s="98" t="str">
        <f>IFERROR(__xludf.DUMMYFUNCTION("""COMPUTED_VALUE"""),"Shibata - clique e retire")</f>
        <v>Shibata - clique e retire</v>
      </c>
      <c r="C1024" s="13">
        <f>IFERROR(__xludf.DUMMYFUNCTION("""COMPUTED_VALUE"""),24.0)</f>
        <v>24</v>
      </c>
      <c r="D1024" s="13" t="str">
        <f>IFERROR(__xludf.DUMMYFUNCTION("""COMPUTED_VALUE"""),"QUA.")</f>
        <v>QUA.</v>
      </c>
      <c r="E1024" s="13">
        <f>IFERROR(__xludf.DUMMYFUNCTION("""COMPUTED_VALUE"""),11.0)</f>
        <v>11</v>
      </c>
      <c r="F1024" s="15"/>
      <c r="G1024" s="16"/>
      <c r="H1024" s="227">
        <f>IFERROR(__xludf.DUMMYFUNCTION("""COMPUTED_VALUE"""),54.92)</f>
        <v>54.92</v>
      </c>
      <c r="I1024" s="21" t="str">
        <f>IFERROR(__xludf.DUMMYFUNCTION("""COMPUTED_VALUE"""),"SODEXO-REF-IBM")</f>
        <v>SODEXO-REF-IBM</v>
      </c>
      <c r="J1024" s="21" t="str">
        <f>IFERROR(__xludf.DUMMYFUNCTION("""COMPUTED_VALUE"""),"#Moradia #Essencial #Mercado #Variavel #Alimentação ")</f>
        <v>#Moradia #Essencial #Mercado #Variavel #Alimentação </v>
      </c>
      <c r="K1024" s="216"/>
      <c r="L1024" s="216"/>
      <c r="M1024" s="216"/>
      <c r="N1024" s="216"/>
      <c r="O1024" s="216"/>
      <c r="P1024" s="216"/>
      <c r="Q1024" s="216"/>
    </row>
    <row r="1025">
      <c r="A1025" s="11" t="str">
        <f>IFERROR(__xludf.DUMMYFUNCTION("""COMPUTED_VALUE"""),"PAGO")</f>
        <v>PAGO</v>
      </c>
      <c r="B1025" s="98" t="str">
        <f>IFERROR(__xludf.DUMMYFUNCTION("""COMPUTED_VALUE"""),"Shibata")</f>
        <v>Shibata</v>
      </c>
      <c r="C1025" s="13">
        <f>IFERROR(__xludf.DUMMYFUNCTION("""COMPUTED_VALUE"""),25.0)</f>
        <v>25</v>
      </c>
      <c r="D1025" s="13" t="str">
        <f>IFERROR(__xludf.DUMMYFUNCTION("""COMPUTED_VALUE"""),"QUI.")</f>
        <v>QUI.</v>
      </c>
      <c r="E1025" s="13">
        <f>IFERROR(__xludf.DUMMYFUNCTION("""COMPUTED_VALUE"""),11.0)</f>
        <v>11</v>
      </c>
      <c r="F1025" s="15"/>
      <c r="G1025" s="16"/>
      <c r="H1025" s="227">
        <f>IFERROR(__xludf.DUMMYFUNCTION("""COMPUTED_VALUE"""),78.22)</f>
        <v>78.22</v>
      </c>
      <c r="I1025" s="21" t="str">
        <f>IFERROR(__xludf.DUMMYFUNCTION("""COMPUTED_VALUE"""),"SODEXO-REF-IBM")</f>
        <v>SODEXO-REF-IBM</v>
      </c>
      <c r="J1025" s="21" t="str">
        <f>IFERROR(__xludf.DUMMYFUNCTION("""COMPUTED_VALUE"""),"#Moradia #Essencial #Mercado #Variavel #Alimentação ")</f>
        <v>#Moradia #Essencial #Mercado #Variavel #Alimentação </v>
      </c>
      <c r="K1025" s="216"/>
      <c r="L1025" s="216"/>
      <c r="M1025" s="216"/>
      <c r="N1025" s="216"/>
      <c r="O1025" s="216"/>
      <c r="P1025" s="216"/>
      <c r="Q1025" s="216"/>
    </row>
    <row r="1026">
      <c r="A1026" s="11" t="str">
        <f>IFERROR(__xludf.DUMMYFUNCTION("""COMPUTED_VALUE"""),"PAGO")</f>
        <v>PAGO</v>
      </c>
      <c r="B1026" s="98" t="str">
        <f>IFERROR(__xludf.DUMMYFUNCTION("""COMPUTED_VALUE"""),"Shibata")</f>
        <v>Shibata</v>
      </c>
      <c r="C1026" s="13">
        <f>IFERROR(__xludf.DUMMYFUNCTION("""COMPUTED_VALUE"""),25.0)</f>
        <v>25</v>
      </c>
      <c r="D1026" s="13" t="str">
        <f>IFERROR(__xludf.DUMMYFUNCTION("""COMPUTED_VALUE"""),"QUI.")</f>
        <v>QUI.</v>
      </c>
      <c r="E1026" s="13">
        <f>IFERROR(__xludf.DUMMYFUNCTION("""COMPUTED_VALUE"""),11.0)</f>
        <v>11</v>
      </c>
      <c r="F1026" s="15"/>
      <c r="G1026" s="16"/>
      <c r="H1026" s="227">
        <f>IFERROR(__xludf.DUMMYFUNCTION("""COMPUTED_VALUE"""),10.0)</f>
        <v>10</v>
      </c>
      <c r="I1026" s="21" t="str">
        <f>IFERROR(__xludf.DUMMYFUNCTION("""COMPUTED_VALUE"""),"SODEXO-ALI-IBM")</f>
        <v>SODEXO-ALI-IBM</v>
      </c>
      <c r="J1026" s="21" t="str">
        <f>IFERROR(__xludf.DUMMYFUNCTION("""COMPUTED_VALUE"""),"#Moradia #Essencial #Mercado #Variavel #Alimentação ")</f>
        <v>#Moradia #Essencial #Mercado #Variavel #Alimentação </v>
      </c>
      <c r="K1026" s="216"/>
      <c r="L1026" s="216"/>
      <c r="M1026" s="216"/>
      <c r="N1026" s="216"/>
      <c r="O1026" s="216"/>
      <c r="P1026" s="216"/>
      <c r="Q1026" s="216"/>
    </row>
    <row r="1027">
      <c r="A1027" s="11" t="str">
        <f>IFERROR(__xludf.DUMMYFUNCTION("""COMPUTED_VALUE"""),"PAGO")</f>
        <v>PAGO</v>
      </c>
      <c r="B1027" s="98" t="str">
        <f>IFERROR(__xludf.DUMMYFUNCTION("""COMPUTED_VALUE"""),"Combustivel - Posto Rede Nova")</f>
        <v>Combustivel - Posto Rede Nova</v>
      </c>
      <c r="C1027" s="13">
        <f>IFERROR(__xludf.DUMMYFUNCTION("""COMPUTED_VALUE"""),25.0)</f>
        <v>25</v>
      </c>
      <c r="D1027" s="13" t="str">
        <f>IFERROR(__xludf.DUMMYFUNCTION("""COMPUTED_VALUE"""),"QUI.")</f>
        <v>QUI.</v>
      </c>
      <c r="E1027" s="13">
        <f>IFERROR(__xludf.DUMMYFUNCTION("""COMPUTED_VALUE"""),11.0)</f>
        <v>11</v>
      </c>
      <c r="F1027" s="15"/>
      <c r="G1027" s="16"/>
      <c r="H1027" s="227">
        <f>IFERROR(__xludf.DUMMYFUNCTION("""COMPUTED_VALUE"""),242.72)</f>
        <v>242.72</v>
      </c>
      <c r="I1027" s="21" t="str">
        <f>IFERROR(__xludf.DUMMYFUNCTION("""COMPUTED_VALUE"""),"NUBANK")</f>
        <v>NUBANK</v>
      </c>
      <c r="J1027" s="21" t="str">
        <f>IFERROR(__xludf.DUMMYFUNCTION("""COMPUTED_VALUE"""),"#Carro #Combustivel #Variavel")</f>
        <v>#Carro #Combustivel #Variavel</v>
      </c>
      <c r="K1027" s="216"/>
      <c r="L1027" s="216"/>
      <c r="M1027" s="216"/>
      <c r="N1027" s="216"/>
      <c r="O1027" s="216"/>
      <c r="P1027" s="216"/>
      <c r="Q1027" s="216"/>
    </row>
    <row r="1028">
      <c r="A1028" s="11" t="str">
        <f>IFERROR(__xludf.DUMMYFUNCTION("""COMPUTED_VALUE"""),"PAGO")</f>
        <v>PAGO</v>
      </c>
      <c r="B1028" s="98" t="str">
        <f>IFERROR(__xludf.DUMMYFUNCTION("""COMPUTED_VALUE"""),"EBANX SHOPPE - DIVERSOS CURITIBA")</f>
        <v>EBANX SHOPPE - DIVERSOS CURITIBA</v>
      </c>
      <c r="C1028" s="13">
        <f>IFERROR(__xludf.DUMMYFUNCTION("""COMPUTED_VALUE"""),25.0)</f>
        <v>25</v>
      </c>
      <c r="D1028" s="13" t="str">
        <f>IFERROR(__xludf.DUMMYFUNCTION("""COMPUTED_VALUE"""),"QUI.")</f>
        <v>QUI.</v>
      </c>
      <c r="E1028" s="13">
        <f>IFERROR(__xludf.DUMMYFUNCTION("""COMPUTED_VALUE"""),11.0)</f>
        <v>11</v>
      </c>
      <c r="F1028" s="15"/>
      <c r="G1028" s="16"/>
      <c r="H1028" s="227">
        <f>IFERROR(__xludf.DUMMYFUNCTION("""COMPUTED_VALUE"""),39.98)</f>
        <v>39.98</v>
      </c>
      <c r="I1028" s="21" t="str">
        <f>IFERROR(__xludf.DUMMYFUNCTION("""COMPUTED_VALUE"""),"NUBANK")</f>
        <v>NUBANK</v>
      </c>
      <c r="J1028" s="21" t="str">
        <f>IFERROR(__xludf.DUMMYFUNCTION("""COMPUTED_VALUE"""),"#Roberta #Variavel #Carlos #Eduardo")</f>
        <v>#Roberta #Variavel #Carlos #Eduardo</v>
      </c>
      <c r="K1028" s="216"/>
      <c r="L1028" s="216"/>
      <c r="M1028" s="216"/>
      <c r="N1028" s="216"/>
      <c r="O1028" s="216"/>
      <c r="P1028" s="216"/>
      <c r="Q1028" s="216"/>
    </row>
    <row r="1029">
      <c r="A1029" s="11" t="str">
        <f>IFERROR(__xludf.DUMMYFUNCTION("""COMPUTED_VALUE"""),"PAGO")</f>
        <v>PAGO</v>
      </c>
      <c r="B1029" s="98" t="str">
        <f>IFERROR(__xludf.DUMMYFUNCTION("""COMPUTED_VALUE"""),"Doação Natal dos Bugios - Chácara Morro dos Bugios")</f>
        <v>Doação Natal dos Bugios - Chácara Morro dos Bugios</v>
      </c>
      <c r="C1029" s="13">
        <f>IFERROR(__xludf.DUMMYFUNCTION("""COMPUTED_VALUE"""),25.0)</f>
        <v>25</v>
      </c>
      <c r="D1029" s="13" t="str">
        <f>IFERROR(__xludf.DUMMYFUNCTION("""COMPUTED_VALUE"""),"QUI.")</f>
        <v>QUI.</v>
      </c>
      <c r="E1029" s="13">
        <f>IFERROR(__xludf.DUMMYFUNCTION("""COMPUTED_VALUE"""),11.0)</f>
        <v>11</v>
      </c>
      <c r="F1029" s="15"/>
      <c r="G1029" s="16"/>
      <c r="H1029" s="227">
        <f>IFERROR(__xludf.DUMMYFUNCTION("""COMPUTED_VALUE"""),200.0)</f>
        <v>200</v>
      </c>
      <c r="I1029" s="21" t="str">
        <f>IFERROR(__xludf.DUMMYFUNCTION("""COMPUTED_VALUE"""),"NUBANK")</f>
        <v>NUBANK</v>
      </c>
      <c r="J1029" s="21" t="str">
        <f>IFERROR(__xludf.DUMMYFUNCTION("""COMPUTED_VALUE"""),"#Natal #Doação #Variavel")</f>
        <v>#Natal #Doação #Variavel</v>
      </c>
      <c r="K1029" s="216"/>
      <c r="L1029" s="216"/>
      <c r="M1029" s="216"/>
      <c r="N1029" s="216"/>
      <c r="O1029" s="216"/>
      <c r="P1029" s="216"/>
      <c r="Q1029" s="216"/>
    </row>
    <row r="1030">
      <c r="A1030" s="11" t="str">
        <f>IFERROR(__xludf.DUMMYFUNCTION("""COMPUTED_VALUE"""),"CONTAS")</f>
        <v>CONTAS</v>
      </c>
      <c r="B1030" s="98" t="str">
        <f>IFERROR(__xludf.DUMMYFUNCTION("""COMPUTED_VALUE"""),"Transferencia via PIX")</f>
        <v>Transferencia via PIX</v>
      </c>
      <c r="C1030" s="13">
        <f>IFERROR(__xludf.DUMMYFUNCTION("""COMPUTED_VALUE"""),26.0)</f>
        <v>26</v>
      </c>
      <c r="D1030" s="13" t="str">
        <f>IFERROR(__xludf.DUMMYFUNCTION("""COMPUTED_VALUE"""),"SEX.")</f>
        <v>SEX.</v>
      </c>
      <c r="E1030" s="13">
        <f>IFERROR(__xludf.DUMMYFUNCTION("""COMPUTED_VALUE"""),11.0)</f>
        <v>11</v>
      </c>
      <c r="F1030" s="15"/>
      <c r="G1030" s="16"/>
      <c r="H1030" s="227">
        <f>IFERROR(__xludf.DUMMYFUNCTION("""COMPUTED_VALUE"""),700.0)</f>
        <v>700</v>
      </c>
      <c r="I1030" s="21" t="str">
        <f>IFERROR(__xludf.DUMMYFUNCTION("""COMPUTED_VALUE"""),"NUBANK")</f>
        <v>NUBANK</v>
      </c>
      <c r="J1030" s="21"/>
      <c r="K1030" s="216"/>
      <c r="L1030" s="216"/>
      <c r="M1030" s="216"/>
      <c r="N1030" s="216"/>
      <c r="O1030" s="216"/>
      <c r="P1030" s="216"/>
      <c r="Q1030" s="216"/>
    </row>
    <row r="1031">
      <c r="A1031" s="11" t="str">
        <f>IFERROR(__xludf.DUMMYFUNCTION("""COMPUTED_VALUE"""),"CONTAS")</f>
        <v>CONTAS</v>
      </c>
      <c r="B1031" s="98" t="str">
        <f>IFERROR(__xludf.DUMMYFUNCTION("""COMPUTED_VALUE"""),"Recebimento via PIX")</f>
        <v>Recebimento via PIX</v>
      </c>
      <c r="C1031" s="13">
        <f>IFERROR(__xludf.DUMMYFUNCTION("""COMPUTED_VALUE"""),26.0)</f>
        <v>26</v>
      </c>
      <c r="D1031" s="13" t="str">
        <f>IFERROR(__xludf.DUMMYFUNCTION("""COMPUTED_VALUE"""),"SEX.")</f>
        <v>SEX.</v>
      </c>
      <c r="E1031" s="13">
        <f>IFERROR(__xludf.DUMMYFUNCTION("""COMPUTED_VALUE"""),11.0)</f>
        <v>11</v>
      </c>
      <c r="F1031" s="15"/>
      <c r="G1031" s="16">
        <f>IFERROR(__xludf.DUMMYFUNCTION("""COMPUTED_VALUE"""),700.0)</f>
        <v>700</v>
      </c>
      <c r="H1031" s="227"/>
      <c r="I1031" s="21" t="str">
        <f>IFERROR(__xludf.DUMMYFUNCTION("""COMPUTED_VALUE"""),"INTER")</f>
        <v>INTER</v>
      </c>
      <c r="J1031" s="21"/>
      <c r="K1031" s="216"/>
      <c r="L1031" s="216"/>
      <c r="M1031" s="216"/>
      <c r="N1031" s="216"/>
      <c r="O1031" s="216"/>
      <c r="P1031" s="216"/>
      <c r="Q1031" s="216"/>
    </row>
    <row r="1032">
      <c r="A1032" s="11" t="str">
        <f>IFERROR(__xludf.DUMMYFUNCTION("""COMPUTED_VALUE"""),"CONTAS")</f>
        <v>CONTAS</v>
      </c>
      <c r="B1032" s="98" t="str">
        <f>IFERROR(__xludf.DUMMYFUNCTION("""COMPUTED_VALUE"""),"Transferencia via PIX")</f>
        <v>Transferencia via PIX</v>
      </c>
      <c r="C1032" s="13">
        <f>IFERROR(__xludf.DUMMYFUNCTION("""COMPUTED_VALUE"""),26.0)</f>
        <v>26</v>
      </c>
      <c r="D1032" s="13" t="str">
        <f>IFERROR(__xludf.DUMMYFUNCTION("""COMPUTED_VALUE"""),"SEX.")</f>
        <v>SEX.</v>
      </c>
      <c r="E1032" s="13">
        <f>IFERROR(__xludf.DUMMYFUNCTION("""COMPUTED_VALUE"""),11.0)</f>
        <v>11</v>
      </c>
      <c r="F1032" s="15"/>
      <c r="G1032" s="16"/>
      <c r="H1032" s="227">
        <f>IFERROR(__xludf.DUMMYFUNCTION("""COMPUTED_VALUE"""),20.0)</f>
        <v>20</v>
      </c>
      <c r="I1032" s="21" t="str">
        <f>IFERROR(__xludf.DUMMYFUNCTION("""COMPUTED_VALUE"""),"NUBANK")</f>
        <v>NUBANK</v>
      </c>
      <c r="J1032" s="21"/>
      <c r="K1032" s="216"/>
      <c r="L1032" s="216"/>
      <c r="M1032" s="216"/>
      <c r="N1032" s="216"/>
      <c r="O1032" s="216"/>
      <c r="P1032" s="216"/>
      <c r="Q1032" s="216"/>
    </row>
    <row r="1033">
      <c r="A1033" s="11" t="str">
        <f>IFERROR(__xludf.DUMMYFUNCTION("""COMPUTED_VALUE"""),"CONTAS")</f>
        <v>CONTAS</v>
      </c>
      <c r="B1033" s="98" t="str">
        <f>IFERROR(__xludf.DUMMYFUNCTION("""COMPUTED_VALUE"""),"Recebimento via PIX")</f>
        <v>Recebimento via PIX</v>
      </c>
      <c r="C1033" s="13">
        <f>IFERROR(__xludf.DUMMYFUNCTION("""COMPUTED_VALUE"""),26.0)</f>
        <v>26</v>
      </c>
      <c r="D1033" s="13" t="str">
        <f>IFERROR(__xludf.DUMMYFUNCTION("""COMPUTED_VALUE"""),"SEX.")</f>
        <v>SEX.</v>
      </c>
      <c r="E1033" s="13">
        <f>IFERROR(__xludf.DUMMYFUNCTION("""COMPUTED_VALUE"""),11.0)</f>
        <v>11</v>
      </c>
      <c r="F1033" s="15"/>
      <c r="G1033" s="16">
        <f>IFERROR(__xludf.DUMMYFUNCTION("""COMPUTED_VALUE"""),20.0)</f>
        <v>20</v>
      </c>
      <c r="H1033" s="227"/>
      <c r="I1033" s="21" t="str">
        <f>IFERROR(__xludf.DUMMYFUNCTION("""COMPUTED_VALUE"""),"INTER")</f>
        <v>INTER</v>
      </c>
      <c r="J1033" s="21"/>
      <c r="K1033" s="216"/>
      <c r="L1033" s="216"/>
      <c r="M1033" s="216"/>
      <c r="N1033" s="216"/>
      <c r="O1033" s="216"/>
      <c r="P1033" s="216"/>
      <c r="Q1033" s="216"/>
    </row>
    <row r="1034">
      <c r="A1034" s="11" t="str">
        <f>IFERROR(__xludf.DUMMYFUNCTION("""COMPUTED_VALUE"""),"PAGO")</f>
        <v>PAGO</v>
      </c>
      <c r="B1034" s="98" t="str">
        <f>IFERROR(__xludf.DUMMYFUNCTION("""COMPUTED_VALUE"""),"Compra no app Banco Inter x Casas Bahia - Air Flyer 12L Britania")</f>
        <v>Compra no app Banco Inter x Casas Bahia - Air Flyer 12L Britania</v>
      </c>
      <c r="C1034" s="13">
        <f>IFERROR(__xludf.DUMMYFUNCTION("""COMPUTED_VALUE"""),26.0)</f>
        <v>26</v>
      </c>
      <c r="D1034" s="13" t="str">
        <f>IFERROR(__xludf.DUMMYFUNCTION("""COMPUTED_VALUE"""),"SEX.")</f>
        <v>SEX.</v>
      </c>
      <c r="E1034" s="13">
        <f>IFERROR(__xludf.DUMMYFUNCTION("""COMPUTED_VALUE"""),11.0)</f>
        <v>11</v>
      </c>
      <c r="F1034" s="15"/>
      <c r="G1034" s="16"/>
      <c r="H1034" s="227">
        <f>IFERROR(__xludf.DUMMYFUNCTION("""COMPUTED_VALUE"""),719.91)</f>
        <v>719.91</v>
      </c>
      <c r="I1034" s="21" t="str">
        <f>IFERROR(__xludf.DUMMYFUNCTION("""COMPUTED_VALUE"""),"INTER")</f>
        <v>INTER</v>
      </c>
      <c r="J1034" s="21" t="str">
        <f>IFERROR(__xludf.DUMMYFUNCTION("""COMPUTED_VALUE"""),"#Moradia #Cozinha #Lazer #Presentes #Variavel #BlackFriday")</f>
        <v>#Moradia #Cozinha #Lazer #Presentes #Variavel #BlackFriday</v>
      </c>
      <c r="K1034" s="216"/>
      <c r="L1034" s="216"/>
      <c r="M1034" s="216"/>
      <c r="N1034" s="216"/>
      <c r="O1034" s="216"/>
      <c r="P1034" s="216"/>
      <c r="Q1034" s="216"/>
    </row>
    <row r="1035">
      <c r="A1035" s="11" t="str">
        <f>IFERROR(__xludf.DUMMYFUNCTION("""COMPUTED_VALUE"""),"PAGO")</f>
        <v>PAGO</v>
      </c>
      <c r="B1035" s="98" t="str">
        <f>IFERROR(__xludf.DUMMYFUNCTION("""COMPUTED_VALUE"""),"Cashback - Compra no app Banco Inter - Air Flyer 12L Britania")</f>
        <v>Cashback - Compra no app Banco Inter - Air Flyer 12L Britania</v>
      </c>
      <c r="C1035" s="13">
        <f>IFERROR(__xludf.DUMMYFUNCTION("""COMPUTED_VALUE"""),26.0)</f>
        <v>26</v>
      </c>
      <c r="D1035" s="13" t="str">
        <f>IFERROR(__xludf.DUMMYFUNCTION("""COMPUTED_VALUE"""),"SEX.")</f>
        <v>SEX.</v>
      </c>
      <c r="E1035" s="13">
        <f>IFERROR(__xludf.DUMMYFUNCTION("""COMPUTED_VALUE"""),11.0)</f>
        <v>11</v>
      </c>
      <c r="F1035" s="15"/>
      <c r="G1035" s="16">
        <f>IFERROR(__xludf.DUMMYFUNCTION("""COMPUTED_VALUE"""),93.58)</f>
        <v>93.58</v>
      </c>
      <c r="H1035" s="227"/>
      <c r="I1035" s="21" t="str">
        <f>IFERROR(__xludf.DUMMYFUNCTION("""COMPUTED_VALUE"""),"INTER")</f>
        <v>INTER</v>
      </c>
      <c r="J1035" s="21" t="str">
        <f>IFERROR(__xludf.DUMMYFUNCTION("""COMPUTED_VALUE"""),"#Recebimentos #Cashback #Variavel #BlackFriday")</f>
        <v>#Recebimentos #Cashback #Variavel #BlackFriday</v>
      </c>
      <c r="K1035" s="216"/>
      <c r="L1035" s="216"/>
      <c r="M1035" s="216"/>
      <c r="N1035" s="216"/>
      <c r="O1035" s="216"/>
      <c r="P1035" s="216"/>
      <c r="Q1035" s="216"/>
    </row>
    <row r="1036">
      <c r="A1036" s="11" t="str">
        <f>IFERROR(__xludf.DUMMYFUNCTION("""COMPUTED_VALUE"""),"PAGO")</f>
        <v>PAGO</v>
      </c>
      <c r="B1036" s="98" t="str">
        <f>IFERROR(__xludf.DUMMYFUNCTION("""COMPUTED_VALUE"""),"Cashback EXTRA - Compra no app Banco Inter - Air Flyer 12L Britania")</f>
        <v>Cashback EXTRA - Compra no app Banco Inter - Air Flyer 12L Britania</v>
      </c>
      <c r="C1036" s="13">
        <f>IFERROR(__xludf.DUMMYFUNCTION("""COMPUTED_VALUE"""),26.0)</f>
        <v>26</v>
      </c>
      <c r="D1036" s="13" t="str">
        <f>IFERROR(__xludf.DUMMYFUNCTION("""COMPUTED_VALUE"""),"SEX.")</f>
        <v>SEX.</v>
      </c>
      <c r="E1036" s="13">
        <f>IFERROR(__xludf.DUMMYFUNCTION("""COMPUTED_VALUE"""),11.0)</f>
        <v>11</v>
      </c>
      <c r="F1036" s="15"/>
      <c r="G1036" s="16">
        <f>IFERROR(__xludf.DUMMYFUNCTION("""COMPUTED_VALUE"""),50.0)</f>
        <v>50</v>
      </c>
      <c r="H1036" s="227"/>
      <c r="I1036" s="21" t="str">
        <f>IFERROR(__xludf.DUMMYFUNCTION("""COMPUTED_VALUE"""),"INTER")</f>
        <v>INTER</v>
      </c>
      <c r="J1036" s="21" t="str">
        <f>IFERROR(__xludf.DUMMYFUNCTION("""COMPUTED_VALUE"""),"#Recebimentos #Cashback #Variavel #BlackFriday")</f>
        <v>#Recebimentos #Cashback #Variavel #BlackFriday</v>
      </c>
      <c r="K1036" s="216"/>
      <c r="L1036" s="216"/>
      <c r="M1036" s="216"/>
      <c r="N1036" s="216"/>
      <c r="O1036" s="216"/>
      <c r="P1036" s="216"/>
      <c r="Q1036" s="216"/>
    </row>
    <row r="1037">
      <c r="A1037" s="11" t="str">
        <f>IFERROR(__xludf.DUMMYFUNCTION("""COMPUTED_VALUE"""),"PAGO")</f>
        <v>PAGO</v>
      </c>
      <c r="B1037" s="98" t="str">
        <f>IFERROR(__xludf.DUMMYFUNCTION("""COMPUTED_VALUE"""),"EBANX SHOPPE - DIVERSOS CURITIBA")</f>
        <v>EBANX SHOPPE - DIVERSOS CURITIBA</v>
      </c>
      <c r="C1037" s="13">
        <f>IFERROR(__xludf.DUMMYFUNCTION("""COMPUTED_VALUE"""),29.0)</f>
        <v>29</v>
      </c>
      <c r="D1037" s="13" t="str">
        <f>IFERROR(__xludf.DUMMYFUNCTION("""COMPUTED_VALUE"""),"SEG.")</f>
        <v>SEG.</v>
      </c>
      <c r="E1037" s="13">
        <f>IFERROR(__xludf.DUMMYFUNCTION("""COMPUTED_VALUE"""),11.0)</f>
        <v>11</v>
      </c>
      <c r="F1037" s="15"/>
      <c r="G1037" s="16"/>
      <c r="H1037" s="227">
        <f>IFERROR(__xludf.DUMMYFUNCTION("""COMPUTED_VALUE"""),97.09)</f>
        <v>97.09</v>
      </c>
      <c r="I1037" s="21" t="str">
        <f>IFERROR(__xludf.DUMMYFUNCTION("""COMPUTED_VALUE"""),"NUBANK")</f>
        <v>NUBANK</v>
      </c>
      <c r="J1037" s="21" t="str">
        <f>IFERROR(__xludf.DUMMYFUNCTION("""COMPUTED_VALUE"""),"#Cicero #Variavel #Celular")</f>
        <v>#Cicero #Variavel #Celular</v>
      </c>
      <c r="K1037" s="216"/>
      <c r="L1037" s="216"/>
      <c r="M1037" s="216"/>
      <c r="N1037" s="216"/>
      <c r="O1037" s="216"/>
      <c r="P1037" s="216"/>
      <c r="Q1037" s="216"/>
    </row>
    <row r="1038">
      <c r="A1038" s="11" t="str">
        <f>IFERROR(__xludf.DUMMYFUNCTION("""COMPUTED_VALUE"""),"PAGO")</f>
        <v>PAGO</v>
      </c>
      <c r="B1038" s="98" t="str">
        <f>IFERROR(__xludf.DUMMYFUNCTION("""COMPUTED_VALUE"""),"Recarga Sodexo Alimentação IBM")</f>
        <v>Recarga Sodexo Alimentação IBM</v>
      </c>
      <c r="C1038" s="13">
        <f>IFERROR(__xludf.DUMMYFUNCTION("""COMPUTED_VALUE"""),30.0)</f>
        <v>30</v>
      </c>
      <c r="D1038" s="13" t="str">
        <f>IFERROR(__xludf.DUMMYFUNCTION("""COMPUTED_VALUE"""),"TER.")</f>
        <v>TER.</v>
      </c>
      <c r="E1038" s="13">
        <f>IFERROR(__xludf.DUMMYFUNCTION("""COMPUTED_VALUE"""),11.0)</f>
        <v>11</v>
      </c>
      <c r="F1038" s="15"/>
      <c r="G1038" s="16">
        <f>IFERROR(__xludf.DUMMYFUNCTION("""COMPUTED_VALUE"""),330.0)</f>
        <v>330</v>
      </c>
      <c r="H1038" s="227"/>
      <c r="I1038" s="21" t="str">
        <f>IFERROR(__xludf.DUMMYFUNCTION("""COMPUTED_VALUE"""),"SODEXO-ALI-IBM")</f>
        <v>SODEXO-ALI-IBM</v>
      </c>
      <c r="J1038" s="21" t="str">
        <f>IFERROR(__xludf.DUMMYFUNCTION("""COMPUTED_VALUE"""),"#Recebimentos #Alimentação #Fixo")</f>
        <v>#Recebimentos #Alimentação #Fixo</v>
      </c>
      <c r="K1038" s="216"/>
      <c r="L1038" s="216"/>
      <c r="M1038" s="216"/>
      <c r="N1038" s="216"/>
      <c r="O1038" s="216"/>
      <c r="P1038" s="216"/>
      <c r="Q1038" s="216"/>
    </row>
    <row r="1039">
      <c r="A1039" s="11" t="str">
        <f>IFERROR(__xludf.DUMMYFUNCTION("""COMPUTED_VALUE"""),"PAGO")</f>
        <v>PAGO</v>
      </c>
      <c r="B1039" s="98" t="str">
        <f>IFERROR(__xludf.DUMMYFUNCTION("""COMPUTED_VALUE"""),"Recarga Sodexo Refeição IBM")</f>
        <v>Recarga Sodexo Refeição IBM</v>
      </c>
      <c r="C1039" s="13">
        <f>IFERROR(__xludf.DUMMYFUNCTION("""COMPUTED_VALUE"""),30.0)</f>
        <v>30</v>
      </c>
      <c r="D1039" s="13" t="str">
        <f>IFERROR(__xludf.DUMMYFUNCTION("""COMPUTED_VALUE"""),"TER.")</f>
        <v>TER.</v>
      </c>
      <c r="E1039" s="13">
        <f>IFERROR(__xludf.DUMMYFUNCTION("""COMPUTED_VALUE"""),11.0)</f>
        <v>11</v>
      </c>
      <c r="F1039" s="15"/>
      <c r="G1039" s="16">
        <f>IFERROR(__xludf.DUMMYFUNCTION("""COMPUTED_VALUE"""),700.0)</f>
        <v>700</v>
      </c>
      <c r="H1039" s="227"/>
      <c r="I1039" s="21" t="str">
        <f>IFERROR(__xludf.DUMMYFUNCTION("""COMPUTED_VALUE"""),"SODEXO-REF-IBM")</f>
        <v>SODEXO-REF-IBM</v>
      </c>
      <c r="J1039" s="21" t="str">
        <f>IFERROR(__xludf.DUMMYFUNCTION("""COMPUTED_VALUE"""),"#Recebimentos #Alimentação #Fixo")</f>
        <v>#Recebimentos #Alimentação #Fixo</v>
      </c>
      <c r="K1039" s="216"/>
      <c r="L1039" s="216"/>
      <c r="M1039" s="216"/>
      <c r="N1039" s="216"/>
      <c r="O1039" s="216"/>
      <c r="P1039" s="216"/>
      <c r="Q1039" s="216"/>
    </row>
    <row r="1040">
      <c r="A1040" s="11" t="str">
        <f>IFERROR(__xludf.DUMMYFUNCTION("""COMPUTED_VALUE"""),"PAGO")</f>
        <v>PAGO</v>
      </c>
      <c r="B1040" s="98" t="str">
        <f>IFERROR(__xludf.DUMMYFUNCTION("""COMPUTED_VALUE"""),"Salario - IBM")</f>
        <v>Salario - IBM</v>
      </c>
      <c r="C1040" s="13">
        <f>IFERROR(__xludf.DUMMYFUNCTION("""COMPUTED_VALUE"""),30.0)</f>
        <v>30</v>
      </c>
      <c r="D1040" s="13" t="str">
        <f>IFERROR(__xludf.DUMMYFUNCTION("""COMPUTED_VALUE"""),"TER.")</f>
        <v>TER.</v>
      </c>
      <c r="E1040" s="13">
        <f>IFERROR(__xludf.DUMMYFUNCTION("""COMPUTED_VALUE"""),11.0)</f>
        <v>11</v>
      </c>
      <c r="F1040" s="15"/>
      <c r="G1040" s="16">
        <f>IFERROR(__xludf.DUMMYFUNCTION("""COMPUTED_VALUE"""),2581.98)</f>
        <v>2581.98</v>
      </c>
      <c r="H1040" s="227"/>
      <c r="I1040" s="21" t="str">
        <f>IFERROR(__xludf.DUMMYFUNCTION("""COMPUTED_VALUE"""),"SANTANDER")</f>
        <v>SANTANDER</v>
      </c>
      <c r="J1040" s="21" t="str">
        <f>IFERROR(__xludf.DUMMYFUNCTION("""COMPUTED_VALUE"""),"#Recebimentos #Salario #Fixo")</f>
        <v>#Recebimentos #Salario #Fixo</v>
      </c>
      <c r="K1040" s="216"/>
      <c r="L1040" s="216"/>
      <c r="M1040" s="216"/>
      <c r="N1040" s="216"/>
      <c r="O1040" s="216"/>
      <c r="P1040" s="216"/>
      <c r="Q1040" s="216"/>
    </row>
    <row r="1041">
      <c r="A1041" s="11" t="str">
        <f>IFERROR(__xludf.DUMMYFUNCTION("""COMPUTED_VALUE"""),"PAGO")</f>
        <v>PAGO</v>
      </c>
      <c r="B1041" s="98" t="str">
        <f>IFERROR(__xludf.DUMMYFUNCTION("""COMPUTED_VALUE"""),"13o. Salario - IBM - parcela 1")</f>
        <v>13o. Salario - IBM - parcela 1</v>
      </c>
      <c r="C1041" s="13">
        <f>IFERROR(__xludf.DUMMYFUNCTION("""COMPUTED_VALUE"""),30.0)</f>
        <v>30</v>
      </c>
      <c r="D1041" s="13" t="str">
        <f>IFERROR(__xludf.DUMMYFUNCTION("""COMPUTED_VALUE"""),"TER.")</f>
        <v>TER.</v>
      </c>
      <c r="E1041" s="13">
        <f>IFERROR(__xludf.DUMMYFUNCTION("""COMPUTED_VALUE"""),11.0)</f>
        <v>11</v>
      </c>
      <c r="F1041" s="15"/>
      <c r="G1041" s="16">
        <f>IFERROR(__xludf.DUMMYFUNCTION("""COMPUTED_VALUE"""),4250.0)</f>
        <v>4250</v>
      </c>
      <c r="H1041" s="227"/>
      <c r="I1041" s="21" t="str">
        <f>IFERROR(__xludf.DUMMYFUNCTION("""COMPUTED_VALUE"""),"SANTANDER")</f>
        <v>SANTANDER</v>
      </c>
      <c r="J1041" s="21" t="str">
        <f>IFERROR(__xludf.DUMMYFUNCTION("""COMPUTED_VALUE"""),"#Recebimentos #Salario #Fixo")</f>
        <v>#Recebimentos #Salario #Fixo</v>
      </c>
      <c r="K1041" s="216"/>
      <c r="L1041" s="216"/>
      <c r="M1041" s="216"/>
      <c r="N1041" s="216"/>
      <c r="O1041" s="216"/>
      <c r="P1041" s="216"/>
      <c r="Q1041" s="216"/>
    </row>
    <row r="1042">
      <c r="A1042" s="11" t="str">
        <f>IFERROR(__xludf.DUMMYFUNCTION("""COMPUTED_VALUE"""),"CONTAS")</f>
        <v>CONTAS</v>
      </c>
      <c r="B1042" s="98" t="str">
        <f>IFERROR(__xludf.DUMMYFUNCTION("""COMPUTED_VALUE"""),"Transferencia via PIX")</f>
        <v>Transferencia via PIX</v>
      </c>
      <c r="C1042" s="13">
        <f>IFERROR(__xludf.DUMMYFUNCTION("""COMPUTED_VALUE"""),30.0)</f>
        <v>30</v>
      </c>
      <c r="D1042" s="13" t="str">
        <f>IFERROR(__xludf.DUMMYFUNCTION("""COMPUTED_VALUE"""),"TER.")</f>
        <v>TER.</v>
      </c>
      <c r="E1042" s="13">
        <f>IFERROR(__xludf.DUMMYFUNCTION("""COMPUTED_VALUE"""),11.0)</f>
        <v>11</v>
      </c>
      <c r="F1042" s="15"/>
      <c r="G1042" s="16"/>
      <c r="H1042" s="227">
        <f>IFERROR(__xludf.DUMMYFUNCTION("""COMPUTED_VALUE"""),6831.98)</f>
        <v>6831.98</v>
      </c>
      <c r="I1042" s="21" t="str">
        <f>IFERROR(__xludf.DUMMYFUNCTION("""COMPUTED_VALUE"""),"SANTANDER")</f>
        <v>SANTANDER</v>
      </c>
      <c r="J1042" s="21"/>
      <c r="K1042" s="216"/>
      <c r="L1042" s="216"/>
      <c r="M1042" s="216"/>
      <c r="N1042" s="216"/>
      <c r="O1042" s="216"/>
      <c r="P1042" s="216"/>
      <c r="Q1042" s="216"/>
    </row>
    <row r="1043">
      <c r="A1043" s="11" t="str">
        <f>IFERROR(__xludf.DUMMYFUNCTION("""COMPUTED_VALUE"""),"CONTAS")</f>
        <v>CONTAS</v>
      </c>
      <c r="B1043" s="98" t="str">
        <f>IFERROR(__xludf.DUMMYFUNCTION("""COMPUTED_VALUE"""),"Recebimento via PIX")</f>
        <v>Recebimento via PIX</v>
      </c>
      <c r="C1043" s="13">
        <f>IFERROR(__xludf.DUMMYFUNCTION("""COMPUTED_VALUE"""),30.0)</f>
        <v>30</v>
      </c>
      <c r="D1043" s="13" t="str">
        <f>IFERROR(__xludf.DUMMYFUNCTION("""COMPUTED_VALUE"""),"TER.")</f>
        <v>TER.</v>
      </c>
      <c r="E1043" s="13">
        <f>IFERROR(__xludf.DUMMYFUNCTION("""COMPUTED_VALUE"""),11.0)</f>
        <v>11</v>
      </c>
      <c r="F1043" s="15"/>
      <c r="G1043" s="16">
        <f>IFERROR(__xludf.DUMMYFUNCTION("""COMPUTED_VALUE"""),6831.98)</f>
        <v>6831.98</v>
      </c>
      <c r="H1043" s="227"/>
      <c r="I1043" s="21" t="str">
        <f>IFERROR(__xludf.DUMMYFUNCTION("""COMPUTED_VALUE"""),"NUBANK")</f>
        <v>NUBANK</v>
      </c>
      <c r="J1043" s="21"/>
      <c r="K1043" s="216"/>
      <c r="L1043" s="216"/>
      <c r="M1043" s="216"/>
      <c r="N1043" s="216"/>
      <c r="O1043" s="216"/>
      <c r="P1043" s="216"/>
      <c r="Q1043" s="216"/>
    </row>
    <row r="1044">
      <c r="A1044" s="11" t="str">
        <f>IFERROR(__xludf.DUMMYFUNCTION("""COMPUTED_VALUE"""),"PAGO")</f>
        <v>PAGO</v>
      </c>
      <c r="B1044" s="98" t="str">
        <f>IFERROR(__xludf.DUMMYFUNCTION("""COMPUTED_VALUE"""),"Transferi para investimento - Nubank (reserva de oportunidades 13o.)")</f>
        <v>Transferi para investimento - Nubank (reserva de oportunidades 13o.)</v>
      </c>
      <c r="C1044" s="13">
        <f>IFERROR(__xludf.DUMMYFUNCTION("""COMPUTED_VALUE"""),29.0)</f>
        <v>29</v>
      </c>
      <c r="D1044" s="13" t="str">
        <f>IFERROR(__xludf.DUMMYFUNCTION("""COMPUTED_VALUE"""),"SEG.")</f>
        <v>SEG.</v>
      </c>
      <c r="E1044" s="13">
        <f>IFERROR(__xludf.DUMMYFUNCTION("""COMPUTED_VALUE"""),11.0)</f>
        <v>11</v>
      </c>
      <c r="F1044" s="15"/>
      <c r="G1044" s="16"/>
      <c r="H1044" s="227">
        <f>IFERROR(__xludf.DUMMYFUNCTION("""COMPUTED_VALUE"""),4250.0)</f>
        <v>4250</v>
      </c>
      <c r="I1044" s="21" t="str">
        <f>IFERROR(__xludf.DUMMYFUNCTION("""COMPUTED_VALUE"""),"NUBANK")</f>
        <v>NUBANK</v>
      </c>
      <c r="J1044" s="21" t="str">
        <f>IFERROR(__xludf.DUMMYFUNCTION("""COMPUTED_VALUE"""),"#Transferencia #Investimento #Variavel #Nubank")</f>
        <v>#Transferencia #Investimento #Variavel #Nubank</v>
      </c>
      <c r="K1044" s="216"/>
      <c r="L1044" s="216"/>
      <c r="M1044" s="216"/>
      <c r="N1044" s="216"/>
      <c r="O1044" s="216"/>
      <c r="P1044" s="216"/>
      <c r="Q1044" s="216"/>
    </row>
    <row r="1045">
      <c r="A1045" s="11" t="str">
        <f>IFERROR(__xludf.DUMMYFUNCTION("""COMPUTED_VALUE"""),"PAGO")</f>
        <v>PAGO</v>
      </c>
      <c r="B1045" s="98" t="str">
        <f>IFERROR(__xludf.DUMMYFUNCTION("""COMPUTED_VALUE"""),"Colégio Evoluti SJC - MATRICULA 2o. ANO FUNDAMENTAL")</f>
        <v>Colégio Evoluti SJC - MATRICULA 2o. ANO FUNDAMENTAL</v>
      </c>
      <c r="C1045" s="13">
        <f>IFERROR(__xludf.DUMMYFUNCTION("""COMPUTED_VALUE"""),30.0)</f>
        <v>30</v>
      </c>
      <c r="D1045" s="13" t="str">
        <f>IFERROR(__xludf.DUMMYFUNCTION("""COMPUTED_VALUE"""),"TER.")</f>
        <v>TER.</v>
      </c>
      <c r="E1045" s="13">
        <f>IFERROR(__xludf.DUMMYFUNCTION("""COMPUTED_VALUE"""),11.0)</f>
        <v>11</v>
      </c>
      <c r="F1045" s="15">
        <f>IFERROR(__xludf.DUMMYFUNCTION("""COMPUTED_VALUE"""),44512.0)</f>
        <v>44512</v>
      </c>
      <c r="G1045" s="16"/>
      <c r="H1045" s="227">
        <f>IFERROR(__xludf.DUMMYFUNCTION("""COMPUTED_VALUE"""),595.0)</f>
        <v>595</v>
      </c>
      <c r="I1045" s="21" t="str">
        <f>IFERROR(__xludf.DUMMYFUNCTION("""COMPUTED_VALUE"""),"NUBANK")</f>
        <v>NUBANK</v>
      </c>
      <c r="J1045" s="21" t="str">
        <f>IFERROR(__xludf.DUMMYFUNCTION("""COMPUTED_VALUE"""),"#Essencial #Escola #Eduardo #Fixo")</f>
        <v>#Essencial #Escola #Eduardo #Fixo</v>
      </c>
      <c r="K1045" s="216"/>
      <c r="L1045" s="216"/>
      <c r="M1045" s="216"/>
      <c r="N1045" s="216"/>
      <c r="O1045" s="216"/>
      <c r="P1045" s="216"/>
      <c r="Q1045" s="216"/>
    </row>
    <row r="1046">
      <c r="A1046" s="11" t="str">
        <f>IFERROR(__xludf.DUMMYFUNCTION("""COMPUTED_VALUE"""),"PAGO")</f>
        <v>PAGO</v>
      </c>
      <c r="B1046" s="98" t="str">
        <f>IFERROR(__xludf.DUMMYFUNCTION("""COMPUTED_VALUE"""),"Rendimento")</f>
        <v>Rendimento</v>
      </c>
      <c r="C1046" s="13">
        <f>IFERROR(__xludf.DUMMYFUNCTION("""COMPUTED_VALUE"""),30.0)</f>
        <v>30</v>
      </c>
      <c r="D1046" s="13" t="str">
        <f>IFERROR(__xludf.DUMMYFUNCTION("""COMPUTED_VALUE"""),"TER.")</f>
        <v>TER.</v>
      </c>
      <c r="E1046" s="13">
        <f>IFERROR(__xludf.DUMMYFUNCTION("""COMPUTED_VALUE"""),11.0)</f>
        <v>11</v>
      </c>
      <c r="F1046" s="15"/>
      <c r="G1046" s="16">
        <f>IFERROR(__xludf.DUMMYFUNCTION("""COMPUTED_VALUE"""),0.03)</f>
        <v>0.03</v>
      </c>
      <c r="H1046" s="227"/>
      <c r="I1046" s="21" t="str">
        <f>IFERROR(__xludf.DUMMYFUNCTION("""COMPUTED_VALUE"""),"ITAU")</f>
        <v>ITAU</v>
      </c>
      <c r="J1046" s="21" t="str">
        <f>IFERROR(__xludf.DUMMYFUNCTION("""COMPUTED_VALUE"""),"#Recebimentos #Rendimentos #Variavel")</f>
        <v>#Recebimentos #Rendimentos #Variavel</v>
      </c>
      <c r="K1046" s="216"/>
      <c r="L1046" s="216"/>
      <c r="M1046" s="216"/>
      <c r="N1046" s="216"/>
      <c r="O1046" s="216"/>
      <c r="P1046" s="216"/>
      <c r="Q1046" s="216"/>
    </row>
    <row r="1047">
      <c r="A1047" s="11"/>
      <c r="B1047" s="98"/>
      <c r="C1047" s="13"/>
      <c r="D1047" s="13"/>
      <c r="E1047" s="13"/>
      <c r="F1047" s="15"/>
      <c r="G1047" s="16"/>
      <c r="H1047" s="227"/>
      <c r="I1047" s="21"/>
      <c r="J1047" s="21"/>
      <c r="K1047" s="216"/>
      <c r="L1047" s="216"/>
      <c r="M1047" s="216"/>
      <c r="N1047" s="216"/>
      <c r="O1047" s="216"/>
      <c r="P1047" s="216"/>
      <c r="Q1047" s="216"/>
    </row>
    <row r="1048">
      <c r="A1048" s="11"/>
      <c r="B1048" s="98"/>
      <c r="C1048" s="13"/>
      <c r="D1048" s="13"/>
      <c r="E1048" s="13"/>
      <c r="F1048" s="15"/>
      <c r="G1048" s="16"/>
      <c r="H1048" s="227"/>
      <c r="I1048" s="21"/>
      <c r="J1048" s="21"/>
      <c r="K1048" s="216"/>
      <c r="L1048" s="216"/>
      <c r="M1048" s="216"/>
      <c r="N1048" s="216"/>
      <c r="O1048" s="216"/>
      <c r="P1048" s="216"/>
      <c r="Q1048" s="216"/>
    </row>
    <row r="1049">
      <c r="A1049" s="11"/>
      <c r="B1049" s="98"/>
      <c r="C1049" s="13"/>
      <c r="D1049" s="13"/>
      <c r="E1049" s="13"/>
      <c r="F1049" s="15"/>
      <c r="G1049" s="16"/>
      <c r="H1049" s="227"/>
      <c r="I1049" s="21"/>
      <c r="J1049" s="21"/>
      <c r="K1049" s="216"/>
      <c r="L1049" s="216"/>
      <c r="M1049" s="216"/>
      <c r="N1049" s="216"/>
      <c r="O1049" s="216"/>
      <c r="P1049" s="216"/>
      <c r="Q1049" s="216"/>
    </row>
    <row r="1050">
      <c r="A1050" s="11" t="str">
        <f>IFERROR(__xludf.DUMMYFUNCTION("""COMPUTED_VALUE"""),"PAGO")</f>
        <v>PAGO</v>
      </c>
      <c r="B1050" s="98" t="str">
        <f>IFERROR(__xludf.DUMMYFUNCTION("""COMPUTED_VALUE"""),"Entrada mes anterior")</f>
        <v>Entrada mes anterior</v>
      </c>
      <c r="C1050" s="13">
        <f>IFERROR(__xludf.DUMMYFUNCTION("""COMPUTED_VALUE"""),1.0)</f>
        <v>1</v>
      </c>
      <c r="D1050" s="13" t="str">
        <f>IFERROR(__xludf.DUMMYFUNCTION("""COMPUTED_VALUE"""),"QUA.")</f>
        <v>QUA.</v>
      </c>
      <c r="E1050" s="13">
        <f>IFERROR(__xludf.DUMMYFUNCTION("""COMPUTED_VALUE"""),12.0)</f>
        <v>12</v>
      </c>
      <c r="F1050" s="15"/>
      <c r="G1050" s="16">
        <f>IFERROR(__xludf.DUMMYFUNCTION("""COMPUTED_VALUE"""),105.5400000000011)</f>
        <v>105.54</v>
      </c>
      <c r="H1050" s="227"/>
      <c r="I1050" s="21" t="str">
        <f>IFERROR(__xludf.DUMMYFUNCTION("""COMPUTED_VALUE"""),"ITAU")</f>
        <v>ITAU</v>
      </c>
      <c r="J1050" s="21" t="str">
        <f>IFERROR(__xludf.DUMMYFUNCTION("""COMPUTED_VALUE"""),"#Recebimentos #Ajuste #Variavel")</f>
        <v>#Recebimentos #Ajuste #Variavel</v>
      </c>
      <c r="K1050" s="216"/>
      <c r="L1050" s="216"/>
      <c r="M1050" s="216"/>
      <c r="N1050" s="216"/>
      <c r="O1050" s="216"/>
      <c r="P1050" s="216"/>
      <c r="Q1050" s="216"/>
    </row>
    <row r="1051">
      <c r="A1051" s="11" t="str">
        <f>IFERROR(__xludf.DUMMYFUNCTION("""COMPUTED_VALUE"""),"PAGO")</f>
        <v>PAGO</v>
      </c>
      <c r="B1051" s="98" t="str">
        <f>IFERROR(__xludf.DUMMYFUNCTION("""COMPUTED_VALUE"""),"Entrada mes anterior")</f>
        <v>Entrada mes anterior</v>
      </c>
      <c r="C1051" s="13">
        <f>IFERROR(__xludf.DUMMYFUNCTION("""COMPUTED_VALUE"""),1.0)</f>
        <v>1</v>
      </c>
      <c r="D1051" s="13" t="str">
        <f>IFERROR(__xludf.DUMMYFUNCTION("""COMPUTED_VALUE"""),"QUA.")</f>
        <v>QUA.</v>
      </c>
      <c r="E1051" s="13">
        <f>IFERROR(__xludf.DUMMYFUNCTION("""COMPUTED_VALUE"""),12.0)</f>
        <v>12</v>
      </c>
      <c r="F1051" s="15"/>
      <c r="G1051" s="16">
        <f>IFERROR(__xludf.DUMMYFUNCTION("""COMPUTED_VALUE"""),148.72000000000025)</f>
        <v>148.72</v>
      </c>
      <c r="H1051" s="227"/>
      <c r="I1051" s="21" t="str">
        <f>IFERROR(__xludf.DUMMYFUNCTION("""COMPUTED_VALUE"""),"INTER")</f>
        <v>INTER</v>
      </c>
      <c r="J1051" s="21" t="str">
        <f>IFERROR(__xludf.DUMMYFUNCTION("""COMPUTED_VALUE"""),"#Recebimentos #Ajuste #Variavel")</f>
        <v>#Recebimentos #Ajuste #Variavel</v>
      </c>
      <c r="K1051" s="216"/>
      <c r="L1051" s="216"/>
      <c r="M1051" s="216"/>
      <c r="N1051" s="216"/>
      <c r="O1051" s="216"/>
      <c r="P1051" s="216"/>
      <c r="Q1051" s="216"/>
    </row>
    <row r="1052">
      <c r="A1052" s="11" t="str">
        <f>IFERROR(__xludf.DUMMYFUNCTION("""COMPUTED_VALUE"""),"PAGO")</f>
        <v>PAGO</v>
      </c>
      <c r="B1052" s="98" t="str">
        <f>IFERROR(__xludf.DUMMYFUNCTION("""COMPUTED_VALUE"""),"Entrada mes anterior")</f>
        <v>Entrada mes anterior</v>
      </c>
      <c r="C1052" s="13">
        <f>IFERROR(__xludf.DUMMYFUNCTION("""COMPUTED_VALUE"""),1.0)</f>
        <v>1</v>
      </c>
      <c r="D1052" s="13" t="str">
        <f>IFERROR(__xludf.DUMMYFUNCTION("""COMPUTED_VALUE"""),"QUA.")</f>
        <v>QUA.</v>
      </c>
      <c r="E1052" s="13">
        <f>IFERROR(__xludf.DUMMYFUNCTION("""COMPUTED_VALUE"""),12.0)</f>
        <v>12</v>
      </c>
      <c r="F1052" s="15"/>
      <c r="G1052" s="16">
        <f>IFERROR(__xludf.DUMMYFUNCTION("""COMPUTED_VALUE"""),-6.639133687258436E-13)</f>
        <v>0</v>
      </c>
      <c r="H1052" s="227"/>
      <c r="I1052" s="21" t="str">
        <f>IFERROR(__xludf.DUMMYFUNCTION("""COMPUTED_VALUE"""),"INTER-PJ")</f>
        <v>INTER-PJ</v>
      </c>
      <c r="J1052" s="21" t="str">
        <f>IFERROR(__xludf.DUMMYFUNCTION("""COMPUTED_VALUE"""),"#Recebimentos #Ajuste #Variavel")</f>
        <v>#Recebimentos #Ajuste #Variavel</v>
      </c>
      <c r="K1052" s="216"/>
      <c r="L1052" s="216"/>
      <c r="M1052" s="216"/>
      <c r="N1052" s="216"/>
      <c r="O1052" s="216"/>
      <c r="P1052" s="216"/>
      <c r="Q1052" s="216"/>
    </row>
    <row r="1053">
      <c r="A1053" s="11" t="str">
        <f>IFERROR(__xludf.DUMMYFUNCTION("""COMPUTED_VALUE"""),"PAGO")</f>
        <v>PAGO</v>
      </c>
      <c r="B1053" s="98" t="str">
        <f>IFERROR(__xludf.DUMMYFUNCTION("""COMPUTED_VALUE"""),"Entrada mes anterior")</f>
        <v>Entrada mes anterior</v>
      </c>
      <c r="C1053" s="13">
        <f>IFERROR(__xludf.DUMMYFUNCTION("""COMPUTED_VALUE"""),1.0)</f>
        <v>1</v>
      </c>
      <c r="D1053" s="13" t="str">
        <f>IFERROR(__xludf.DUMMYFUNCTION("""COMPUTED_VALUE"""),"QUA.")</f>
        <v>QUA.</v>
      </c>
      <c r="E1053" s="13">
        <f>IFERROR(__xludf.DUMMYFUNCTION("""COMPUTED_VALUE"""),12.0)</f>
        <v>12</v>
      </c>
      <c r="F1053" s="15"/>
      <c r="G1053" s="16">
        <f>IFERROR(__xludf.DUMMYFUNCTION("""COMPUTED_VALUE"""),2697.7000000000007)</f>
        <v>2697.7</v>
      </c>
      <c r="H1053" s="227"/>
      <c r="I1053" s="21" t="str">
        <f>IFERROR(__xludf.DUMMYFUNCTION("""COMPUTED_VALUE"""),"NUBANK")</f>
        <v>NUBANK</v>
      </c>
      <c r="J1053" s="21" t="str">
        <f>IFERROR(__xludf.DUMMYFUNCTION("""COMPUTED_VALUE"""),"#Recebimentos #Ajuste #Variavel")</f>
        <v>#Recebimentos #Ajuste #Variavel</v>
      </c>
      <c r="K1053" s="216"/>
      <c r="L1053" s="216"/>
      <c r="M1053" s="216"/>
      <c r="N1053" s="216"/>
      <c r="O1053" s="216"/>
      <c r="P1053" s="216"/>
      <c r="Q1053" s="216"/>
    </row>
    <row r="1054">
      <c r="A1054" s="11" t="str">
        <f>IFERROR(__xludf.DUMMYFUNCTION("""COMPUTED_VALUE"""),"PAGO")</f>
        <v>PAGO</v>
      </c>
      <c r="B1054" s="98" t="str">
        <f>IFERROR(__xludf.DUMMYFUNCTION("""COMPUTED_VALUE"""),"Entrada mes anterior")</f>
        <v>Entrada mes anterior</v>
      </c>
      <c r="C1054" s="13">
        <f>IFERROR(__xludf.DUMMYFUNCTION("""COMPUTED_VALUE"""),1.0)</f>
        <v>1</v>
      </c>
      <c r="D1054" s="13" t="str">
        <f>IFERROR(__xludf.DUMMYFUNCTION("""COMPUTED_VALUE"""),"QUA.")</f>
        <v>QUA.</v>
      </c>
      <c r="E1054" s="13">
        <f>IFERROR(__xludf.DUMMYFUNCTION("""COMPUTED_VALUE"""),12.0)</f>
        <v>12</v>
      </c>
      <c r="F1054" s="15"/>
      <c r="G1054" s="16">
        <f>IFERROR(__xludf.DUMMYFUNCTION("""COMPUTED_VALUE"""),9.52)</f>
        <v>9.52</v>
      </c>
      <c r="H1054" s="227"/>
      <c r="I1054" s="21" t="str">
        <f>IFERROR(__xludf.DUMMYFUNCTION("""COMPUTED_VALUE"""),"C6BANK")</f>
        <v>C6BANK</v>
      </c>
      <c r="J1054" s="21" t="str">
        <f>IFERROR(__xludf.DUMMYFUNCTION("""COMPUTED_VALUE"""),"#Recebimentos #Ajuste #Variavel")</f>
        <v>#Recebimentos #Ajuste #Variavel</v>
      </c>
      <c r="K1054" s="216"/>
      <c r="L1054" s="216"/>
      <c r="M1054" s="216"/>
      <c r="N1054" s="216"/>
      <c r="O1054" s="216"/>
      <c r="P1054" s="216"/>
      <c r="Q1054" s="216"/>
    </row>
    <row r="1055">
      <c r="A1055" s="11" t="str">
        <f>IFERROR(__xludf.DUMMYFUNCTION("""COMPUTED_VALUE"""),"PAGO")</f>
        <v>PAGO</v>
      </c>
      <c r="B1055" s="98" t="str">
        <f>IFERROR(__xludf.DUMMYFUNCTION("""COMPUTED_VALUE"""),"Entrada mes anterior")</f>
        <v>Entrada mes anterior</v>
      </c>
      <c r="C1055" s="13">
        <f>IFERROR(__xludf.DUMMYFUNCTION("""COMPUTED_VALUE"""),1.0)</f>
        <v>1</v>
      </c>
      <c r="D1055" s="13" t="str">
        <f>IFERROR(__xludf.DUMMYFUNCTION("""COMPUTED_VALUE"""),"QUA.")</f>
        <v>QUA.</v>
      </c>
      <c r="E1055" s="13">
        <f>IFERROR(__xludf.DUMMYFUNCTION("""COMPUTED_VALUE"""),12.0)</f>
        <v>12</v>
      </c>
      <c r="F1055" s="15"/>
      <c r="G1055" s="16">
        <f>IFERROR(__xludf.DUMMYFUNCTION("""COMPUTED_VALUE"""),0.0)</f>
        <v>0</v>
      </c>
      <c r="H1055" s="227"/>
      <c r="I1055" s="21" t="str">
        <f>IFERROR(__xludf.DUMMYFUNCTION("""COMPUTED_VALUE"""),"SANTANDER")</f>
        <v>SANTANDER</v>
      </c>
      <c r="J1055" s="21" t="str">
        <f>IFERROR(__xludf.DUMMYFUNCTION("""COMPUTED_VALUE"""),"#Recebimentos #Ajuste #Variavel")</f>
        <v>#Recebimentos #Ajuste #Variavel</v>
      </c>
      <c r="K1055" s="216"/>
      <c r="L1055" s="216"/>
      <c r="M1055" s="216"/>
      <c r="N1055" s="216"/>
      <c r="O1055" s="216"/>
      <c r="P1055" s="216"/>
      <c r="Q1055" s="216"/>
    </row>
    <row r="1056">
      <c r="A1056" s="11" t="str">
        <f>IFERROR(__xludf.DUMMYFUNCTION("""COMPUTED_VALUE"""),"PAGO")</f>
        <v>PAGO</v>
      </c>
      <c r="B1056" s="98" t="str">
        <f>IFERROR(__xludf.DUMMYFUNCTION("""COMPUTED_VALUE"""),"Entrada mes anterior")</f>
        <v>Entrada mes anterior</v>
      </c>
      <c r="C1056" s="13">
        <f>IFERROR(__xludf.DUMMYFUNCTION("""COMPUTED_VALUE"""),1.0)</f>
        <v>1</v>
      </c>
      <c r="D1056" s="13" t="str">
        <f>IFERROR(__xludf.DUMMYFUNCTION("""COMPUTED_VALUE"""),"QUA.")</f>
        <v>QUA.</v>
      </c>
      <c r="E1056" s="13">
        <f>IFERROR(__xludf.DUMMYFUNCTION("""COMPUTED_VALUE"""),12.0)</f>
        <v>12</v>
      </c>
      <c r="F1056" s="15"/>
      <c r="G1056" s="16">
        <f>IFERROR(__xludf.DUMMYFUNCTION("""COMPUTED_VALUE"""),723.18)</f>
        <v>723.18</v>
      </c>
      <c r="H1056" s="227"/>
      <c r="I1056" s="21" t="str">
        <f>IFERROR(__xludf.DUMMYFUNCTION("""COMPUTED_VALUE"""),"SODEXO-REF-IBM")</f>
        <v>SODEXO-REF-IBM</v>
      </c>
      <c r="J1056" s="21" t="str">
        <f>IFERROR(__xludf.DUMMYFUNCTION("""COMPUTED_VALUE"""),"#Recebimentos #Ajuste #Variavel")</f>
        <v>#Recebimentos #Ajuste #Variavel</v>
      </c>
      <c r="K1056" s="216"/>
      <c r="L1056" s="216"/>
      <c r="M1056" s="216"/>
      <c r="N1056" s="216"/>
      <c r="O1056" s="216"/>
      <c r="P1056" s="216"/>
      <c r="Q1056" s="216"/>
    </row>
    <row r="1057">
      <c r="A1057" s="11" t="str">
        <f>IFERROR(__xludf.DUMMYFUNCTION("""COMPUTED_VALUE"""),"PAGO")</f>
        <v>PAGO</v>
      </c>
      <c r="B1057" s="98" t="str">
        <f>IFERROR(__xludf.DUMMYFUNCTION("""COMPUTED_VALUE"""),"Entrada mes anterior")</f>
        <v>Entrada mes anterior</v>
      </c>
      <c r="C1057" s="13">
        <f>IFERROR(__xludf.DUMMYFUNCTION("""COMPUTED_VALUE"""),1.0)</f>
        <v>1</v>
      </c>
      <c r="D1057" s="13" t="str">
        <f>IFERROR(__xludf.DUMMYFUNCTION("""COMPUTED_VALUE"""),"QUA.")</f>
        <v>QUA.</v>
      </c>
      <c r="E1057" s="13">
        <f>IFERROR(__xludf.DUMMYFUNCTION("""COMPUTED_VALUE"""),12.0)</f>
        <v>12</v>
      </c>
      <c r="F1057" s="15"/>
      <c r="G1057" s="16">
        <f>IFERROR(__xludf.DUMMYFUNCTION("""COMPUTED_VALUE"""),330.98)</f>
        <v>330.98</v>
      </c>
      <c r="H1057" s="227"/>
      <c r="I1057" s="21" t="str">
        <f>IFERROR(__xludf.DUMMYFUNCTION("""COMPUTED_VALUE"""),"SODEXO-ALI-IBM")</f>
        <v>SODEXO-ALI-IBM</v>
      </c>
      <c r="J1057" s="21" t="str">
        <f>IFERROR(__xludf.DUMMYFUNCTION("""COMPUTED_VALUE"""),"#Recebimentos #Ajuste #Variavel")</f>
        <v>#Recebimentos #Ajuste #Variavel</v>
      </c>
      <c r="K1057" s="216"/>
      <c r="L1057" s="216"/>
      <c r="M1057" s="216"/>
      <c r="N1057" s="216"/>
      <c r="O1057" s="216"/>
      <c r="P1057" s="216"/>
      <c r="Q1057" s="216"/>
    </row>
    <row r="1058">
      <c r="A1058" s="11" t="str">
        <f>IFERROR(__xludf.DUMMYFUNCTION("""COMPUTED_VALUE"""),"PAGO")</f>
        <v>PAGO</v>
      </c>
      <c r="B1058" s="98" t="str">
        <f>IFERROR(__xludf.DUMMYFUNCTION("""COMPUTED_VALUE"""),"Mesada Eduardo")</f>
        <v>Mesada Eduardo</v>
      </c>
      <c r="C1058" s="13">
        <f>IFERROR(__xludf.DUMMYFUNCTION("""COMPUTED_VALUE"""),1.0)</f>
        <v>1</v>
      </c>
      <c r="D1058" s="13" t="str">
        <f>IFERROR(__xludf.DUMMYFUNCTION("""COMPUTED_VALUE"""),"QUA.")</f>
        <v>QUA.</v>
      </c>
      <c r="E1058" s="13">
        <f>IFERROR(__xludf.DUMMYFUNCTION("""COMPUTED_VALUE"""),12.0)</f>
        <v>12</v>
      </c>
      <c r="F1058" s="15"/>
      <c r="G1058" s="16"/>
      <c r="H1058" s="227">
        <f>IFERROR(__xludf.DUMMYFUNCTION("""COMPUTED_VALUE"""),50.0)</f>
        <v>50</v>
      </c>
      <c r="I1058" s="21" t="str">
        <f>IFERROR(__xludf.DUMMYFUNCTION("""COMPUTED_VALUE"""),"NUBANK")</f>
        <v>NUBANK</v>
      </c>
      <c r="J1058" s="21" t="str">
        <f>IFERROR(__xludf.DUMMYFUNCTION("""COMPUTED_VALUE"""),"#Mesada #Eduardo #Fixo")</f>
        <v>#Mesada #Eduardo #Fixo</v>
      </c>
      <c r="K1058" s="216"/>
      <c r="L1058" s="216"/>
      <c r="M1058" s="216"/>
      <c r="N1058" s="216"/>
      <c r="O1058" s="216"/>
      <c r="P1058" s="216"/>
      <c r="Q1058" s="216"/>
    </row>
    <row r="1059">
      <c r="A1059" s="11" t="str">
        <f>IFERROR(__xludf.DUMMYFUNCTION("""COMPUTED_VALUE"""),"PAGO")</f>
        <v>PAGO</v>
      </c>
      <c r="B1059" s="98" t="str">
        <f>IFERROR(__xludf.DUMMYFUNCTION("""COMPUTED_VALUE"""),"Agua - DEBITO AUTO")</f>
        <v>Agua - DEBITO AUTO</v>
      </c>
      <c r="C1059" s="13">
        <f>IFERROR(__xludf.DUMMYFUNCTION("""COMPUTED_VALUE"""),1.0)</f>
        <v>1</v>
      </c>
      <c r="D1059" s="13" t="str">
        <f>IFERROR(__xludf.DUMMYFUNCTION("""COMPUTED_VALUE"""),"QUA.")</f>
        <v>QUA.</v>
      </c>
      <c r="E1059" s="13">
        <f>IFERROR(__xludf.DUMMYFUNCTION("""COMPUTED_VALUE"""),12.0)</f>
        <v>12</v>
      </c>
      <c r="F1059" s="15"/>
      <c r="G1059" s="16"/>
      <c r="H1059" s="227">
        <f>IFERROR(__xludf.DUMMYFUNCTION("""COMPUTED_VALUE"""),54.26)</f>
        <v>54.26</v>
      </c>
      <c r="I1059" s="21" t="str">
        <f>IFERROR(__xludf.DUMMYFUNCTION("""COMPUTED_VALUE"""),"ITAU")</f>
        <v>ITAU</v>
      </c>
      <c r="J1059" s="21" t="str">
        <f>IFERROR(__xludf.DUMMYFUNCTION("""COMPUTED_VALUE"""),"#Moradia #Essencial #Agua #Fixo")</f>
        <v>#Moradia #Essencial #Agua #Fixo</v>
      </c>
      <c r="K1059" s="216"/>
      <c r="L1059" s="216"/>
      <c r="M1059" s="216"/>
      <c r="N1059" s="216"/>
      <c r="O1059" s="216"/>
      <c r="P1059" s="216"/>
      <c r="Q1059" s="216"/>
    </row>
    <row r="1060">
      <c r="A1060" s="11" t="str">
        <f>IFERROR(__xludf.DUMMYFUNCTION("""COMPUTED_VALUE"""),"PAGO")</f>
        <v>PAGO</v>
      </c>
      <c r="B1060" s="98" t="str">
        <f>IFERROR(__xludf.DUMMYFUNCTION("""COMPUTED_VALUE"""),"Resgate reserva de oportunidade")</f>
        <v>Resgate reserva de oportunidade</v>
      </c>
      <c r="C1060" s="13">
        <f>IFERROR(__xludf.DUMMYFUNCTION("""COMPUTED_VALUE"""),2.0)</f>
        <v>2</v>
      </c>
      <c r="D1060" s="13" t="str">
        <f>IFERROR(__xludf.DUMMYFUNCTION("""COMPUTED_VALUE"""),"QUI.")</f>
        <v>QUI.</v>
      </c>
      <c r="E1060" s="13">
        <f>IFERROR(__xludf.DUMMYFUNCTION("""COMPUTED_VALUE"""),12.0)</f>
        <v>12</v>
      </c>
      <c r="F1060" s="15"/>
      <c r="G1060" s="16">
        <f>IFERROR(__xludf.DUMMYFUNCTION("""COMPUTED_VALUE"""),2000.0)</f>
        <v>2000</v>
      </c>
      <c r="H1060" s="227"/>
      <c r="I1060" s="21" t="str">
        <f>IFERROR(__xludf.DUMMYFUNCTION("""COMPUTED_VALUE"""),"NUBANK")</f>
        <v>NUBANK</v>
      </c>
      <c r="J1060" s="21" t="str">
        <f>IFERROR(__xludf.DUMMYFUNCTION("""COMPUTED_VALUE"""),"#Resgate #Nubank #Variavel")</f>
        <v>#Resgate #Nubank #Variavel</v>
      </c>
      <c r="K1060" s="216"/>
      <c r="L1060" s="216"/>
      <c r="M1060" s="216"/>
      <c r="N1060" s="216"/>
      <c r="O1060" s="216"/>
      <c r="P1060" s="216"/>
      <c r="Q1060" s="216"/>
    </row>
    <row r="1061">
      <c r="A1061" s="11" t="str">
        <f>IFERROR(__xludf.DUMMYFUNCTION("""COMPUTED_VALUE"""),"PAGO")</f>
        <v>PAGO</v>
      </c>
      <c r="B1061" s="98" t="str">
        <f>IFERROR(__xludf.DUMMYFUNCTION("""COMPUTED_VALUE"""),"Material Uni 2022 - Colegio Evoluti - R$ 1.035,00 (Boleto 5% DESC.)")</f>
        <v>Material Uni 2022 - Colegio Evoluti - R$ 1.035,00 (Boleto 5% DESC.)</v>
      </c>
      <c r="C1061" s="13">
        <f>IFERROR(__xludf.DUMMYFUNCTION("""COMPUTED_VALUE"""),2.0)</f>
        <v>2</v>
      </c>
      <c r="D1061" s="13" t="str">
        <f>IFERROR(__xludf.DUMMYFUNCTION("""COMPUTED_VALUE"""),"QUI.")</f>
        <v>QUI.</v>
      </c>
      <c r="E1061" s="13">
        <f>IFERROR(__xludf.DUMMYFUNCTION("""COMPUTED_VALUE"""),12.0)</f>
        <v>12</v>
      </c>
      <c r="F1061" s="15"/>
      <c r="G1061" s="16"/>
      <c r="H1061" s="227">
        <f>IFERROR(__xludf.DUMMYFUNCTION("""COMPUTED_VALUE"""),983.25)</f>
        <v>983.25</v>
      </c>
      <c r="I1061" s="21" t="str">
        <f>IFERROR(__xludf.DUMMYFUNCTION("""COMPUTED_VALUE"""),"NUBANK")</f>
        <v>NUBANK</v>
      </c>
      <c r="J1061" s="21" t="str">
        <f>IFERROR(__xludf.DUMMYFUNCTION("""COMPUTED_VALUE"""),"#Escola #Eduardo #Variavel #MaterialEscolar")</f>
        <v>#Escola #Eduardo #Variavel #MaterialEscolar</v>
      </c>
      <c r="K1061" s="216"/>
      <c r="L1061" s="216"/>
      <c r="M1061" s="216"/>
      <c r="N1061" s="216"/>
      <c r="O1061" s="216"/>
      <c r="P1061" s="216"/>
      <c r="Q1061" s="216"/>
    </row>
    <row r="1062">
      <c r="A1062" s="11" t="str">
        <f>IFERROR(__xludf.DUMMYFUNCTION("""COMPUTED_VALUE"""),"PAGO")</f>
        <v>PAGO</v>
      </c>
      <c r="B1062" s="98" t="str">
        <f>IFERROR(__xludf.DUMMYFUNCTION("""COMPUTED_VALUE"""),"Rendimento")</f>
        <v>Rendimento</v>
      </c>
      <c r="C1062" s="13">
        <f>IFERROR(__xludf.DUMMYFUNCTION("""COMPUTED_VALUE"""),2.0)</f>
        <v>2</v>
      </c>
      <c r="D1062" s="13" t="str">
        <f>IFERROR(__xludf.DUMMYFUNCTION("""COMPUTED_VALUE"""),"QUI.")</f>
        <v>QUI.</v>
      </c>
      <c r="E1062" s="13">
        <f>IFERROR(__xludf.DUMMYFUNCTION("""COMPUTED_VALUE"""),12.0)</f>
        <v>12</v>
      </c>
      <c r="F1062" s="15"/>
      <c r="G1062" s="16">
        <f>IFERROR(__xludf.DUMMYFUNCTION("""COMPUTED_VALUE"""),10.08)</f>
        <v>10.08</v>
      </c>
      <c r="H1062" s="227"/>
      <c r="I1062" s="21" t="str">
        <f>IFERROR(__xludf.DUMMYFUNCTION("""COMPUTED_VALUE"""),"NUBANK")</f>
        <v>NUBANK</v>
      </c>
      <c r="J1062" s="21" t="str">
        <f>IFERROR(__xludf.DUMMYFUNCTION("""COMPUTED_VALUE"""),"#Recebimentos #Rendimentos #Variavel")</f>
        <v>#Recebimentos #Rendimentos #Variavel</v>
      </c>
      <c r="K1062" s="216"/>
      <c r="L1062" s="216"/>
      <c r="M1062" s="216"/>
      <c r="N1062" s="216"/>
      <c r="O1062" s="216"/>
      <c r="P1062" s="216"/>
      <c r="Q1062" s="216"/>
    </row>
    <row r="1063">
      <c r="A1063" s="11" t="str">
        <f>IFERROR(__xludf.DUMMYFUNCTION("""COMPUTED_VALUE"""),"PAGO")</f>
        <v>PAGO</v>
      </c>
      <c r="B1063" s="98" t="str">
        <f>IFERROR(__xludf.DUMMYFUNCTION("""COMPUTED_VALUE"""),"Rendimento")</f>
        <v>Rendimento</v>
      </c>
      <c r="C1063" s="13">
        <f>IFERROR(__xludf.DUMMYFUNCTION("""COMPUTED_VALUE"""),2.0)</f>
        <v>2</v>
      </c>
      <c r="D1063" s="13" t="str">
        <f>IFERROR(__xludf.DUMMYFUNCTION("""COMPUTED_VALUE"""),"QUI.")</f>
        <v>QUI.</v>
      </c>
      <c r="E1063" s="13">
        <f>IFERROR(__xludf.DUMMYFUNCTION("""COMPUTED_VALUE"""),12.0)</f>
        <v>12</v>
      </c>
      <c r="F1063" s="15"/>
      <c r="G1063" s="16">
        <f>IFERROR(__xludf.DUMMYFUNCTION("""COMPUTED_VALUE"""),0.03)</f>
        <v>0.03</v>
      </c>
      <c r="H1063" s="227"/>
      <c r="I1063" s="21" t="str">
        <f>IFERROR(__xludf.DUMMYFUNCTION("""COMPUTED_VALUE"""),"ITAU")</f>
        <v>ITAU</v>
      </c>
      <c r="J1063" s="21" t="str">
        <f>IFERROR(__xludf.DUMMYFUNCTION("""COMPUTED_VALUE"""),"#Recebimentos #Rendimentos #Variavel")</f>
        <v>#Recebimentos #Rendimentos #Variavel</v>
      </c>
      <c r="K1063" s="216"/>
      <c r="L1063" s="216"/>
      <c r="M1063" s="216"/>
      <c r="N1063" s="216"/>
      <c r="O1063" s="216"/>
      <c r="P1063" s="216"/>
      <c r="Q1063" s="216"/>
    </row>
    <row r="1064">
      <c r="A1064" s="11" t="str">
        <f>IFERROR(__xludf.DUMMYFUNCTION("""COMPUTED_VALUE"""),"PAGO")</f>
        <v>PAGO</v>
      </c>
      <c r="B1064" s="98" t="str">
        <f>IFERROR(__xludf.DUMMYFUNCTION("""COMPUTED_VALUE"""),"Psicologa - Kelley Nascimento (para Roberta) PIX 31993029435")</f>
        <v>Psicologa - Kelley Nascimento (para Roberta) PIX 31993029435</v>
      </c>
      <c r="C1064" s="13">
        <f>IFERROR(__xludf.DUMMYFUNCTION("""COMPUTED_VALUE"""),3.0)</f>
        <v>3</v>
      </c>
      <c r="D1064" s="13" t="str">
        <f>IFERROR(__xludf.DUMMYFUNCTION("""COMPUTED_VALUE"""),"SEX.")</f>
        <v>SEX.</v>
      </c>
      <c r="E1064" s="13">
        <f>IFERROR(__xludf.DUMMYFUNCTION("""COMPUTED_VALUE"""),12.0)</f>
        <v>12</v>
      </c>
      <c r="F1064" s="15">
        <f>IFERROR(__xludf.DUMMYFUNCTION("""COMPUTED_VALUE"""),44531.0)</f>
        <v>44531</v>
      </c>
      <c r="G1064" s="16"/>
      <c r="H1064" s="227">
        <f>IFERROR(__xludf.DUMMYFUNCTION("""COMPUTED_VALUE"""),400.0)</f>
        <v>400</v>
      </c>
      <c r="I1064" s="21" t="str">
        <f>IFERROR(__xludf.DUMMYFUNCTION("""COMPUTED_VALUE"""),"NUBANK")</f>
        <v>NUBANK</v>
      </c>
      <c r="J1064" s="21" t="str">
        <f>IFERROR(__xludf.DUMMYFUNCTION("""COMPUTED_VALUE"""),"#Psicologa #Fixo #Roberta")</f>
        <v>#Psicologa #Fixo #Roberta</v>
      </c>
      <c r="K1064" s="216"/>
      <c r="L1064" s="216"/>
      <c r="M1064" s="216"/>
      <c r="N1064" s="216"/>
      <c r="O1064" s="216"/>
      <c r="P1064" s="216"/>
      <c r="Q1064" s="216"/>
    </row>
    <row r="1065">
      <c r="A1065" s="11" t="str">
        <f>IFERROR(__xludf.DUMMYFUNCTION("""COMPUTED_VALUE"""),"PAGO")</f>
        <v>PAGO</v>
      </c>
      <c r="B1065" s="98" t="str">
        <f>IFERROR(__xludf.DUMMYFUNCTION("""COMPUTED_VALUE"""),"Shibata - clique e retire")</f>
        <v>Shibata - clique e retire</v>
      </c>
      <c r="C1065" s="13">
        <f>IFERROR(__xludf.DUMMYFUNCTION("""COMPUTED_VALUE"""),3.0)</f>
        <v>3</v>
      </c>
      <c r="D1065" s="13" t="str">
        <f>IFERROR(__xludf.DUMMYFUNCTION("""COMPUTED_VALUE"""),"SEX.")</f>
        <v>SEX.</v>
      </c>
      <c r="E1065" s="13">
        <f>IFERROR(__xludf.DUMMYFUNCTION("""COMPUTED_VALUE"""),12.0)</f>
        <v>12</v>
      </c>
      <c r="F1065" s="15"/>
      <c r="G1065" s="16"/>
      <c r="H1065" s="227">
        <f>IFERROR(__xludf.DUMMYFUNCTION("""COMPUTED_VALUE"""),201.16)</f>
        <v>201.16</v>
      </c>
      <c r="I1065" s="21" t="str">
        <f>IFERROR(__xludf.DUMMYFUNCTION("""COMPUTED_VALUE"""),"SODEXO-ALI-IBM")</f>
        <v>SODEXO-ALI-IBM</v>
      </c>
      <c r="J1065" s="21" t="str">
        <f>IFERROR(__xludf.DUMMYFUNCTION("""COMPUTED_VALUE"""),"#Moradia #Essencial #Mercado #Variavel #Alimentação ")</f>
        <v>#Moradia #Essencial #Mercado #Variavel #Alimentação </v>
      </c>
      <c r="K1065" s="216"/>
      <c r="L1065" s="216"/>
      <c r="M1065" s="216"/>
      <c r="N1065" s="216"/>
      <c r="O1065" s="216"/>
      <c r="P1065" s="216"/>
      <c r="Q1065" s="216"/>
    </row>
    <row r="1066">
      <c r="A1066" s="11" t="str">
        <f>IFERROR(__xludf.DUMMYFUNCTION("""COMPUTED_VALUE"""),"PAGO")</f>
        <v>PAGO</v>
      </c>
      <c r="B1066" s="98" t="str">
        <f>IFERROR(__xludf.DUMMYFUNCTION("""COMPUTED_VALUE"""),"Magalu - 2 capas p/ celular - DrKappa")</f>
        <v>Magalu - 2 capas p/ celular - DrKappa</v>
      </c>
      <c r="C1066" s="13">
        <f>IFERROR(__xludf.DUMMYFUNCTION("""COMPUTED_VALUE"""),4.0)</f>
        <v>4</v>
      </c>
      <c r="D1066" s="13" t="str">
        <f>IFERROR(__xludf.DUMMYFUNCTION("""COMPUTED_VALUE"""),"SÁB.")</f>
        <v>SÁB.</v>
      </c>
      <c r="E1066" s="13">
        <f>IFERROR(__xludf.DUMMYFUNCTION("""COMPUTED_VALUE"""),12.0)</f>
        <v>12</v>
      </c>
      <c r="F1066" s="15"/>
      <c r="G1066" s="16"/>
      <c r="H1066" s="227">
        <f>IFERROR(__xludf.DUMMYFUNCTION("""COMPUTED_VALUE"""),77.72)</f>
        <v>77.72</v>
      </c>
      <c r="I1066" s="21" t="str">
        <f>IFERROR(__xludf.DUMMYFUNCTION("""COMPUTED_VALUE"""),"NUBANK")</f>
        <v>NUBANK</v>
      </c>
      <c r="J1066" s="21" t="str">
        <f>IFERROR(__xludf.DUMMYFUNCTION("""COMPUTED_VALUE"""),"#Lazer #Presentes #Cicero #Variavel")</f>
        <v>#Lazer #Presentes #Cicero #Variavel</v>
      </c>
      <c r="K1066" s="216"/>
      <c r="L1066" s="216"/>
      <c r="M1066" s="216"/>
      <c r="N1066" s="216"/>
      <c r="O1066" s="216"/>
      <c r="P1066" s="216"/>
      <c r="Q1066" s="216"/>
    </row>
    <row r="1067">
      <c r="A1067" s="11" t="str">
        <f>IFERROR(__xludf.DUMMYFUNCTION("""COMPUTED_VALUE"""),"PAGO")</f>
        <v>PAGO</v>
      </c>
      <c r="B1067" s="98" t="str">
        <f>IFERROR(__xludf.DUMMYFUNCTION("""COMPUTED_VALUE"""),"Levitar SJC - sorvetes")</f>
        <v>Levitar SJC - sorvetes</v>
      </c>
      <c r="C1067" s="13">
        <f>IFERROR(__xludf.DUMMYFUNCTION("""COMPUTED_VALUE"""),5.0)</f>
        <v>5</v>
      </c>
      <c r="D1067" s="13" t="str">
        <f>IFERROR(__xludf.DUMMYFUNCTION("""COMPUTED_VALUE"""),"DOM.")</f>
        <v>DOM.</v>
      </c>
      <c r="E1067" s="13">
        <f>IFERROR(__xludf.DUMMYFUNCTION("""COMPUTED_VALUE"""),12.0)</f>
        <v>12</v>
      </c>
      <c r="F1067" s="15"/>
      <c r="G1067" s="16"/>
      <c r="H1067" s="227">
        <f>IFERROR(__xludf.DUMMYFUNCTION("""COMPUTED_VALUE"""),48.4)</f>
        <v>48.4</v>
      </c>
      <c r="I1067" s="21" t="str">
        <f>IFERROR(__xludf.DUMMYFUNCTION("""COMPUTED_VALUE"""),"NUBANK")</f>
        <v>NUBANK</v>
      </c>
      <c r="J1067" s="21" t="str">
        <f>IFERROR(__xludf.DUMMYFUNCTION("""COMPUTED_VALUE"""),"#Lazer #Comida #Variavel")</f>
        <v>#Lazer #Comida #Variavel</v>
      </c>
      <c r="K1067" s="216"/>
      <c r="L1067" s="216"/>
      <c r="M1067" s="216"/>
      <c r="N1067" s="216"/>
      <c r="O1067" s="216"/>
      <c r="P1067" s="216"/>
      <c r="Q1067" s="216"/>
    </row>
    <row r="1068">
      <c r="A1068" s="11" t="str">
        <f>IFERROR(__xludf.DUMMYFUNCTION("""COMPUTED_VALUE"""),"PAGO")</f>
        <v>PAGO</v>
      </c>
      <c r="B1068" s="98" t="str">
        <f>IFERROR(__xludf.DUMMYFUNCTION("""COMPUTED_VALUE"""),"Supermercados Máximo")</f>
        <v>Supermercados Máximo</v>
      </c>
      <c r="C1068" s="13">
        <f>IFERROR(__xludf.DUMMYFUNCTION("""COMPUTED_VALUE"""),5.0)</f>
        <v>5</v>
      </c>
      <c r="D1068" s="13" t="str">
        <f>IFERROR(__xludf.DUMMYFUNCTION("""COMPUTED_VALUE"""),"DOM.")</f>
        <v>DOM.</v>
      </c>
      <c r="E1068" s="13">
        <f>IFERROR(__xludf.DUMMYFUNCTION("""COMPUTED_VALUE"""),12.0)</f>
        <v>12</v>
      </c>
      <c r="F1068" s="15"/>
      <c r="G1068" s="16"/>
      <c r="H1068" s="227">
        <f>IFERROR(__xludf.DUMMYFUNCTION("""COMPUTED_VALUE"""),129.57)</f>
        <v>129.57</v>
      </c>
      <c r="I1068" s="21" t="str">
        <f>IFERROR(__xludf.DUMMYFUNCTION("""COMPUTED_VALUE"""),"SODEXO-REF-IBM")</f>
        <v>SODEXO-REF-IBM</v>
      </c>
      <c r="J1068" s="21" t="str">
        <f>IFERROR(__xludf.DUMMYFUNCTION("""COMPUTED_VALUE"""),"#Moradia #Essencial #Mercado #Variavel #Alimentação ")</f>
        <v>#Moradia #Essencial #Mercado #Variavel #Alimentação </v>
      </c>
      <c r="K1068" s="216"/>
      <c r="L1068" s="216"/>
      <c r="M1068" s="216"/>
      <c r="N1068" s="216"/>
      <c r="O1068" s="216"/>
      <c r="P1068" s="216"/>
      <c r="Q1068" s="216"/>
    </row>
    <row r="1069">
      <c r="A1069" s="11" t="str">
        <f>IFERROR(__xludf.DUMMYFUNCTION("""COMPUTED_VALUE"""),"PAGO")</f>
        <v>PAGO</v>
      </c>
      <c r="B1069" s="98" t="str">
        <f>IFERROR(__xludf.DUMMYFUNCTION("""COMPUTED_VALUE"""),"Facillita Passadoria - passar roupas")</f>
        <v>Facillita Passadoria - passar roupas</v>
      </c>
      <c r="C1069" s="13">
        <f>IFERROR(__xludf.DUMMYFUNCTION("""COMPUTED_VALUE"""),6.0)</f>
        <v>6</v>
      </c>
      <c r="D1069" s="13" t="str">
        <f>IFERROR(__xludf.DUMMYFUNCTION("""COMPUTED_VALUE"""),"SEG.")</f>
        <v>SEG.</v>
      </c>
      <c r="E1069" s="13">
        <f>IFERROR(__xludf.DUMMYFUNCTION("""COMPUTED_VALUE"""),12.0)</f>
        <v>12</v>
      </c>
      <c r="F1069" s="15"/>
      <c r="G1069" s="16"/>
      <c r="H1069" s="227">
        <f>IFERROR(__xludf.DUMMYFUNCTION("""COMPUTED_VALUE"""),154.0)</f>
        <v>154</v>
      </c>
      <c r="I1069" s="21" t="str">
        <f>IFERROR(__xludf.DUMMYFUNCTION("""COMPUTED_VALUE"""),"NUBANK")</f>
        <v>NUBANK</v>
      </c>
      <c r="J1069" s="21" t="str">
        <f>IFERROR(__xludf.DUMMYFUNCTION("""COMPUTED_VALUE"""),"#Essencial #Roupas #Passar #Roberta #Variavel")</f>
        <v>#Essencial #Roupas #Passar #Roberta #Variavel</v>
      </c>
      <c r="K1069" s="216"/>
      <c r="L1069" s="216"/>
      <c r="M1069" s="216"/>
      <c r="N1069" s="216"/>
      <c r="O1069" s="216"/>
      <c r="P1069" s="216"/>
      <c r="Q1069" s="216"/>
    </row>
    <row r="1070">
      <c r="A1070" s="11" t="str">
        <f>IFERROR(__xludf.DUMMYFUNCTION("""COMPUTED_VALUE"""),"PAGO")</f>
        <v>PAGO</v>
      </c>
      <c r="B1070" s="98" t="str">
        <f>IFERROR(__xludf.DUMMYFUNCTION("""COMPUTED_VALUE"""),"Aluguel de Itaquera - Joice")</f>
        <v>Aluguel de Itaquera - Joice</v>
      </c>
      <c r="C1070" s="13">
        <f>IFERROR(__xludf.DUMMYFUNCTION("""COMPUTED_VALUE"""),6.0)</f>
        <v>6</v>
      </c>
      <c r="D1070" s="13" t="str">
        <f>IFERROR(__xludf.DUMMYFUNCTION("""COMPUTED_VALUE"""),"SEG.")</f>
        <v>SEG.</v>
      </c>
      <c r="E1070" s="13">
        <f>IFERROR(__xludf.DUMMYFUNCTION("""COMPUTED_VALUE"""),12.0)</f>
        <v>12</v>
      </c>
      <c r="F1070" s="15"/>
      <c r="G1070" s="16">
        <f>IFERROR(__xludf.DUMMYFUNCTION("""COMPUTED_VALUE"""),500.0)</f>
        <v>500</v>
      </c>
      <c r="H1070" s="227"/>
      <c r="I1070" s="21" t="str">
        <f>IFERROR(__xludf.DUMMYFUNCTION("""COMPUTED_VALUE"""),"NUBANK")</f>
        <v>NUBANK</v>
      </c>
      <c r="J1070" s="21" t="str">
        <f>IFERROR(__xludf.DUMMYFUNCTION("""COMPUTED_VALUE"""),"#Recebimentos #Aluguel #Itaquera #Variavel")</f>
        <v>#Recebimentos #Aluguel #Itaquera #Variavel</v>
      </c>
      <c r="K1070" s="216"/>
      <c r="L1070" s="216"/>
      <c r="M1070" s="216"/>
      <c r="N1070" s="216"/>
      <c r="O1070" s="216"/>
      <c r="P1070" s="216"/>
      <c r="Q1070" s="216"/>
    </row>
    <row r="1071">
      <c r="A1071" s="11" t="str">
        <f>IFERROR(__xludf.DUMMYFUNCTION("""COMPUTED_VALUE"""),"PAGO")</f>
        <v>PAGO</v>
      </c>
      <c r="B1071" s="98" t="str">
        <f>IFERROR(__xludf.DUMMYFUNCTION("""COMPUTED_VALUE"""),"Resgate reserva de oportunidade")</f>
        <v>Resgate reserva de oportunidade</v>
      </c>
      <c r="C1071" s="13">
        <f>IFERROR(__xludf.DUMMYFUNCTION("""COMPUTED_VALUE"""),6.0)</f>
        <v>6</v>
      </c>
      <c r="D1071" s="13" t="str">
        <f>IFERROR(__xludf.DUMMYFUNCTION("""COMPUTED_VALUE"""),"SEG.")</f>
        <v>SEG.</v>
      </c>
      <c r="E1071" s="13">
        <f>IFERROR(__xludf.DUMMYFUNCTION("""COMPUTED_VALUE"""),12.0)</f>
        <v>12</v>
      </c>
      <c r="F1071" s="15"/>
      <c r="G1071" s="16">
        <f>IFERROR(__xludf.DUMMYFUNCTION("""COMPUTED_VALUE"""),700.0)</f>
        <v>700</v>
      </c>
      <c r="H1071" s="227"/>
      <c r="I1071" s="21" t="str">
        <f>IFERROR(__xludf.DUMMYFUNCTION("""COMPUTED_VALUE"""),"NUBANK")</f>
        <v>NUBANK</v>
      </c>
      <c r="J1071" s="21" t="str">
        <f>IFERROR(__xludf.DUMMYFUNCTION("""COMPUTED_VALUE"""),"#Resgate #Nubank #Variavel")</f>
        <v>#Resgate #Nubank #Variavel</v>
      </c>
      <c r="K1071" s="216"/>
      <c r="L1071" s="216"/>
      <c r="M1071" s="216"/>
      <c r="N1071" s="216"/>
      <c r="O1071" s="216"/>
      <c r="P1071" s="216"/>
      <c r="Q1071" s="216"/>
    </row>
    <row r="1072">
      <c r="A1072" s="11" t="str">
        <f>IFERROR(__xludf.DUMMYFUNCTION("""COMPUTED_VALUE"""),"CONTAS")</f>
        <v>CONTAS</v>
      </c>
      <c r="B1072" s="98" t="str">
        <f>IFERROR(__xludf.DUMMYFUNCTION("""COMPUTED_VALUE"""),"Transferencia via PIX")</f>
        <v>Transferencia via PIX</v>
      </c>
      <c r="C1072" s="13">
        <f>IFERROR(__xludf.DUMMYFUNCTION("""COMPUTED_VALUE"""),6.0)</f>
        <v>6</v>
      </c>
      <c r="D1072" s="13" t="str">
        <f>IFERROR(__xludf.DUMMYFUNCTION("""COMPUTED_VALUE"""),"SEG.")</f>
        <v>SEG.</v>
      </c>
      <c r="E1072" s="13">
        <f>IFERROR(__xludf.DUMMYFUNCTION("""COMPUTED_VALUE"""),12.0)</f>
        <v>12</v>
      </c>
      <c r="F1072" s="15"/>
      <c r="G1072" s="16"/>
      <c r="H1072" s="227">
        <f>IFERROR(__xludf.DUMMYFUNCTION("""COMPUTED_VALUE"""),750.0)</f>
        <v>750</v>
      </c>
      <c r="I1072" s="21" t="str">
        <f>IFERROR(__xludf.DUMMYFUNCTION("""COMPUTED_VALUE"""),"NUBANK")</f>
        <v>NUBANK</v>
      </c>
      <c r="J1072" s="21"/>
      <c r="K1072" s="216"/>
      <c r="L1072" s="216"/>
      <c r="M1072" s="216"/>
      <c r="N1072" s="216"/>
      <c r="O1072" s="216"/>
      <c r="P1072" s="216"/>
      <c r="Q1072" s="216"/>
    </row>
    <row r="1073">
      <c r="A1073" s="11" t="str">
        <f>IFERROR(__xludf.DUMMYFUNCTION("""COMPUTED_VALUE"""),"CONTAS")</f>
        <v>CONTAS</v>
      </c>
      <c r="B1073" s="98" t="str">
        <f>IFERROR(__xludf.DUMMYFUNCTION("""COMPUTED_VALUE"""),"Recebimento via PIX")</f>
        <v>Recebimento via PIX</v>
      </c>
      <c r="C1073" s="13">
        <f>IFERROR(__xludf.DUMMYFUNCTION("""COMPUTED_VALUE"""),6.0)</f>
        <v>6</v>
      </c>
      <c r="D1073" s="13" t="str">
        <f>IFERROR(__xludf.DUMMYFUNCTION("""COMPUTED_VALUE"""),"SEG.")</f>
        <v>SEG.</v>
      </c>
      <c r="E1073" s="13">
        <f>IFERROR(__xludf.DUMMYFUNCTION("""COMPUTED_VALUE"""),12.0)</f>
        <v>12</v>
      </c>
      <c r="F1073" s="15"/>
      <c r="G1073" s="16">
        <f>IFERROR(__xludf.DUMMYFUNCTION("""COMPUTED_VALUE"""),750.0)</f>
        <v>750</v>
      </c>
      <c r="H1073" s="227"/>
      <c r="I1073" s="21" t="str">
        <f>IFERROR(__xludf.DUMMYFUNCTION("""COMPUTED_VALUE"""),"INTER")</f>
        <v>INTER</v>
      </c>
      <c r="J1073" s="21"/>
      <c r="K1073" s="216"/>
      <c r="L1073" s="216"/>
      <c r="M1073" s="216"/>
      <c r="N1073" s="216"/>
      <c r="O1073" s="216"/>
      <c r="P1073" s="216"/>
      <c r="Q1073" s="216"/>
    </row>
    <row r="1074">
      <c r="A1074" s="11" t="str">
        <f>IFERROR(__xludf.DUMMYFUNCTION("""COMPUTED_VALUE"""),"PAGO")</f>
        <v>PAGO</v>
      </c>
      <c r="B1074" s="98" t="str">
        <f>IFERROR(__xludf.DUMMYFUNCTION("""COMPUTED_VALUE"""),"Compra no app Banco Inter x Ponto - Microondas Midea Grill 30L")</f>
        <v>Compra no app Banco Inter x Ponto - Microondas Midea Grill 30L</v>
      </c>
      <c r="C1074" s="13">
        <f>IFERROR(__xludf.DUMMYFUNCTION("""COMPUTED_VALUE"""),6.0)</f>
        <v>6</v>
      </c>
      <c r="D1074" s="13" t="str">
        <f>IFERROR(__xludf.DUMMYFUNCTION("""COMPUTED_VALUE"""),"SEG.")</f>
        <v>SEG.</v>
      </c>
      <c r="E1074" s="13">
        <f>IFERROR(__xludf.DUMMYFUNCTION("""COMPUTED_VALUE"""),12.0)</f>
        <v>12</v>
      </c>
      <c r="F1074" s="15"/>
      <c r="G1074" s="16"/>
      <c r="H1074" s="227">
        <f>IFERROR(__xludf.DUMMYFUNCTION("""COMPUTED_VALUE"""),751.37)</f>
        <v>751.37</v>
      </c>
      <c r="I1074" s="21" t="str">
        <f>IFERROR(__xludf.DUMMYFUNCTION("""COMPUTED_VALUE"""),"INTER")</f>
        <v>INTER</v>
      </c>
      <c r="J1074" s="21" t="str">
        <f>IFERROR(__xludf.DUMMYFUNCTION("""COMPUTED_VALUE"""),"#Moradia #Cozinha #Lazer #Presentes #Variavel")</f>
        <v>#Moradia #Cozinha #Lazer #Presentes #Variavel</v>
      </c>
      <c r="K1074" s="216"/>
      <c r="L1074" s="216"/>
      <c r="M1074" s="216"/>
      <c r="N1074" s="216"/>
      <c r="O1074" s="216"/>
      <c r="P1074" s="216"/>
      <c r="Q1074" s="216"/>
    </row>
    <row r="1075">
      <c r="A1075" s="11" t="str">
        <f>IFERROR(__xludf.DUMMYFUNCTION("""COMPUTED_VALUE"""),"PAGO")</f>
        <v>PAGO</v>
      </c>
      <c r="B1075" s="98" t="str">
        <f>IFERROR(__xludf.DUMMYFUNCTION("""COMPUTED_VALUE"""),"Cashback - Compra no app Banco Inter - Microondas Midea Grill 30L")</f>
        <v>Cashback - Compra no app Banco Inter - Microondas Midea Grill 30L</v>
      </c>
      <c r="C1075" s="13">
        <f>IFERROR(__xludf.DUMMYFUNCTION("""COMPUTED_VALUE"""),6.0)</f>
        <v>6</v>
      </c>
      <c r="D1075" s="13" t="str">
        <f>IFERROR(__xludf.DUMMYFUNCTION("""COMPUTED_VALUE"""),"SEG.")</f>
        <v>SEG.</v>
      </c>
      <c r="E1075" s="13">
        <f>IFERROR(__xludf.DUMMYFUNCTION("""COMPUTED_VALUE"""),12.0)</f>
        <v>12</v>
      </c>
      <c r="F1075" s="15"/>
      <c r="G1075" s="16">
        <f>IFERROR(__xludf.DUMMYFUNCTION("""COMPUTED_VALUE"""),81.29)</f>
        <v>81.29</v>
      </c>
      <c r="H1075" s="227"/>
      <c r="I1075" s="21" t="str">
        <f>IFERROR(__xludf.DUMMYFUNCTION("""COMPUTED_VALUE"""),"INTER")</f>
        <v>INTER</v>
      </c>
      <c r="J1075" s="21" t="str">
        <f>IFERROR(__xludf.DUMMYFUNCTION("""COMPUTED_VALUE"""),"#Recebimentos #Cashback #Variavel")</f>
        <v>#Recebimentos #Cashback #Variavel</v>
      </c>
      <c r="K1075" s="216"/>
      <c r="L1075" s="216"/>
      <c r="M1075" s="216"/>
      <c r="N1075" s="216"/>
      <c r="O1075" s="216"/>
      <c r="P1075" s="216"/>
      <c r="Q1075" s="216"/>
    </row>
    <row r="1076">
      <c r="A1076" s="11" t="str">
        <f>IFERROR(__xludf.DUMMYFUNCTION("""COMPUTED_VALUE"""),"PAGO")</f>
        <v>PAGO</v>
      </c>
      <c r="B1076" s="98" t="str">
        <f>IFERROR(__xludf.DUMMYFUNCTION("""COMPUTED_VALUE"""),"Resgate reserva de oportunidade")</f>
        <v>Resgate reserva de oportunidade</v>
      </c>
      <c r="C1076" s="13">
        <f>IFERROR(__xludf.DUMMYFUNCTION("""COMPUTED_VALUE"""),6.0)</f>
        <v>6</v>
      </c>
      <c r="D1076" s="13" t="str">
        <f>IFERROR(__xludf.DUMMYFUNCTION("""COMPUTED_VALUE"""),"SEG.")</f>
        <v>SEG.</v>
      </c>
      <c r="E1076" s="13">
        <f>IFERROR(__xludf.DUMMYFUNCTION("""COMPUTED_VALUE"""),12.0)</f>
        <v>12</v>
      </c>
      <c r="F1076" s="15"/>
      <c r="G1076" s="16">
        <f>IFERROR(__xludf.DUMMYFUNCTION("""COMPUTED_VALUE"""),50.0)</f>
        <v>50</v>
      </c>
      <c r="H1076" s="227"/>
      <c r="I1076" s="21" t="str">
        <f>IFERROR(__xludf.DUMMYFUNCTION("""COMPUTED_VALUE"""),"NUBANK")</f>
        <v>NUBANK</v>
      </c>
      <c r="J1076" s="21" t="str">
        <f>IFERROR(__xludf.DUMMYFUNCTION("""COMPUTED_VALUE"""),"#Resgate #Nubank #Variavel")</f>
        <v>#Resgate #Nubank #Variavel</v>
      </c>
      <c r="K1076" s="216"/>
      <c r="L1076" s="216"/>
      <c r="M1076" s="216"/>
      <c r="N1076" s="216"/>
      <c r="O1076" s="216"/>
      <c r="P1076" s="216"/>
      <c r="Q1076" s="216"/>
    </row>
    <row r="1077">
      <c r="A1077" s="11" t="str">
        <f>IFERROR(__xludf.DUMMYFUNCTION("""COMPUTED_VALUE"""),"PAGO")</f>
        <v>PAGO</v>
      </c>
      <c r="B1077" s="98" t="str">
        <f>IFERROR(__xludf.DUMMYFUNCTION("""COMPUTED_VALUE"""),"Transferencia via PIX - Roberta (aluguel)")</f>
        <v>Transferencia via PIX - Roberta (aluguel)</v>
      </c>
      <c r="C1077" s="13">
        <f>IFERROR(__xludf.DUMMYFUNCTION("""COMPUTED_VALUE"""),6.0)</f>
        <v>6</v>
      </c>
      <c r="D1077" s="13" t="str">
        <f>IFERROR(__xludf.DUMMYFUNCTION("""COMPUTED_VALUE"""),"SEG.")</f>
        <v>SEG.</v>
      </c>
      <c r="E1077" s="13">
        <f>IFERROR(__xludf.DUMMYFUNCTION("""COMPUTED_VALUE"""),12.0)</f>
        <v>12</v>
      </c>
      <c r="F1077" s="15"/>
      <c r="G1077" s="16"/>
      <c r="H1077" s="227">
        <f>IFERROR(__xludf.DUMMYFUNCTION("""COMPUTED_VALUE"""),500.0)</f>
        <v>500</v>
      </c>
      <c r="I1077" s="21" t="str">
        <f>IFERROR(__xludf.DUMMYFUNCTION("""COMPUTED_VALUE"""),"NUBANK")</f>
        <v>NUBANK</v>
      </c>
      <c r="J1077" s="21" t="str">
        <f>IFERROR(__xludf.DUMMYFUNCTION("""COMPUTED_VALUE"""),"#Roberta #Aluguel #Itaquera #Variavel")</f>
        <v>#Roberta #Aluguel #Itaquera #Variavel</v>
      </c>
      <c r="K1077" s="216"/>
      <c r="L1077" s="216"/>
      <c r="M1077" s="216"/>
      <c r="N1077" s="216"/>
      <c r="O1077" s="216"/>
      <c r="P1077" s="216"/>
      <c r="Q1077" s="216"/>
    </row>
    <row r="1078">
      <c r="A1078" s="11" t="str">
        <f>IFERROR(__xludf.DUMMYFUNCTION("""COMPUTED_VALUE"""),"PAGO")</f>
        <v>PAGO</v>
      </c>
      <c r="B1078" s="98" t="str">
        <f>IFERROR(__xludf.DUMMYFUNCTION("""COMPUTED_VALUE"""),"Cartao Roberta")</f>
        <v>Cartao Roberta</v>
      </c>
      <c r="C1078" s="13">
        <f>IFERROR(__xludf.DUMMYFUNCTION("""COMPUTED_VALUE"""),8.0)</f>
        <v>8</v>
      </c>
      <c r="D1078" s="13" t="str">
        <f>IFERROR(__xludf.DUMMYFUNCTION("""COMPUTED_VALUE"""),"QUA.")</f>
        <v>QUA.</v>
      </c>
      <c r="E1078" s="13">
        <f>IFERROR(__xludf.DUMMYFUNCTION("""COMPUTED_VALUE"""),12.0)</f>
        <v>12</v>
      </c>
      <c r="F1078" s="15"/>
      <c r="G1078" s="16"/>
      <c r="H1078" s="227">
        <f>IFERROR(__xludf.DUMMYFUNCTION("""COMPUTED_VALUE"""),239.4)</f>
        <v>239.4</v>
      </c>
      <c r="I1078" s="21" t="str">
        <f>IFERROR(__xludf.DUMMYFUNCTION("""COMPUTED_VALUE"""),"NUBANK")</f>
        <v>NUBANK</v>
      </c>
      <c r="J1078" s="21"/>
      <c r="K1078" s="216"/>
      <c r="L1078" s="216"/>
      <c r="M1078" s="216"/>
      <c r="N1078" s="216"/>
      <c r="O1078" s="216"/>
      <c r="P1078" s="216"/>
      <c r="Q1078" s="216"/>
    </row>
    <row r="1079">
      <c r="A1079" s="11" t="str">
        <f>IFERROR(__xludf.DUMMYFUNCTION("""COMPUTED_VALUE"""),"CREDITO")</f>
        <v>CREDITO</v>
      </c>
      <c r="B1079" s="98" t="str">
        <f>IFERROR(__xludf.DUMMYFUNCTION("""COMPUTED_VALUE"""),"SPITI DIVERSOS .SAO PAULO")</f>
        <v>SPITI DIVERSOS .SAO PAULO</v>
      </c>
      <c r="C1079" s="13"/>
      <c r="D1079" s="13"/>
      <c r="E1079" s="13">
        <f>IFERROR(__xludf.DUMMYFUNCTION("""COMPUTED_VALUE"""),12.0)</f>
        <v>12</v>
      </c>
      <c r="F1079" s="15">
        <f>IFERROR(__xludf.DUMMYFUNCTION("""COMPUTED_VALUE"""),44501.0)</f>
        <v>44501</v>
      </c>
      <c r="G1079" s="16"/>
      <c r="H1079" s="227">
        <f>IFERROR(__xludf.DUMMYFUNCTION("""COMPUTED_VALUE"""),1.0)</f>
        <v>1</v>
      </c>
      <c r="I1079" s="21"/>
      <c r="J1079" s="21" t="str">
        <f>IFERROR(__xludf.DUMMYFUNCTION("""COMPUTED_VALUE"""),"#CartaoDeCredito #Roberta #Variavel")</f>
        <v>#CartaoDeCredito #Roberta #Variavel</v>
      </c>
      <c r="K1079" s="216"/>
      <c r="L1079" s="216"/>
      <c r="M1079" s="216"/>
      <c r="N1079" s="216"/>
      <c r="O1079" s="216"/>
      <c r="P1079" s="216"/>
      <c r="Q1079" s="216"/>
    </row>
    <row r="1080">
      <c r="A1080" s="11" t="str">
        <f>IFERROR(__xludf.DUMMYFUNCTION("""COMPUTED_VALUE"""),"CREDITO")</f>
        <v>CREDITO</v>
      </c>
      <c r="B1080" s="98" t="str">
        <f>IFERROR(__xludf.DUMMYFUNCTION("""COMPUTED_VALUE"""),"INSTITUTO MIX SJC 01/10 EDUCACAO. CURSO DE CONFEITARIA 01/10")</f>
        <v>INSTITUTO MIX SJC 01/10 EDUCACAO. CURSO DE CONFEITARIA 01/10</v>
      </c>
      <c r="C1080" s="13"/>
      <c r="D1080" s="13"/>
      <c r="E1080" s="13">
        <f>IFERROR(__xludf.DUMMYFUNCTION("""COMPUTED_VALUE"""),12.0)</f>
        <v>12</v>
      </c>
      <c r="F1080" s="15">
        <f>IFERROR(__xludf.DUMMYFUNCTION("""COMPUTED_VALUE"""),44511.0)</f>
        <v>44511</v>
      </c>
      <c r="G1080" s="16"/>
      <c r="H1080" s="227">
        <f>IFERROR(__xludf.DUMMYFUNCTION("""COMPUTED_VALUE"""),223.38)</f>
        <v>223.38</v>
      </c>
      <c r="I1080" s="21"/>
      <c r="J1080" s="21" t="str">
        <f>IFERROR(__xludf.DUMMYFUNCTION("""COMPUTED_VALUE"""),"#CartaoDeCredito #Roberta #Cursos #Variavel")</f>
        <v>#CartaoDeCredito #Roberta #Cursos #Variavel</v>
      </c>
      <c r="K1080" s="216"/>
      <c r="L1080" s="216"/>
      <c r="M1080" s="216"/>
      <c r="N1080" s="216"/>
      <c r="O1080" s="216"/>
      <c r="P1080" s="216"/>
      <c r="Q1080" s="216"/>
    </row>
    <row r="1081">
      <c r="A1081" s="11" t="str">
        <f>IFERROR(__xludf.DUMMYFUNCTION("""COMPUTED_VALUE"""),"CREDITO")</f>
        <v>CREDITO</v>
      </c>
      <c r="B1081" s="98" t="str">
        <f>IFERROR(__xludf.DUMMYFUNCTION("""COMPUTED_VALUE"""),"SEGURO RESIDENCIAL ITAU")</f>
        <v>SEGURO RESIDENCIAL ITAU</v>
      </c>
      <c r="C1081" s="13"/>
      <c r="D1081" s="13"/>
      <c r="E1081" s="13">
        <f>IFERROR(__xludf.DUMMYFUNCTION("""COMPUTED_VALUE"""),12.0)</f>
        <v>12</v>
      </c>
      <c r="F1081" s="15">
        <f>IFERROR(__xludf.DUMMYFUNCTION("""COMPUTED_VALUE"""),44518.0)</f>
        <v>44518</v>
      </c>
      <c r="G1081" s="16"/>
      <c r="H1081" s="227">
        <f>IFERROR(__xludf.DUMMYFUNCTION("""COMPUTED_VALUE"""),15.02)</f>
        <v>15.02</v>
      </c>
      <c r="I1081" s="21"/>
      <c r="J1081" s="21" t="str">
        <f>IFERROR(__xludf.DUMMYFUNCTION("""COMPUTED_VALUE"""),"#CartaoDeCredito #Roberta #Essencial #Fixo #Moradia")</f>
        <v>#CartaoDeCredito #Roberta #Essencial #Fixo #Moradia</v>
      </c>
      <c r="K1081" s="216"/>
      <c r="L1081" s="216"/>
      <c r="M1081" s="216"/>
      <c r="N1081" s="216"/>
      <c r="O1081" s="216"/>
      <c r="P1081" s="216"/>
      <c r="Q1081" s="216"/>
    </row>
    <row r="1082">
      <c r="A1082" s="11" t="str">
        <f>IFERROR(__xludf.DUMMYFUNCTION("""COMPUTED_VALUE"""),"PAGO")</f>
        <v>PAGO</v>
      </c>
      <c r="B1082" s="98" t="str">
        <f>IFERROR(__xludf.DUMMYFUNCTION("""COMPUTED_VALUE"""),"Convenio Sr. Antonio - São Cristovão")</f>
        <v>Convenio Sr. Antonio - São Cristovão</v>
      </c>
      <c r="C1082" s="13">
        <f>IFERROR(__xludf.DUMMYFUNCTION("""COMPUTED_VALUE"""),8.0)</f>
        <v>8</v>
      </c>
      <c r="D1082" s="13" t="str">
        <f>IFERROR(__xludf.DUMMYFUNCTION("""COMPUTED_VALUE"""),"QUA.")</f>
        <v>QUA.</v>
      </c>
      <c r="E1082" s="13">
        <f>IFERROR(__xludf.DUMMYFUNCTION("""COMPUTED_VALUE"""),12.0)</f>
        <v>12</v>
      </c>
      <c r="F1082" s="15"/>
      <c r="G1082" s="16"/>
      <c r="H1082" s="227">
        <f>IFERROR(__xludf.DUMMYFUNCTION("""COMPUTED_VALUE"""),495.76)</f>
        <v>495.76</v>
      </c>
      <c r="I1082" s="21" t="str">
        <f>IFERROR(__xludf.DUMMYFUNCTION("""COMPUTED_VALUE"""),"NUBANK")</f>
        <v>NUBANK</v>
      </c>
      <c r="J1082" s="21" t="str">
        <f>IFERROR(__xludf.DUMMYFUNCTION("""COMPUTED_VALUE"""),"#Essencial #Saude #Convenio #Papai #Fixo")</f>
        <v>#Essencial #Saude #Convenio #Papai #Fixo</v>
      </c>
      <c r="K1082" s="216"/>
      <c r="L1082" s="216"/>
      <c r="M1082" s="216"/>
      <c r="N1082" s="216"/>
      <c r="O1082" s="216"/>
      <c r="P1082" s="216"/>
      <c r="Q1082" s="216"/>
    </row>
    <row r="1083">
      <c r="A1083" s="11" t="str">
        <f>IFERROR(__xludf.DUMMYFUNCTION("""COMPUTED_VALUE"""),"PAGO")</f>
        <v>PAGO</v>
      </c>
      <c r="B1083" s="98" t="str">
        <f>IFERROR(__xludf.DUMMYFUNCTION("""COMPUTED_VALUE"""),"Fatura VIVOFIBRA INTERNET")</f>
        <v>Fatura VIVOFIBRA INTERNET</v>
      </c>
      <c r="C1083" s="13">
        <f>IFERROR(__xludf.DUMMYFUNCTION("""COMPUTED_VALUE"""),8.0)</f>
        <v>8</v>
      </c>
      <c r="D1083" s="13" t="str">
        <f>IFERROR(__xludf.DUMMYFUNCTION("""COMPUTED_VALUE"""),"QUA.")</f>
        <v>QUA.</v>
      </c>
      <c r="E1083" s="13">
        <f>IFERROR(__xludf.DUMMYFUNCTION("""COMPUTED_VALUE"""),12.0)</f>
        <v>12</v>
      </c>
      <c r="F1083" s="15">
        <f>IFERROR(__xludf.DUMMYFUNCTION("""COMPUTED_VALUE"""),44532.0)</f>
        <v>44532</v>
      </c>
      <c r="G1083" s="16"/>
      <c r="H1083" s="227">
        <f>IFERROR(__xludf.DUMMYFUNCTION("""COMPUTED_VALUE"""),107.09)</f>
        <v>107.09</v>
      </c>
      <c r="I1083" s="21" t="str">
        <f>IFERROR(__xludf.DUMMYFUNCTION("""COMPUTED_VALUE"""),"INTER")</f>
        <v>INTER</v>
      </c>
      <c r="J1083" s="21" t="str">
        <f>IFERROR(__xludf.DUMMYFUNCTION("""COMPUTED_VALUE"""),"#Essencial #Internet #Fixo ")</f>
        <v>#Essencial #Internet #Fixo </v>
      </c>
      <c r="K1083" s="216"/>
      <c r="L1083" s="216"/>
      <c r="M1083" s="216"/>
      <c r="N1083" s="216"/>
      <c r="O1083" s="216"/>
      <c r="P1083" s="216"/>
      <c r="Q1083" s="216"/>
    </row>
    <row r="1084">
      <c r="A1084" s="11" t="str">
        <f>IFERROR(__xludf.DUMMYFUNCTION("""COMPUTED_VALUE"""),"PAGO")</f>
        <v>PAGO</v>
      </c>
      <c r="B1084" s="98" t="str">
        <f>IFERROR(__xludf.DUMMYFUNCTION("""COMPUTED_VALUE"""),"Fatura VIVOFIBRA NETFLIX")</f>
        <v>Fatura VIVOFIBRA NETFLIX</v>
      </c>
      <c r="C1084" s="13">
        <f>IFERROR(__xludf.DUMMYFUNCTION("""COMPUTED_VALUE"""),8.0)</f>
        <v>8</v>
      </c>
      <c r="D1084" s="13" t="str">
        <f>IFERROR(__xludf.DUMMYFUNCTION("""COMPUTED_VALUE"""),"QUA.")</f>
        <v>QUA.</v>
      </c>
      <c r="E1084" s="13">
        <f>IFERROR(__xludf.DUMMYFUNCTION("""COMPUTED_VALUE"""),12.0)</f>
        <v>12</v>
      </c>
      <c r="F1084" s="15">
        <f>IFERROR(__xludf.DUMMYFUNCTION("""COMPUTED_VALUE"""),44532.0)</f>
        <v>44532</v>
      </c>
      <c r="G1084" s="16"/>
      <c r="H1084" s="227">
        <f>IFERROR(__xludf.DUMMYFUNCTION("""COMPUTED_VALUE"""),32.9)</f>
        <v>32.9</v>
      </c>
      <c r="I1084" s="21" t="str">
        <f>IFERROR(__xludf.DUMMYFUNCTION("""COMPUTED_VALUE"""),"INTER")</f>
        <v>INTER</v>
      </c>
      <c r="J1084" s="21" t="str">
        <f>IFERROR(__xludf.DUMMYFUNCTION("""COMPUTED_VALUE"""),"#Essencial #Streaming #Fixo ")</f>
        <v>#Essencial #Streaming #Fixo </v>
      </c>
      <c r="K1084" s="216"/>
      <c r="L1084" s="216"/>
      <c r="M1084" s="216"/>
      <c r="N1084" s="216"/>
      <c r="O1084" s="216"/>
      <c r="P1084" s="216"/>
      <c r="Q1084" s="216"/>
    </row>
    <row r="1085">
      <c r="A1085" s="11" t="str">
        <f>IFERROR(__xludf.DUMMYFUNCTION("""COMPUTED_VALUE"""),"PAGO")</f>
        <v>PAGO</v>
      </c>
      <c r="B1085" s="98" t="str">
        <f>IFERROR(__xludf.DUMMYFUNCTION("""COMPUTED_VALUE"""),"Material Escolar 2022 - Colegio Evoluti")</f>
        <v>Material Escolar 2022 - Colegio Evoluti</v>
      </c>
      <c r="C1085" s="13">
        <f>IFERROR(__xludf.DUMMYFUNCTION("""COMPUTED_VALUE"""),9.0)</f>
        <v>9</v>
      </c>
      <c r="D1085" s="13" t="str">
        <f>IFERROR(__xludf.DUMMYFUNCTION("""COMPUTED_VALUE"""),"QUI.")</f>
        <v>QUI.</v>
      </c>
      <c r="E1085" s="13">
        <f>IFERROR(__xludf.DUMMYFUNCTION("""COMPUTED_VALUE"""),12.0)</f>
        <v>12</v>
      </c>
      <c r="F1085" s="15"/>
      <c r="G1085" s="16"/>
      <c r="H1085" s="227">
        <f>IFERROR(__xludf.DUMMYFUNCTION("""COMPUTED_VALUE"""),37.75)</f>
        <v>37.75</v>
      </c>
      <c r="I1085" s="21" t="str">
        <f>IFERROR(__xludf.DUMMYFUNCTION("""COMPUTED_VALUE"""),"INTER")</f>
        <v>INTER</v>
      </c>
      <c r="J1085" s="21" t="str">
        <f>IFERROR(__xludf.DUMMYFUNCTION("""COMPUTED_VALUE"""),"#Escola #Eduardo #Variavel #MaterialEscolar")</f>
        <v>#Escola #Eduardo #Variavel #MaterialEscolar</v>
      </c>
      <c r="K1085" s="216"/>
      <c r="L1085" s="216"/>
      <c r="M1085" s="216"/>
      <c r="N1085" s="216"/>
      <c r="O1085" s="216"/>
      <c r="P1085" s="216"/>
      <c r="Q1085" s="216"/>
    </row>
    <row r="1086">
      <c r="A1086" s="11" t="str">
        <f>IFERROR(__xludf.DUMMYFUNCTION("""COMPUTED_VALUE"""),"PAGO")</f>
        <v>PAGO</v>
      </c>
      <c r="B1086" s="98" t="str">
        <f>IFERROR(__xludf.DUMMYFUNCTION("""COMPUTED_VALUE"""),"Resgate reserva de oportunidade")</f>
        <v>Resgate reserva de oportunidade</v>
      </c>
      <c r="C1086" s="13">
        <f>IFERROR(__xludf.DUMMYFUNCTION("""COMPUTED_VALUE"""),10.0)</f>
        <v>10</v>
      </c>
      <c r="D1086" s="13" t="str">
        <f>IFERROR(__xludf.DUMMYFUNCTION("""COMPUTED_VALUE"""),"SEX.")</f>
        <v>SEX.</v>
      </c>
      <c r="E1086" s="13">
        <f>IFERROR(__xludf.DUMMYFUNCTION("""COMPUTED_VALUE"""),12.0)</f>
        <v>12</v>
      </c>
      <c r="F1086" s="15"/>
      <c r="G1086" s="16">
        <f>IFERROR(__xludf.DUMMYFUNCTION("""COMPUTED_VALUE"""),200.0)</f>
        <v>200</v>
      </c>
      <c r="H1086" s="227"/>
      <c r="I1086" s="21" t="str">
        <f>IFERROR(__xludf.DUMMYFUNCTION("""COMPUTED_VALUE"""),"NUBANK")</f>
        <v>NUBANK</v>
      </c>
      <c r="J1086" s="21" t="str">
        <f>IFERROR(__xludf.DUMMYFUNCTION("""COMPUTED_VALUE"""),"#Resgate #Nubank #Variavel")</f>
        <v>#Resgate #Nubank #Variavel</v>
      </c>
      <c r="K1086" s="216"/>
      <c r="L1086" s="216"/>
      <c r="M1086" s="216"/>
      <c r="N1086" s="216"/>
      <c r="O1086" s="216"/>
      <c r="P1086" s="216"/>
      <c r="Q1086" s="216"/>
    </row>
    <row r="1087">
      <c r="A1087" s="11" t="str">
        <f>IFERROR(__xludf.DUMMYFUNCTION("""COMPUTED_VALUE"""),"PAGO")</f>
        <v>PAGO</v>
      </c>
      <c r="B1087" s="98" t="str">
        <f>IFERROR(__xludf.DUMMYFUNCTION("""COMPUTED_VALUE"""),"Colégio Evoluti SJC")</f>
        <v>Colégio Evoluti SJC</v>
      </c>
      <c r="C1087" s="13">
        <f>IFERROR(__xludf.DUMMYFUNCTION("""COMPUTED_VALUE"""),10.0)</f>
        <v>10</v>
      </c>
      <c r="D1087" s="13" t="str">
        <f>IFERROR(__xludf.DUMMYFUNCTION("""COMPUTED_VALUE"""),"SEX.")</f>
        <v>SEX.</v>
      </c>
      <c r="E1087" s="13">
        <f>IFERROR(__xludf.DUMMYFUNCTION("""COMPUTED_VALUE"""),12.0)</f>
        <v>12</v>
      </c>
      <c r="F1087" s="15">
        <f>IFERROR(__xludf.DUMMYFUNCTION("""COMPUTED_VALUE"""),44532.0)</f>
        <v>44532</v>
      </c>
      <c r="G1087" s="16"/>
      <c r="H1087" s="227">
        <f>IFERROR(__xludf.DUMMYFUNCTION("""COMPUTED_VALUE"""),643.0)</f>
        <v>643</v>
      </c>
      <c r="I1087" s="21" t="str">
        <f>IFERROR(__xludf.DUMMYFUNCTION("""COMPUTED_VALUE"""),"NUBANK")</f>
        <v>NUBANK</v>
      </c>
      <c r="J1087" s="21" t="str">
        <f>IFERROR(__xludf.DUMMYFUNCTION("""COMPUTED_VALUE"""),"#Essencial #Escola #Eduardo #Fixo")</f>
        <v>#Essencial #Escola #Eduardo #Fixo</v>
      </c>
      <c r="K1087" s="216"/>
      <c r="L1087" s="216"/>
      <c r="M1087" s="216"/>
      <c r="N1087" s="216"/>
      <c r="O1087" s="216"/>
      <c r="P1087" s="216"/>
      <c r="Q1087" s="216"/>
    </row>
    <row r="1088">
      <c r="A1088" s="11" t="str">
        <f>IFERROR(__xludf.DUMMYFUNCTION("""COMPUTED_VALUE"""),"PAGO")</f>
        <v>PAGO</v>
      </c>
      <c r="B1088" s="98" t="str">
        <f>IFERROR(__xludf.DUMMYFUNCTION("""COMPUTED_VALUE"""),"Shibata")</f>
        <v>Shibata</v>
      </c>
      <c r="C1088" s="13">
        <f>IFERROR(__xludf.DUMMYFUNCTION("""COMPUTED_VALUE"""),11.0)</f>
        <v>11</v>
      </c>
      <c r="D1088" s="13" t="str">
        <f>IFERROR(__xludf.DUMMYFUNCTION("""COMPUTED_VALUE"""),"SÁB.")</f>
        <v>SÁB.</v>
      </c>
      <c r="E1088" s="13">
        <f>IFERROR(__xludf.DUMMYFUNCTION("""COMPUTED_VALUE"""),12.0)</f>
        <v>12</v>
      </c>
      <c r="F1088" s="15"/>
      <c r="G1088" s="16"/>
      <c r="H1088" s="227">
        <f>IFERROR(__xludf.DUMMYFUNCTION("""COMPUTED_VALUE"""),205.14)</f>
        <v>205.14</v>
      </c>
      <c r="I1088" s="21" t="str">
        <f>IFERROR(__xludf.DUMMYFUNCTION("""COMPUTED_VALUE"""),"SODEXO-REF-IBM")</f>
        <v>SODEXO-REF-IBM</v>
      </c>
      <c r="J1088" s="21" t="str">
        <f>IFERROR(__xludf.DUMMYFUNCTION("""COMPUTED_VALUE"""),"#Moradia #Essencial #Mercado #Variavel #Alimentação ")</f>
        <v>#Moradia #Essencial #Mercado #Variavel #Alimentação </v>
      </c>
      <c r="K1088" s="216"/>
      <c r="L1088" s="216"/>
      <c r="M1088" s="216"/>
      <c r="N1088" s="216"/>
      <c r="O1088" s="216"/>
      <c r="P1088" s="216"/>
      <c r="Q1088" s="216"/>
    </row>
    <row r="1089">
      <c r="A1089" s="11" t="str">
        <f>IFERROR(__xludf.DUMMYFUNCTION("""COMPUTED_VALUE"""),"PAGO")</f>
        <v>PAGO</v>
      </c>
      <c r="B1089" s="98" t="str">
        <f>IFERROR(__xludf.DUMMYFUNCTION("""COMPUTED_VALUE"""),"Matricula - Cartorio de Imoveis SJC")</f>
        <v>Matricula - Cartorio de Imoveis SJC</v>
      </c>
      <c r="C1089" s="13">
        <f>IFERROR(__xludf.DUMMYFUNCTION("""COMPUTED_VALUE"""),13.0)</f>
        <v>13</v>
      </c>
      <c r="D1089" s="13" t="str">
        <f>IFERROR(__xludf.DUMMYFUNCTION("""COMPUTED_VALUE"""),"SEG.")</f>
        <v>SEG.</v>
      </c>
      <c r="E1089" s="13">
        <f>IFERROR(__xludf.DUMMYFUNCTION("""COMPUTED_VALUE"""),12.0)</f>
        <v>12</v>
      </c>
      <c r="F1089" s="15">
        <f>IFERROR(__xludf.DUMMYFUNCTION("""COMPUTED_VALUE"""),44540.0)</f>
        <v>44540</v>
      </c>
      <c r="G1089" s="16"/>
      <c r="H1089" s="227">
        <f>IFERROR(__xludf.DUMMYFUNCTION("""COMPUTED_VALUE"""),160.21)</f>
        <v>160.21</v>
      </c>
      <c r="I1089" s="21" t="str">
        <f>IFERROR(__xludf.DUMMYFUNCTION("""COMPUTED_VALUE"""),"NUBANK")</f>
        <v>NUBANK</v>
      </c>
      <c r="J1089" s="21" t="str">
        <f>IFERROR(__xludf.DUMMYFUNCTION("""COMPUTED_VALUE"""),"#Moradia #Cartorio #Variavel")</f>
        <v>#Moradia #Cartorio #Variavel</v>
      </c>
      <c r="K1089" s="216"/>
      <c r="L1089" s="216"/>
      <c r="M1089" s="216"/>
      <c r="N1089" s="216"/>
      <c r="O1089" s="216"/>
      <c r="P1089" s="216"/>
      <c r="Q1089" s="216"/>
    </row>
    <row r="1090">
      <c r="A1090" s="11" t="str">
        <f>IFERROR(__xludf.DUMMYFUNCTION("""COMPUTED_VALUE"""),"PAGO")</f>
        <v>PAGO</v>
      </c>
      <c r="B1090" s="98" t="str">
        <f>IFERROR(__xludf.DUMMYFUNCTION("""COMPUTED_VALUE"""),"Cartao NuBank")</f>
        <v>Cartao NuBank</v>
      </c>
      <c r="C1090" s="13">
        <f>IFERROR(__xludf.DUMMYFUNCTION("""COMPUTED_VALUE"""),13.0)</f>
        <v>13</v>
      </c>
      <c r="D1090" s="13" t="str">
        <f>IFERROR(__xludf.DUMMYFUNCTION("""COMPUTED_VALUE"""),"SEG.")</f>
        <v>SEG.</v>
      </c>
      <c r="E1090" s="13">
        <f>IFERROR(__xludf.DUMMYFUNCTION("""COMPUTED_VALUE"""),12.0)</f>
        <v>12</v>
      </c>
      <c r="F1090" s="15"/>
      <c r="G1090" s="16"/>
      <c r="H1090" s="227">
        <f>IFERROR(__xludf.DUMMYFUNCTION("""COMPUTED_VALUE"""),1573.96)</f>
        <v>1573.96</v>
      </c>
      <c r="I1090" s="21" t="str">
        <f>IFERROR(__xludf.DUMMYFUNCTION("""COMPUTED_VALUE"""),"NUBANK")</f>
        <v>NUBANK</v>
      </c>
      <c r="J1090" s="21"/>
      <c r="K1090" s="216"/>
      <c r="L1090" s="216"/>
      <c r="M1090" s="216"/>
      <c r="N1090" s="216"/>
      <c r="O1090" s="216"/>
      <c r="P1090" s="216"/>
      <c r="Q1090" s="216"/>
    </row>
    <row r="1091">
      <c r="A1091" s="11" t="str">
        <f>IFERROR(__xludf.DUMMYFUNCTION("""COMPUTED_VALUE"""),"PREVISTO")</f>
        <v>PREVISTO</v>
      </c>
      <c r="B1091" s="98" t="str">
        <f>IFERROR(__xludf.DUMMYFUNCTION("""COMPUTED_VALUE"""),"Combustivel Posto Rede Nova - Andromeda")</f>
        <v>Combustivel Posto Rede Nova - Andromeda</v>
      </c>
      <c r="C1091" s="13"/>
      <c r="D1091" s="13"/>
      <c r="E1091" s="13">
        <f>IFERROR(__xludf.DUMMYFUNCTION("""COMPUTED_VALUE"""),12.0)</f>
        <v>12</v>
      </c>
      <c r="F1091" s="15">
        <f>IFERROR(__xludf.DUMMYFUNCTION("""COMPUTED_VALUE"""),44506.0)</f>
        <v>44506</v>
      </c>
      <c r="G1091" s="16"/>
      <c r="H1091" s="227">
        <f>IFERROR(__xludf.DUMMYFUNCTION("""COMPUTED_VALUE"""),257.15)</f>
        <v>257.15</v>
      </c>
      <c r="I1091" s="21"/>
      <c r="J1091" s="21" t="str">
        <f>IFERROR(__xludf.DUMMYFUNCTION("""COMPUTED_VALUE"""),"#CartaoDeCredito #Cicero #Carro #Combustivel #Variavel")</f>
        <v>#CartaoDeCredito #Cicero #Carro #Combustivel #Variavel</v>
      </c>
      <c r="K1091" s="216"/>
      <c r="L1091" s="216"/>
      <c r="M1091" s="216"/>
      <c r="N1091" s="216"/>
      <c r="O1091" s="216"/>
      <c r="P1091" s="216"/>
      <c r="Q1091" s="216"/>
    </row>
    <row r="1092">
      <c r="A1092" s="11" t="str">
        <f>IFERROR(__xludf.DUMMYFUNCTION("""COMPUTED_VALUE"""),"PREVISTO")</f>
        <v>PREVISTO</v>
      </c>
      <c r="B1092" s="98" t="str">
        <f>IFERROR(__xludf.DUMMYFUNCTION("""COMPUTED_VALUE"""),"Enfeites de Natal - Brinquedos")</f>
        <v>Enfeites de Natal - Brinquedos</v>
      </c>
      <c r="C1092" s="13"/>
      <c r="D1092" s="13"/>
      <c r="E1092" s="13">
        <f>IFERROR(__xludf.DUMMYFUNCTION("""COMPUTED_VALUE"""),12.0)</f>
        <v>12</v>
      </c>
      <c r="F1092" s="15">
        <f>IFERROR(__xludf.DUMMYFUNCTION("""COMPUTED_VALUE"""),44506.0)</f>
        <v>44506</v>
      </c>
      <c r="G1092" s="16"/>
      <c r="H1092" s="227">
        <f>IFERROR(__xludf.DUMMYFUNCTION("""COMPUTED_VALUE"""),612.56)</f>
        <v>612.56</v>
      </c>
      <c r="I1092" s="21"/>
      <c r="J1092" s="21" t="str">
        <f>IFERROR(__xludf.DUMMYFUNCTION("""COMPUTED_VALUE"""),"#CartaoDeCredito #Cicero #Natal #Brinquedos #Lazer #Eduardo #Carlos #Variavel")</f>
        <v>#CartaoDeCredito #Cicero #Natal #Brinquedos #Lazer #Eduardo #Carlos #Variavel</v>
      </c>
      <c r="K1092" s="216"/>
      <c r="L1092" s="216"/>
      <c r="M1092" s="216"/>
      <c r="N1092" s="216"/>
      <c r="O1092" s="216"/>
      <c r="P1092" s="216"/>
      <c r="Q1092" s="216"/>
    </row>
    <row r="1093">
      <c r="A1093" s="11" t="str">
        <f>IFERROR(__xludf.DUMMYFUNCTION("""COMPUTED_VALUE"""),"PREVISTO")</f>
        <v>PREVISTO</v>
      </c>
      <c r="B1093" s="98" t="str">
        <f>IFERROR(__xludf.DUMMYFUNCTION("""COMPUTED_VALUE"""),"Fita magnética 10mts - Mercado Livre")</f>
        <v>Fita magnética 10mts - Mercado Livre</v>
      </c>
      <c r="C1093" s="13"/>
      <c r="D1093" s="13"/>
      <c r="E1093" s="13">
        <f>IFERROR(__xludf.DUMMYFUNCTION("""COMPUTED_VALUE"""),12.0)</f>
        <v>12</v>
      </c>
      <c r="F1093" s="15">
        <f>IFERROR(__xludf.DUMMYFUNCTION("""COMPUTED_VALUE"""),44507.0)</f>
        <v>44507</v>
      </c>
      <c r="G1093" s="16"/>
      <c r="H1093" s="227">
        <f>IFERROR(__xludf.DUMMYFUNCTION("""COMPUTED_VALUE"""),115.02)</f>
        <v>115.02</v>
      </c>
      <c r="I1093" s="21"/>
      <c r="J1093" s="21" t="str">
        <f>IFERROR(__xludf.DUMMYFUNCTION("""COMPUTED_VALUE"""),"#CartaoDeCredito #Cicero #Moradia #Janela #Variavel")</f>
        <v>#CartaoDeCredito #Cicero #Moradia #Janela #Variavel</v>
      </c>
      <c r="K1093" s="216"/>
      <c r="L1093" s="216"/>
      <c r="M1093" s="216"/>
      <c r="N1093" s="216"/>
      <c r="O1093" s="216"/>
      <c r="P1093" s="216"/>
      <c r="Q1093" s="216"/>
    </row>
    <row r="1094">
      <c r="A1094" s="11" t="str">
        <f>IFERROR(__xludf.DUMMYFUNCTION("""COMPUTED_VALUE"""),"PREVISTO")</f>
        <v>PREVISTO</v>
      </c>
      <c r="B1094" s="98" t="str">
        <f>IFERROR(__xludf.DUMMYFUNCTION("""COMPUTED_VALUE"""),"Discovery+")</f>
        <v>Discovery+</v>
      </c>
      <c r="C1094" s="13"/>
      <c r="D1094" s="13"/>
      <c r="E1094" s="13">
        <f>IFERROR(__xludf.DUMMYFUNCTION("""COMPUTED_VALUE"""),12.0)</f>
        <v>12</v>
      </c>
      <c r="F1094" s="15">
        <f>IFERROR(__xludf.DUMMYFUNCTION("""COMPUTED_VALUE"""),44510.0)</f>
        <v>44510</v>
      </c>
      <c r="G1094" s="16"/>
      <c r="H1094" s="227">
        <f>IFERROR(__xludf.DUMMYFUNCTION("""COMPUTED_VALUE"""),16.24)</f>
        <v>16.24</v>
      </c>
      <c r="I1094" s="21"/>
      <c r="J1094" s="21" t="str">
        <f>IFERROR(__xludf.DUMMYFUNCTION("""COMPUTED_VALUE"""),"#CartaoDeCredito #Cicero #Streaming #Fixo ")</f>
        <v>#CartaoDeCredito #Cicero #Streaming #Fixo </v>
      </c>
      <c r="K1094" s="216"/>
      <c r="L1094" s="216"/>
      <c r="M1094" s="216"/>
      <c r="N1094" s="216"/>
      <c r="O1094" s="216"/>
      <c r="P1094" s="216"/>
      <c r="Q1094" s="216"/>
    </row>
    <row r="1095">
      <c r="A1095" s="11" t="str">
        <f>IFERROR(__xludf.DUMMYFUNCTION("""COMPUTED_VALUE"""),"PREVISTO")</f>
        <v>PREVISTO</v>
      </c>
      <c r="B1095" s="98" t="str">
        <f>IFERROR(__xludf.DUMMYFUNCTION("""COMPUTED_VALUE"""),"Disney+")</f>
        <v>Disney+</v>
      </c>
      <c r="C1095" s="13"/>
      <c r="D1095" s="13"/>
      <c r="E1095" s="13">
        <f>IFERROR(__xludf.DUMMYFUNCTION("""COMPUTED_VALUE"""),12.0)</f>
        <v>12</v>
      </c>
      <c r="F1095" s="15">
        <f>IFERROR(__xludf.DUMMYFUNCTION("""COMPUTED_VALUE"""),44517.0)</f>
        <v>44517</v>
      </c>
      <c r="G1095" s="16"/>
      <c r="H1095" s="227">
        <f>IFERROR(__xludf.DUMMYFUNCTION("""COMPUTED_VALUE"""),279.9)</f>
        <v>279.9</v>
      </c>
      <c r="I1095" s="21"/>
      <c r="J1095" s="21" t="str">
        <f>IFERROR(__xludf.DUMMYFUNCTION("""COMPUTED_VALUE"""),"#CartaoDeCredito #Cicero #Streaming #Fixo #Anual ")</f>
        <v>#CartaoDeCredito #Cicero #Streaming #Fixo #Anual </v>
      </c>
      <c r="K1095" s="216"/>
      <c r="L1095" s="216"/>
      <c r="M1095" s="216"/>
      <c r="N1095" s="216"/>
      <c r="O1095" s="216"/>
      <c r="P1095" s="216"/>
      <c r="Q1095" s="216"/>
    </row>
    <row r="1096">
      <c r="A1096" s="11" t="str">
        <f>IFERROR(__xludf.DUMMYFUNCTION("""COMPUTED_VALUE"""),"PREVISTO")</f>
        <v>PREVISTO</v>
      </c>
      <c r="B1096" s="98" t="str">
        <f>IFERROR(__xludf.DUMMYFUNCTION("""COMPUTED_VALUE"""),"Fita magnética 4mts - Mercado Livre ")</f>
        <v>Fita magnética 4mts - Mercado Livre </v>
      </c>
      <c r="C1096" s="13"/>
      <c r="D1096" s="13"/>
      <c r="E1096" s="13">
        <f>IFERROR(__xludf.DUMMYFUNCTION("""COMPUTED_VALUE"""),12.0)</f>
        <v>12</v>
      </c>
      <c r="F1096" s="15">
        <f>IFERROR(__xludf.DUMMYFUNCTION("""COMPUTED_VALUE"""),44518.0)</f>
        <v>44518</v>
      </c>
      <c r="G1096" s="16"/>
      <c r="H1096" s="227">
        <f>IFERROR(__xludf.DUMMYFUNCTION("""COMPUTED_VALUE"""),55.59)</f>
        <v>55.59</v>
      </c>
      <c r="I1096" s="21"/>
      <c r="J1096" s="21" t="str">
        <f>IFERROR(__xludf.DUMMYFUNCTION("""COMPUTED_VALUE"""),"#CartaoDeCredito #Cicero #Moradia #Janela #Variavel")</f>
        <v>#CartaoDeCredito #Cicero #Moradia #Janela #Variavel</v>
      </c>
      <c r="K1096" s="216"/>
      <c r="L1096" s="216"/>
      <c r="M1096" s="216"/>
      <c r="N1096" s="216"/>
      <c r="O1096" s="216"/>
      <c r="P1096" s="216"/>
      <c r="Q1096" s="216"/>
    </row>
    <row r="1097">
      <c r="A1097" s="11" t="str">
        <f>IFERROR(__xludf.DUMMYFUNCTION("""COMPUTED_VALUE"""),"PREVISTO")</f>
        <v>PREVISTO</v>
      </c>
      <c r="B1097" s="98" t="str">
        <f>IFERROR(__xludf.DUMMYFUNCTION("""COMPUTED_VALUE"""),"Google YouTube Premium")</f>
        <v>Google YouTube Premium</v>
      </c>
      <c r="C1097" s="13"/>
      <c r="D1097" s="13"/>
      <c r="E1097" s="13">
        <f>IFERROR(__xludf.DUMMYFUNCTION("""COMPUTED_VALUE"""),12.0)</f>
        <v>12</v>
      </c>
      <c r="F1097" s="15">
        <f>IFERROR(__xludf.DUMMYFUNCTION("""COMPUTED_VALUE"""),44525.0)</f>
        <v>44525</v>
      </c>
      <c r="G1097" s="16"/>
      <c r="H1097" s="227">
        <f>IFERROR(__xludf.DUMMYFUNCTION("""COMPUTED_VALUE"""),31.9)</f>
        <v>31.9</v>
      </c>
      <c r="I1097" s="21"/>
      <c r="J1097" s="21" t="str">
        <f>IFERROR(__xludf.DUMMYFUNCTION("""COMPUTED_VALUE"""),"#CartaoDeCredito #Cicero #Streaming #Fixo ")</f>
        <v>#CartaoDeCredito #Cicero #Streaming #Fixo </v>
      </c>
      <c r="K1097" s="216"/>
      <c r="L1097" s="216"/>
      <c r="M1097" s="216"/>
      <c r="N1097" s="216"/>
      <c r="O1097" s="216"/>
      <c r="P1097" s="216"/>
      <c r="Q1097" s="216"/>
    </row>
    <row r="1098">
      <c r="A1098" s="11" t="str">
        <f>IFERROR(__xludf.DUMMYFUNCTION("""COMPUTED_VALUE"""),"PREVISTO")</f>
        <v>PREVISTO</v>
      </c>
      <c r="B1098" s="98" t="str">
        <f>IFERROR(__xludf.DUMMYFUNCTION("""COMPUTED_VALUE"""),"Amazonprimebr")</f>
        <v>Amazonprimebr</v>
      </c>
      <c r="C1098" s="13"/>
      <c r="D1098" s="13"/>
      <c r="E1098" s="13">
        <f>IFERROR(__xludf.DUMMYFUNCTION("""COMPUTED_VALUE"""),12.0)</f>
        <v>12</v>
      </c>
      <c r="F1098" s="15">
        <f>IFERROR(__xludf.DUMMYFUNCTION("""COMPUTED_VALUE"""),44526.0)</f>
        <v>44526</v>
      </c>
      <c r="G1098" s="16"/>
      <c r="H1098" s="227">
        <f>IFERROR(__xludf.DUMMYFUNCTION("""COMPUTED_VALUE"""),9.9)</f>
        <v>9.9</v>
      </c>
      <c r="I1098" s="21"/>
      <c r="J1098" s="21" t="str">
        <f>IFERROR(__xludf.DUMMYFUNCTION("""COMPUTED_VALUE"""),"#CartaoDeCredito #Cicero #Streaming #Fixo ")</f>
        <v>#CartaoDeCredito #Cicero #Streaming #Fixo </v>
      </c>
      <c r="K1098" s="216"/>
      <c r="L1098" s="216"/>
      <c r="M1098" s="216"/>
      <c r="N1098" s="216"/>
      <c r="O1098" s="216"/>
      <c r="P1098" s="216"/>
      <c r="Q1098" s="216"/>
    </row>
    <row r="1099">
      <c r="A1099" s="11" t="str">
        <f>IFERROR(__xludf.DUMMYFUNCTION("""COMPUTED_VALUE"""),"PREVISTO")</f>
        <v>PREVISTO</v>
      </c>
      <c r="B1099" s="98" t="str">
        <f>IFERROR(__xludf.DUMMYFUNCTION("""COMPUTED_VALUE"""),"Shibata")</f>
        <v>Shibata</v>
      </c>
      <c r="C1099" s="13"/>
      <c r="D1099" s="13"/>
      <c r="E1099" s="13">
        <f>IFERROR(__xludf.DUMMYFUNCTION("""COMPUTED_VALUE"""),12.0)</f>
        <v>12</v>
      </c>
      <c r="F1099" s="15">
        <f>IFERROR(__xludf.DUMMYFUNCTION("""COMPUTED_VALUE"""),44529.0)</f>
        <v>44529</v>
      </c>
      <c r="G1099" s="16"/>
      <c r="H1099" s="227">
        <f>IFERROR(__xludf.DUMMYFUNCTION("""COMPUTED_VALUE"""),138.41)</f>
        <v>138.41</v>
      </c>
      <c r="I1099" s="21"/>
      <c r="J1099" s="21" t="str">
        <f>IFERROR(__xludf.DUMMYFUNCTION("""COMPUTED_VALUE"""),"#CartaoDeCredito #Cicero #Moradia #Essencial #Mercado #Variavel #Alimentação ")</f>
        <v>#CartaoDeCredito #Cicero #Moradia #Essencial #Mercado #Variavel #Alimentação </v>
      </c>
      <c r="K1099" s="216"/>
      <c r="L1099" s="216"/>
      <c r="M1099" s="216"/>
      <c r="N1099" s="216"/>
      <c r="O1099" s="216"/>
      <c r="P1099" s="216"/>
      <c r="Q1099" s="216"/>
    </row>
    <row r="1100">
      <c r="A1100" s="11" t="str">
        <f>IFERROR(__xludf.DUMMYFUNCTION("""COMPUTED_VALUE"""),"PREVISTO")</f>
        <v>PREVISTO</v>
      </c>
      <c r="B1100" s="98" t="str">
        <f>IFERROR(__xludf.DUMMYFUNCTION("""COMPUTED_VALUE"""),"Amazon.com.br - Livro (diario) para Roberta")</f>
        <v>Amazon.com.br - Livro (diario) para Roberta</v>
      </c>
      <c r="C1100" s="13"/>
      <c r="D1100" s="13"/>
      <c r="E1100" s="13">
        <f>IFERROR(__xludf.DUMMYFUNCTION("""COMPUTED_VALUE"""),12.0)</f>
        <v>12</v>
      </c>
      <c r="F1100" s="15">
        <f>IFERROR(__xludf.DUMMYFUNCTION("""COMPUTED_VALUE"""),44530.0)</f>
        <v>44530</v>
      </c>
      <c r="G1100" s="16"/>
      <c r="H1100" s="227">
        <f>IFERROR(__xludf.DUMMYFUNCTION("""COMPUTED_VALUE"""),12.3)</f>
        <v>12.3</v>
      </c>
      <c r="I1100" s="21"/>
      <c r="J1100" s="21" t="str">
        <f>IFERROR(__xludf.DUMMYFUNCTION("""COMPUTED_VALUE"""),"#CartaoDeCredito #Cicero #Roberta #Presentes #Variavel")</f>
        <v>#CartaoDeCredito #Cicero #Roberta #Presentes #Variavel</v>
      </c>
      <c r="K1100" s="216"/>
      <c r="L1100" s="216"/>
      <c r="M1100" s="216"/>
      <c r="N1100" s="216"/>
      <c r="O1100" s="216"/>
      <c r="P1100" s="216"/>
      <c r="Q1100" s="216"/>
    </row>
    <row r="1101">
      <c r="A1101" s="11" t="str">
        <f>IFERROR(__xludf.DUMMYFUNCTION("""COMPUTED_VALUE"""),"PREVISTO")</f>
        <v>PREVISTO</v>
      </c>
      <c r="B1101" s="98" t="str">
        <f>IFERROR(__xludf.DUMMYFUNCTION("""COMPUTED_VALUE"""),"Microsoft Game Pass Ultimate")</f>
        <v>Microsoft Game Pass Ultimate</v>
      </c>
      <c r="C1101" s="13"/>
      <c r="D1101" s="13"/>
      <c r="E1101" s="13">
        <f>IFERROR(__xludf.DUMMYFUNCTION("""COMPUTED_VALUE"""),12.0)</f>
        <v>12</v>
      </c>
      <c r="F1101" s="15">
        <f>IFERROR(__xludf.DUMMYFUNCTION("""COMPUTED_VALUE"""),44531.0)</f>
        <v>44531</v>
      </c>
      <c r="G1101" s="16"/>
      <c r="H1101" s="227">
        <f>IFERROR(__xludf.DUMMYFUNCTION("""COMPUTED_VALUE"""),44.99)</f>
        <v>44.99</v>
      </c>
      <c r="I1101" s="21"/>
      <c r="J1101" s="21" t="str">
        <f>IFERROR(__xludf.DUMMYFUNCTION("""COMPUTED_VALUE"""),"#CartaoDeCredito #Cicero #Lazer #Variavel")</f>
        <v>#CartaoDeCredito #Cicero #Lazer #Variavel</v>
      </c>
      <c r="K1101" s="216"/>
      <c r="L1101" s="216"/>
      <c r="M1101" s="216"/>
      <c r="N1101" s="216"/>
      <c r="O1101" s="216"/>
      <c r="P1101" s="216"/>
      <c r="Q1101" s="216"/>
    </row>
    <row r="1102">
      <c r="A1102" s="11" t="str">
        <f>IFERROR(__xludf.DUMMYFUNCTION("""COMPUTED_VALUE"""),"PAGO")</f>
        <v>PAGO</v>
      </c>
      <c r="B1102" s="98" t="str">
        <f>IFERROR(__xludf.DUMMYFUNCTION("""COMPUTED_VALUE"""),"EBANX SHOPPE - Utensílios para confeitaria da Roberta")</f>
        <v>EBANX SHOPPE - Utensílios para confeitaria da Roberta</v>
      </c>
      <c r="C1102" s="13">
        <f>IFERROR(__xludf.DUMMYFUNCTION("""COMPUTED_VALUE"""),13.0)</f>
        <v>13</v>
      </c>
      <c r="D1102" s="13" t="str">
        <f>IFERROR(__xludf.DUMMYFUNCTION("""COMPUTED_VALUE"""),"SEG.")</f>
        <v>SEG.</v>
      </c>
      <c r="E1102" s="13">
        <f>IFERROR(__xludf.DUMMYFUNCTION("""COMPUTED_VALUE"""),12.0)</f>
        <v>12</v>
      </c>
      <c r="F1102" s="15"/>
      <c r="G1102" s="16"/>
      <c r="H1102" s="227">
        <f>IFERROR(__xludf.DUMMYFUNCTION("""COMPUTED_VALUE"""),47.89)</f>
        <v>47.89</v>
      </c>
      <c r="I1102" s="21" t="str">
        <f>IFERROR(__xludf.DUMMYFUNCTION("""COMPUTED_VALUE"""),"NUBANK")</f>
        <v>NUBANK</v>
      </c>
      <c r="J1102" s="21" t="str">
        <f>IFERROR(__xludf.DUMMYFUNCTION("""COMPUTED_VALUE"""),"#Roberta #Variavel #Curso #Confeitaria")</f>
        <v>#Roberta #Variavel #Curso #Confeitaria</v>
      </c>
      <c r="K1102" s="216"/>
      <c r="L1102" s="216"/>
      <c r="M1102" s="216"/>
      <c r="N1102" s="216"/>
      <c r="O1102" s="216"/>
      <c r="P1102" s="216"/>
      <c r="Q1102" s="216"/>
    </row>
    <row r="1103">
      <c r="A1103" s="11" t="str">
        <f>IFERROR(__xludf.DUMMYFUNCTION("""COMPUTED_VALUE"""),"PAGO")</f>
        <v>PAGO</v>
      </c>
      <c r="B1103" s="98" t="str">
        <f>IFERROR(__xludf.DUMMYFUNCTION("""COMPUTED_VALUE"""),"Salario - IBM (cobraram coparticipação do plano de saude)")</f>
        <v>Salario - IBM (cobraram coparticipação do plano de saude)</v>
      </c>
      <c r="C1103" s="13">
        <f>IFERROR(__xludf.DUMMYFUNCTION("""COMPUTED_VALUE"""),15.0)</f>
        <v>15</v>
      </c>
      <c r="D1103" s="13" t="str">
        <f>IFERROR(__xludf.DUMMYFUNCTION("""COMPUTED_VALUE"""),"QUA.")</f>
        <v>QUA.</v>
      </c>
      <c r="E1103" s="13">
        <f>IFERROR(__xludf.DUMMYFUNCTION("""COMPUTED_VALUE"""),12.0)</f>
        <v>12</v>
      </c>
      <c r="F1103" s="15"/>
      <c r="G1103" s="16">
        <f>IFERROR(__xludf.DUMMYFUNCTION("""COMPUTED_VALUE"""),5068.8)</f>
        <v>5068.8</v>
      </c>
      <c r="H1103" s="227"/>
      <c r="I1103" s="21" t="str">
        <f>IFERROR(__xludf.DUMMYFUNCTION("""COMPUTED_VALUE"""),"SANTANDER")</f>
        <v>SANTANDER</v>
      </c>
      <c r="J1103" s="21" t="str">
        <f>IFERROR(__xludf.DUMMYFUNCTION("""COMPUTED_VALUE"""),"#Recebimentos #Salario #Fixo")</f>
        <v>#Recebimentos #Salario #Fixo</v>
      </c>
      <c r="K1103" s="216"/>
      <c r="L1103" s="216"/>
      <c r="M1103" s="216"/>
      <c r="N1103" s="216"/>
      <c r="O1103" s="216"/>
      <c r="P1103" s="216"/>
      <c r="Q1103" s="216"/>
    </row>
    <row r="1104">
      <c r="A1104" s="11" t="str">
        <f>IFERROR(__xludf.DUMMYFUNCTION("""COMPUTED_VALUE"""),"PAGO")</f>
        <v>PAGO</v>
      </c>
      <c r="B1104" s="98" t="str">
        <f>IFERROR(__xludf.DUMMYFUNCTION("""COMPUTED_VALUE"""),"13o. Salario - IBM - parcela 2")</f>
        <v>13o. Salario - IBM - parcela 2</v>
      </c>
      <c r="C1104" s="13">
        <f>IFERROR(__xludf.DUMMYFUNCTION("""COMPUTED_VALUE"""),15.0)</f>
        <v>15</v>
      </c>
      <c r="D1104" s="13" t="str">
        <f>IFERROR(__xludf.DUMMYFUNCTION("""COMPUTED_VALUE"""),"QUA.")</f>
        <v>QUA.</v>
      </c>
      <c r="E1104" s="13">
        <f>IFERROR(__xludf.DUMMYFUNCTION("""COMPUTED_VALUE"""),12.0)</f>
        <v>12</v>
      </c>
      <c r="F1104" s="15"/>
      <c r="G1104" s="16">
        <f>IFERROR(__xludf.DUMMYFUNCTION("""COMPUTED_VALUE"""),2517.35)</f>
        <v>2517.35</v>
      </c>
      <c r="H1104" s="227"/>
      <c r="I1104" s="21" t="str">
        <f>IFERROR(__xludf.DUMMYFUNCTION("""COMPUTED_VALUE"""),"SANTANDER")</f>
        <v>SANTANDER</v>
      </c>
      <c r="J1104" s="21" t="str">
        <f>IFERROR(__xludf.DUMMYFUNCTION("""COMPUTED_VALUE"""),"#Recebimentos #Salario #Fixo")</f>
        <v>#Recebimentos #Salario #Fixo</v>
      </c>
      <c r="K1104" s="216"/>
      <c r="L1104" s="216"/>
      <c r="M1104" s="216"/>
      <c r="N1104" s="216"/>
      <c r="O1104" s="216"/>
      <c r="P1104" s="216"/>
      <c r="Q1104" s="216"/>
    </row>
    <row r="1105">
      <c r="A1105" s="11" t="str">
        <f>IFERROR(__xludf.DUMMYFUNCTION("""COMPUTED_VALUE"""),"CONTAS")</f>
        <v>CONTAS</v>
      </c>
      <c r="B1105" s="98" t="str">
        <f>IFERROR(__xludf.DUMMYFUNCTION("""COMPUTED_VALUE"""),"Transferencia via PIX")</f>
        <v>Transferencia via PIX</v>
      </c>
      <c r="C1105" s="13">
        <f>IFERROR(__xludf.DUMMYFUNCTION("""COMPUTED_VALUE"""),15.0)</f>
        <v>15</v>
      </c>
      <c r="D1105" s="13" t="str">
        <f>IFERROR(__xludf.DUMMYFUNCTION("""COMPUTED_VALUE"""),"QUA.")</f>
        <v>QUA.</v>
      </c>
      <c r="E1105" s="13">
        <f>IFERROR(__xludf.DUMMYFUNCTION("""COMPUTED_VALUE"""),12.0)</f>
        <v>12</v>
      </c>
      <c r="F1105" s="15"/>
      <c r="G1105" s="16"/>
      <c r="H1105" s="227">
        <f>IFERROR(__xludf.DUMMYFUNCTION("""COMPUTED_VALUE"""),7586.15)</f>
        <v>7586.15</v>
      </c>
      <c r="I1105" s="21" t="str">
        <f>IFERROR(__xludf.DUMMYFUNCTION("""COMPUTED_VALUE"""),"SANTANDER")</f>
        <v>SANTANDER</v>
      </c>
      <c r="J1105" s="21"/>
      <c r="K1105" s="216"/>
      <c r="L1105" s="216"/>
      <c r="M1105" s="216"/>
      <c r="N1105" s="216"/>
      <c r="O1105" s="216"/>
      <c r="P1105" s="216"/>
      <c r="Q1105" s="216"/>
    </row>
    <row r="1106">
      <c r="A1106" s="11" t="str">
        <f>IFERROR(__xludf.DUMMYFUNCTION("""COMPUTED_VALUE"""),"CONTAS")</f>
        <v>CONTAS</v>
      </c>
      <c r="B1106" s="98" t="str">
        <f>IFERROR(__xludf.DUMMYFUNCTION("""COMPUTED_VALUE"""),"Recebimento via PIX")</f>
        <v>Recebimento via PIX</v>
      </c>
      <c r="C1106" s="13">
        <f>IFERROR(__xludf.DUMMYFUNCTION("""COMPUTED_VALUE"""),15.0)</f>
        <v>15</v>
      </c>
      <c r="D1106" s="13" t="str">
        <f>IFERROR(__xludf.DUMMYFUNCTION("""COMPUTED_VALUE"""),"QUA.")</f>
        <v>QUA.</v>
      </c>
      <c r="E1106" s="13">
        <f>IFERROR(__xludf.DUMMYFUNCTION("""COMPUTED_VALUE"""),12.0)</f>
        <v>12</v>
      </c>
      <c r="F1106" s="15"/>
      <c r="G1106" s="16">
        <f>IFERROR(__xludf.DUMMYFUNCTION("""COMPUTED_VALUE"""),7586.15)</f>
        <v>7586.15</v>
      </c>
      <c r="H1106" s="227"/>
      <c r="I1106" s="21" t="str">
        <f>IFERROR(__xludf.DUMMYFUNCTION("""COMPUTED_VALUE"""),"NUBANK")</f>
        <v>NUBANK</v>
      </c>
      <c r="J1106" s="21"/>
      <c r="K1106" s="216"/>
      <c r="L1106" s="216"/>
      <c r="M1106" s="216"/>
      <c r="N1106" s="216"/>
      <c r="O1106" s="216"/>
      <c r="P1106" s="216"/>
      <c r="Q1106" s="216"/>
    </row>
    <row r="1107">
      <c r="A1107" s="11" t="str">
        <f>IFERROR(__xludf.DUMMYFUNCTION("""COMPUTED_VALUE"""),"CONTAS")</f>
        <v>CONTAS</v>
      </c>
      <c r="B1107" s="98" t="str">
        <f>IFERROR(__xludf.DUMMYFUNCTION("""COMPUTED_VALUE"""),"Transferencia via PIX")</f>
        <v>Transferencia via PIX</v>
      </c>
      <c r="C1107" s="13">
        <f>IFERROR(__xludf.DUMMYFUNCTION("""COMPUTED_VALUE"""),22.0)</f>
        <v>22</v>
      </c>
      <c r="D1107" s="13" t="str">
        <f>IFERROR(__xludf.DUMMYFUNCTION("""COMPUTED_VALUE"""),"QUA.")</f>
        <v>QUA.</v>
      </c>
      <c r="E1107" s="13">
        <f>IFERROR(__xludf.DUMMYFUNCTION("""COMPUTED_VALUE"""),12.0)</f>
        <v>12</v>
      </c>
      <c r="F1107" s="15"/>
      <c r="G1107" s="16"/>
      <c r="H1107" s="227">
        <f>IFERROR(__xludf.DUMMYFUNCTION("""COMPUTED_VALUE"""),350.0)</f>
        <v>350</v>
      </c>
      <c r="I1107" s="21" t="str">
        <f>IFERROR(__xludf.DUMMYFUNCTION("""COMPUTED_VALUE"""),"NUBANK")</f>
        <v>NUBANK</v>
      </c>
      <c r="J1107" s="21"/>
      <c r="K1107" s="216"/>
      <c r="L1107" s="216"/>
      <c r="M1107" s="216"/>
      <c r="N1107" s="216"/>
      <c r="O1107" s="216"/>
      <c r="P1107" s="216"/>
      <c r="Q1107" s="216"/>
    </row>
    <row r="1108">
      <c r="A1108" s="11" t="str">
        <f>IFERROR(__xludf.DUMMYFUNCTION("""COMPUTED_VALUE"""),"CONTAS")</f>
        <v>CONTAS</v>
      </c>
      <c r="B1108" s="98" t="str">
        <f>IFERROR(__xludf.DUMMYFUNCTION("""COMPUTED_VALUE"""),"Recebimento via PIX")</f>
        <v>Recebimento via PIX</v>
      </c>
      <c r="C1108" s="13">
        <f>IFERROR(__xludf.DUMMYFUNCTION("""COMPUTED_VALUE"""),22.0)</f>
        <v>22</v>
      </c>
      <c r="D1108" s="13" t="str">
        <f>IFERROR(__xludf.DUMMYFUNCTION("""COMPUTED_VALUE"""),"QUA.")</f>
        <v>QUA.</v>
      </c>
      <c r="E1108" s="13">
        <f>IFERROR(__xludf.DUMMYFUNCTION("""COMPUTED_VALUE"""),12.0)</f>
        <v>12</v>
      </c>
      <c r="F1108" s="15"/>
      <c r="G1108" s="16">
        <f>IFERROR(__xludf.DUMMYFUNCTION("""COMPUTED_VALUE"""),350.0)</f>
        <v>350</v>
      </c>
      <c r="H1108" s="227"/>
      <c r="I1108" s="21" t="str">
        <f>IFERROR(__xludf.DUMMYFUNCTION("""COMPUTED_VALUE"""),"ITAU")</f>
        <v>ITAU</v>
      </c>
      <c r="J1108" s="21"/>
      <c r="K1108" s="216"/>
      <c r="L1108" s="216"/>
      <c r="M1108" s="216"/>
      <c r="N1108" s="216"/>
      <c r="O1108" s="216"/>
      <c r="P1108" s="216"/>
      <c r="Q1108" s="216"/>
    </row>
    <row r="1109">
      <c r="A1109" s="11" t="str">
        <f>IFERROR(__xludf.DUMMYFUNCTION("""COMPUTED_VALUE"""),"PAGO")</f>
        <v>PAGO</v>
      </c>
      <c r="B1109" s="98" t="str">
        <f>IFERROR(__xludf.DUMMYFUNCTION("""COMPUTED_VALUE"""),"Devolução/Transferência Resgate reserva de oportunidade")</f>
        <v>Devolução/Transferência Resgate reserva de oportunidade</v>
      </c>
      <c r="C1109" s="13">
        <f>IFERROR(__xludf.DUMMYFUNCTION("""COMPUTED_VALUE"""),15.0)</f>
        <v>15</v>
      </c>
      <c r="D1109" s="13" t="str">
        <f>IFERROR(__xludf.DUMMYFUNCTION("""COMPUTED_VALUE"""),"QUA.")</f>
        <v>QUA.</v>
      </c>
      <c r="E1109" s="13">
        <f>IFERROR(__xludf.DUMMYFUNCTION("""COMPUTED_VALUE"""),12.0)</f>
        <v>12</v>
      </c>
      <c r="F1109" s="15"/>
      <c r="G1109" s="16"/>
      <c r="H1109" s="227">
        <f>IFERROR(__xludf.DUMMYFUNCTION("""COMPUTED_VALUE"""),2950.0)</f>
        <v>2950</v>
      </c>
      <c r="I1109" s="21" t="str">
        <f>IFERROR(__xludf.DUMMYFUNCTION("""COMPUTED_VALUE"""),"NUBANK")</f>
        <v>NUBANK</v>
      </c>
      <c r="J1109" s="21" t="str">
        <f>IFERROR(__xludf.DUMMYFUNCTION("""COMPUTED_VALUE"""),"#Resgate #Nubank #Variavel")</f>
        <v>#Resgate #Nubank #Variavel</v>
      </c>
      <c r="K1109" s="216"/>
      <c r="L1109" s="216"/>
      <c r="M1109" s="216"/>
      <c r="N1109" s="216"/>
      <c r="O1109" s="216"/>
      <c r="P1109" s="216"/>
      <c r="Q1109" s="216"/>
    </row>
    <row r="1110">
      <c r="A1110" s="11" t="str">
        <f>IFERROR(__xludf.DUMMYFUNCTION("""COMPUTED_VALUE"""),"PAGO")</f>
        <v>PAGO</v>
      </c>
      <c r="B1110" s="98" t="str">
        <f>IFERROR(__xludf.DUMMYFUNCTION("""COMPUTED_VALUE"""),"Transferi para investimento - Nubank (reserva de oportunidades 13o.)")</f>
        <v>Transferi para investimento - Nubank (reserva de oportunidades 13o.)</v>
      </c>
      <c r="C1110" s="13">
        <f>IFERROR(__xludf.DUMMYFUNCTION("""COMPUTED_VALUE"""),15.0)</f>
        <v>15</v>
      </c>
      <c r="D1110" s="13" t="str">
        <f>IFERROR(__xludf.DUMMYFUNCTION("""COMPUTED_VALUE"""),"QUA.")</f>
        <v>QUA.</v>
      </c>
      <c r="E1110" s="13">
        <f>IFERROR(__xludf.DUMMYFUNCTION("""COMPUTED_VALUE"""),12.0)</f>
        <v>12</v>
      </c>
      <c r="F1110" s="15"/>
      <c r="G1110" s="16"/>
      <c r="H1110" s="227">
        <f>IFERROR(__xludf.DUMMYFUNCTION("""COMPUTED_VALUE"""),2517.35)</f>
        <v>2517.35</v>
      </c>
      <c r="I1110" s="21" t="str">
        <f>IFERROR(__xludf.DUMMYFUNCTION("""COMPUTED_VALUE"""),"NUBANK")</f>
        <v>NUBANK</v>
      </c>
      <c r="J1110" s="21" t="str">
        <f>IFERROR(__xludf.DUMMYFUNCTION("""COMPUTED_VALUE"""),"#Transferencia #Investimento #Variavel #Nubank")</f>
        <v>#Transferencia #Investimento #Variavel #Nubank</v>
      </c>
      <c r="K1110" s="216"/>
      <c r="L1110" s="216"/>
      <c r="M1110" s="216"/>
      <c r="N1110" s="216"/>
      <c r="O1110" s="216"/>
      <c r="P1110" s="216"/>
      <c r="Q1110" s="216"/>
    </row>
    <row r="1111">
      <c r="A1111" s="11" t="str">
        <f>IFERROR(__xludf.DUMMYFUNCTION("""COMPUTED_VALUE"""),"PAGO")</f>
        <v>PAGO</v>
      </c>
      <c r="B1111" s="98" t="str">
        <f>IFERROR(__xludf.DUMMYFUNCTION("""COMPUTED_VALUE"""),"Aniversario Danilo / Helio - ITAU")</f>
        <v>Aniversario Danilo / Helio - ITAU</v>
      </c>
      <c r="C1111" s="13">
        <f>IFERROR(__xludf.DUMMYFUNCTION("""COMPUTED_VALUE"""),15.0)</f>
        <v>15</v>
      </c>
      <c r="D1111" s="13" t="str">
        <f>IFERROR(__xludf.DUMMYFUNCTION("""COMPUTED_VALUE"""),"QUA.")</f>
        <v>QUA.</v>
      </c>
      <c r="E1111" s="13">
        <f>IFERROR(__xludf.DUMMYFUNCTION("""COMPUTED_VALUE"""),12.0)</f>
        <v>12</v>
      </c>
      <c r="F1111" s="15"/>
      <c r="G1111" s="16"/>
      <c r="H1111" s="227">
        <f>IFERROR(__xludf.DUMMYFUNCTION("""COMPUTED_VALUE"""),20.0)</f>
        <v>20</v>
      </c>
      <c r="I1111" s="21" t="str">
        <f>IFERROR(__xludf.DUMMYFUNCTION("""COMPUTED_VALUE"""),"NUBANK")</f>
        <v>NUBANK</v>
      </c>
      <c r="J1111" s="21" t="str">
        <f>IFERROR(__xludf.DUMMYFUNCTION("""COMPUTED_VALUE"""),"#Lazer #Comida #Variavel")</f>
        <v>#Lazer #Comida #Variavel</v>
      </c>
      <c r="K1111" s="216"/>
      <c r="L1111" s="216"/>
      <c r="M1111" s="216"/>
      <c r="N1111" s="216"/>
      <c r="O1111" s="216"/>
      <c r="P1111" s="216"/>
      <c r="Q1111" s="216"/>
    </row>
    <row r="1112">
      <c r="A1112" s="11" t="str">
        <f>IFERROR(__xludf.DUMMYFUNCTION("""COMPUTED_VALUE"""),"PAGO")</f>
        <v>PAGO</v>
      </c>
      <c r="B1112" s="98" t="str">
        <f>IFERROR(__xludf.DUMMYFUNCTION("""COMPUTED_VALUE"""),"Convenio Carlos")</f>
        <v>Convenio Carlos</v>
      </c>
      <c r="C1112" s="13">
        <f>IFERROR(__xludf.DUMMYFUNCTION("""COMPUTED_VALUE"""),15.0)</f>
        <v>15</v>
      </c>
      <c r="D1112" s="13" t="str">
        <f>IFERROR(__xludf.DUMMYFUNCTION("""COMPUTED_VALUE"""),"QUA.")</f>
        <v>QUA.</v>
      </c>
      <c r="E1112" s="13">
        <f>IFERROR(__xludf.DUMMYFUNCTION("""COMPUTED_VALUE"""),12.0)</f>
        <v>12</v>
      </c>
      <c r="F1112" s="15"/>
      <c r="G1112" s="16"/>
      <c r="H1112" s="227">
        <f>IFERROR(__xludf.DUMMYFUNCTION("""COMPUTED_VALUE"""),192.43)</f>
        <v>192.43</v>
      </c>
      <c r="I1112" s="21" t="str">
        <f>IFERROR(__xludf.DUMMYFUNCTION("""COMPUTED_VALUE"""),"NUBANK")</f>
        <v>NUBANK</v>
      </c>
      <c r="J1112" s="21" t="str">
        <f>IFERROR(__xludf.DUMMYFUNCTION("""COMPUTED_VALUE"""),"#Essencial #Saude #Convenio #Familia #Fixo ")</f>
        <v>#Essencial #Saude #Convenio #Familia #Fixo </v>
      </c>
      <c r="K1112" s="216"/>
      <c r="L1112" s="216"/>
      <c r="M1112" s="216"/>
      <c r="N1112" s="216"/>
      <c r="O1112" s="216"/>
      <c r="P1112" s="216"/>
      <c r="Q1112" s="216"/>
    </row>
    <row r="1113">
      <c r="A1113" s="11" t="str">
        <f>IFERROR(__xludf.DUMMYFUNCTION("""COMPUTED_VALUE"""),"PAGO")</f>
        <v>PAGO</v>
      </c>
      <c r="B1113" s="98" t="str">
        <f>IFERROR(__xludf.DUMMYFUNCTION("""COMPUTED_VALUE"""),"Convenio Eduardo")</f>
        <v>Convenio Eduardo</v>
      </c>
      <c r="C1113" s="13">
        <f>IFERROR(__xludf.DUMMYFUNCTION("""COMPUTED_VALUE"""),15.0)</f>
        <v>15</v>
      </c>
      <c r="D1113" s="13" t="str">
        <f>IFERROR(__xludf.DUMMYFUNCTION("""COMPUTED_VALUE"""),"QUA.")</f>
        <v>QUA.</v>
      </c>
      <c r="E1113" s="13">
        <f>IFERROR(__xludf.DUMMYFUNCTION("""COMPUTED_VALUE"""),12.0)</f>
        <v>12</v>
      </c>
      <c r="F1113" s="15"/>
      <c r="G1113" s="16"/>
      <c r="H1113" s="227">
        <f>IFERROR(__xludf.DUMMYFUNCTION("""COMPUTED_VALUE"""),192.43)</f>
        <v>192.43</v>
      </c>
      <c r="I1113" s="21" t="str">
        <f>IFERROR(__xludf.DUMMYFUNCTION("""COMPUTED_VALUE"""),"NUBANK")</f>
        <v>NUBANK</v>
      </c>
      <c r="J1113" s="21" t="str">
        <f>IFERROR(__xludf.DUMMYFUNCTION("""COMPUTED_VALUE"""),"#Essencial #Saude #Convenio #Familia #Fixo ")</f>
        <v>#Essencial #Saude #Convenio #Familia #Fixo </v>
      </c>
      <c r="K1113" s="216"/>
      <c r="L1113" s="216"/>
      <c r="M1113" s="216"/>
      <c r="N1113" s="216"/>
      <c r="O1113" s="216"/>
      <c r="P1113" s="216"/>
      <c r="Q1113" s="216"/>
    </row>
    <row r="1114">
      <c r="A1114" s="11" t="str">
        <f>IFERROR(__xludf.DUMMYFUNCTION("""COMPUTED_VALUE"""),"PAGO")</f>
        <v>PAGO</v>
      </c>
      <c r="B1114" s="98" t="str">
        <f>IFERROR(__xludf.DUMMYFUNCTION("""COMPUTED_VALUE"""),"Convenio Roberta")</f>
        <v>Convenio Roberta</v>
      </c>
      <c r="C1114" s="13">
        <f>IFERROR(__xludf.DUMMYFUNCTION("""COMPUTED_VALUE"""),15.0)</f>
        <v>15</v>
      </c>
      <c r="D1114" s="13" t="str">
        <f>IFERROR(__xludf.DUMMYFUNCTION("""COMPUTED_VALUE"""),"QUA.")</f>
        <v>QUA.</v>
      </c>
      <c r="E1114" s="13">
        <f>IFERROR(__xludf.DUMMYFUNCTION("""COMPUTED_VALUE"""),12.0)</f>
        <v>12</v>
      </c>
      <c r="F1114" s="15"/>
      <c r="G1114" s="16"/>
      <c r="H1114" s="227">
        <f>IFERROR(__xludf.DUMMYFUNCTION("""COMPUTED_VALUE"""),242.9)</f>
        <v>242.9</v>
      </c>
      <c r="I1114" s="21" t="str">
        <f>IFERROR(__xludf.DUMMYFUNCTION("""COMPUTED_VALUE"""),"NUBANK")</f>
        <v>NUBANK</v>
      </c>
      <c r="J1114" s="21" t="str">
        <f>IFERROR(__xludf.DUMMYFUNCTION("""COMPUTED_VALUE"""),"#Essencial #Saude #Convenio #Familia #Fixo ")</f>
        <v>#Essencial #Saude #Convenio #Familia #Fixo </v>
      </c>
      <c r="K1114" s="216"/>
      <c r="L1114" s="216"/>
      <c r="M1114" s="216"/>
      <c r="N1114" s="216"/>
      <c r="O1114" s="216"/>
      <c r="P1114" s="216"/>
      <c r="Q1114" s="216"/>
    </row>
    <row r="1115">
      <c r="A1115" s="11" t="str">
        <f>IFERROR(__xludf.DUMMYFUNCTION("""COMPUTED_VALUE"""),"PAGO")</f>
        <v>PAGO</v>
      </c>
      <c r="B1115" s="98" t="str">
        <f>IFERROR(__xludf.DUMMYFUNCTION("""COMPUTED_VALUE"""),"Resgate dividendos - Rico Corretora")</f>
        <v>Resgate dividendos - Rico Corretora</v>
      </c>
      <c r="C1115" s="13">
        <f>IFERROR(__xludf.DUMMYFUNCTION("""COMPUTED_VALUE"""),15.0)</f>
        <v>15</v>
      </c>
      <c r="D1115" s="13" t="str">
        <f>IFERROR(__xludf.DUMMYFUNCTION("""COMPUTED_VALUE"""),"DOM.")</f>
        <v>DOM.</v>
      </c>
      <c r="E1115" s="13">
        <f>IFERROR(__xludf.DUMMYFUNCTION("""COMPUTED_VALUE"""),12.0)</f>
        <v>12</v>
      </c>
      <c r="F1115" s="15"/>
      <c r="G1115" s="16">
        <f>IFERROR(__xludf.DUMMYFUNCTION("""COMPUTED_VALUE"""),527.69)</f>
        <v>527.69</v>
      </c>
      <c r="H1115" s="227"/>
      <c r="I1115" s="21" t="str">
        <f>IFERROR(__xludf.DUMMYFUNCTION("""COMPUTED_VALUE"""),"ITAU")</f>
        <v>ITAU</v>
      </c>
      <c r="J1115" s="21" t="str">
        <f>IFERROR(__xludf.DUMMYFUNCTION("""COMPUTED_VALUE"""),"#Recebimentos #Investimento #Rico")</f>
        <v>#Recebimentos #Investimento #Rico</v>
      </c>
      <c r="K1115" s="216"/>
      <c r="L1115" s="216"/>
      <c r="M1115" s="216"/>
      <c r="N1115" s="216"/>
      <c r="O1115" s="216"/>
      <c r="P1115" s="216"/>
      <c r="Q1115" s="216"/>
    </row>
    <row r="1116">
      <c r="A1116" s="11" t="str">
        <f>IFERROR(__xludf.DUMMYFUNCTION("""COMPUTED_VALUE"""),"CONTAS")</f>
        <v>CONTAS</v>
      </c>
      <c r="B1116" s="98" t="str">
        <f>IFERROR(__xludf.DUMMYFUNCTION("""COMPUTED_VALUE"""),"Transferencia via PIX")</f>
        <v>Transferencia via PIX</v>
      </c>
      <c r="C1116" s="13">
        <f>IFERROR(__xludf.DUMMYFUNCTION("""COMPUTED_VALUE"""),15.0)</f>
        <v>15</v>
      </c>
      <c r="D1116" s="13" t="str">
        <f>IFERROR(__xludf.DUMMYFUNCTION("""COMPUTED_VALUE"""),"QUA.")</f>
        <v>QUA.</v>
      </c>
      <c r="E1116" s="13">
        <f>IFERROR(__xludf.DUMMYFUNCTION("""COMPUTED_VALUE"""),12.0)</f>
        <v>12</v>
      </c>
      <c r="F1116" s="15"/>
      <c r="G1116" s="16"/>
      <c r="H1116" s="227">
        <f>IFERROR(__xludf.DUMMYFUNCTION("""COMPUTED_VALUE"""),527.69)</f>
        <v>527.69</v>
      </c>
      <c r="I1116" s="21" t="str">
        <f>IFERROR(__xludf.DUMMYFUNCTION("""COMPUTED_VALUE"""),"ITAU")</f>
        <v>ITAU</v>
      </c>
      <c r="J1116" s="21"/>
      <c r="K1116" s="216"/>
      <c r="L1116" s="216"/>
      <c r="M1116" s="216"/>
      <c r="N1116" s="216"/>
      <c r="O1116" s="216"/>
      <c r="P1116" s="216"/>
      <c r="Q1116" s="216"/>
    </row>
    <row r="1117">
      <c r="A1117" s="11" t="str">
        <f>IFERROR(__xludf.DUMMYFUNCTION("""COMPUTED_VALUE"""),"CONTAS")</f>
        <v>CONTAS</v>
      </c>
      <c r="B1117" s="98" t="str">
        <f>IFERROR(__xludf.DUMMYFUNCTION("""COMPUTED_VALUE"""),"Recebimento via PIX")</f>
        <v>Recebimento via PIX</v>
      </c>
      <c r="C1117" s="13">
        <f>IFERROR(__xludf.DUMMYFUNCTION("""COMPUTED_VALUE"""),15.0)</f>
        <v>15</v>
      </c>
      <c r="D1117" s="13" t="str">
        <f>IFERROR(__xludf.DUMMYFUNCTION("""COMPUTED_VALUE"""),"QUA.")</f>
        <v>QUA.</v>
      </c>
      <c r="E1117" s="13">
        <f>IFERROR(__xludf.DUMMYFUNCTION("""COMPUTED_VALUE"""),12.0)</f>
        <v>12</v>
      </c>
      <c r="F1117" s="15"/>
      <c r="G1117" s="16">
        <f>IFERROR(__xludf.DUMMYFUNCTION("""COMPUTED_VALUE"""),527.69)</f>
        <v>527.69</v>
      </c>
      <c r="H1117" s="227"/>
      <c r="I1117" s="21" t="str">
        <f>IFERROR(__xludf.DUMMYFUNCTION("""COMPUTED_VALUE"""),"NUBANK")</f>
        <v>NUBANK</v>
      </c>
      <c r="J1117" s="21"/>
      <c r="K1117" s="216"/>
      <c r="L1117" s="216"/>
      <c r="M1117" s="216"/>
      <c r="N1117" s="216"/>
      <c r="O1117" s="216"/>
      <c r="P1117" s="216"/>
      <c r="Q1117" s="216"/>
    </row>
    <row r="1118">
      <c r="A1118" s="11" t="str">
        <f>IFERROR(__xludf.DUMMYFUNCTION("""COMPUTED_VALUE"""),"PAGO")</f>
        <v>PAGO</v>
      </c>
      <c r="B1118" s="98" t="str">
        <f>IFERROR(__xludf.DUMMYFUNCTION("""COMPUTED_VALUE"""),"Transferi para investimento - Clear Corretora")</f>
        <v>Transferi para investimento - Clear Corretora</v>
      </c>
      <c r="C1118" s="13">
        <f>IFERROR(__xludf.DUMMYFUNCTION("""COMPUTED_VALUE"""),15.0)</f>
        <v>15</v>
      </c>
      <c r="D1118" s="13" t="str">
        <f>IFERROR(__xludf.DUMMYFUNCTION("""COMPUTED_VALUE"""),"QUA.")</f>
        <v>QUA.</v>
      </c>
      <c r="E1118" s="13">
        <f>IFERROR(__xludf.DUMMYFUNCTION("""COMPUTED_VALUE"""),12.0)</f>
        <v>12</v>
      </c>
      <c r="F1118" s="15"/>
      <c r="G1118" s="16"/>
      <c r="H1118" s="227">
        <f>IFERROR(__xludf.DUMMYFUNCTION("""COMPUTED_VALUE"""),527.69)</f>
        <v>527.69</v>
      </c>
      <c r="I1118" s="21" t="str">
        <f>IFERROR(__xludf.DUMMYFUNCTION("""COMPUTED_VALUE"""),"NUBANK")</f>
        <v>NUBANK</v>
      </c>
      <c r="J1118" s="21" t="str">
        <f>IFERROR(__xludf.DUMMYFUNCTION("""COMPUTED_VALUE"""),"#Transferencia #Investimento #Variavel #Clear")</f>
        <v>#Transferencia #Investimento #Variavel #Clear</v>
      </c>
      <c r="K1118" s="216"/>
      <c r="L1118" s="216"/>
      <c r="M1118" s="216"/>
      <c r="N1118" s="216"/>
      <c r="O1118" s="216"/>
      <c r="P1118" s="216"/>
      <c r="Q1118" s="216"/>
    </row>
    <row r="1119">
      <c r="A1119" s="11" t="str">
        <f>IFERROR(__xludf.DUMMYFUNCTION("""COMPUTED_VALUE"""),"PAGO")</f>
        <v>PAGO</v>
      </c>
      <c r="B1119" s="98" t="str">
        <f>IFERROR(__xludf.DUMMYFUNCTION("""COMPUTED_VALUE"""),"Supermercados Rosalina")</f>
        <v>Supermercados Rosalina</v>
      </c>
      <c r="C1119" s="13">
        <f>IFERROR(__xludf.DUMMYFUNCTION("""COMPUTED_VALUE"""),15.0)</f>
        <v>15</v>
      </c>
      <c r="D1119" s="13" t="str">
        <f>IFERROR(__xludf.DUMMYFUNCTION("""COMPUTED_VALUE"""),"QUA.")</f>
        <v>QUA.</v>
      </c>
      <c r="E1119" s="13">
        <f>IFERROR(__xludf.DUMMYFUNCTION("""COMPUTED_VALUE"""),12.0)</f>
        <v>12</v>
      </c>
      <c r="F1119" s="15"/>
      <c r="G1119" s="16"/>
      <c r="H1119" s="227">
        <f>IFERROR(__xludf.DUMMYFUNCTION("""COMPUTED_VALUE"""),10.5)</f>
        <v>10.5</v>
      </c>
      <c r="I1119" s="21" t="str">
        <f>IFERROR(__xludf.DUMMYFUNCTION("""COMPUTED_VALUE"""),"NUBANK")</f>
        <v>NUBANK</v>
      </c>
      <c r="J1119" s="21" t="str">
        <f>IFERROR(__xludf.DUMMYFUNCTION("""COMPUTED_VALUE"""),"#Moradia #Essencial #Mercado #Variavel #Alimentação ")</f>
        <v>#Moradia #Essencial #Mercado #Variavel #Alimentação </v>
      </c>
      <c r="K1119" s="216"/>
      <c r="L1119" s="216"/>
      <c r="M1119" s="216"/>
      <c r="N1119" s="216"/>
      <c r="O1119" s="216"/>
      <c r="P1119" s="216"/>
      <c r="Q1119" s="216"/>
    </row>
    <row r="1120">
      <c r="A1120" s="11" t="str">
        <f>IFERROR(__xludf.DUMMYFUNCTION("""COMPUTED_VALUE"""),"PAGO")</f>
        <v>PAGO</v>
      </c>
      <c r="B1120" s="98" t="str">
        <f>IFERROR(__xludf.DUMMYFUNCTION("""COMPUTED_VALUE"""),"FarmaConde - Cidade Jardim 4520 x Jacinto Gallo")</f>
        <v>FarmaConde - Cidade Jardim 4520 x Jacinto Gallo</v>
      </c>
      <c r="C1120" s="13">
        <f>IFERROR(__xludf.DUMMYFUNCTION("""COMPUTED_VALUE"""),15.0)</f>
        <v>15</v>
      </c>
      <c r="D1120" s="13" t="str">
        <f>IFERROR(__xludf.DUMMYFUNCTION("""COMPUTED_VALUE"""),"QUA.")</f>
        <v>QUA.</v>
      </c>
      <c r="E1120" s="13">
        <f>IFERROR(__xludf.DUMMYFUNCTION("""COMPUTED_VALUE"""),12.0)</f>
        <v>12</v>
      </c>
      <c r="F1120" s="15"/>
      <c r="G1120" s="16"/>
      <c r="H1120" s="227">
        <f>IFERROR(__xludf.DUMMYFUNCTION("""COMPUTED_VALUE"""),34.85)</f>
        <v>34.85</v>
      </c>
      <c r="I1120" s="21" t="str">
        <f>IFERROR(__xludf.DUMMYFUNCTION("""COMPUTED_VALUE"""),"NUBANK")</f>
        <v>NUBANK</v>
      </c>
      <c r="J1120" s="21" t="str">
        <f>IFERROR(__xludf.DUMMYFUNCTION("""COMPUTED_VALUE"""),"#Remedios #Eduardo #Variavel ")</f>
        <v>#Remedios #Eduardo #Variavel </v>
      </c>
      <c r="K1120" s="216"/>
      <c r="L1120" s="216"/>
      <c r="M1120" s="216"/>
      <c r="N1120" s="216"/>
      <c r="O1120" s="216"/>
      <c r="P1120" s="216"/>
      <c r="Q1120" s="216"/>
    </row>
    <row r="1121">
      <c r="A1121" s="11" t="str">
        <f>IFERROR(__xludf.DUMMYFUNCTION("""COMPUTED_VALUE"""),"PREVISTO")</f>
        <v>PREVISTO</v>
      </c>
      <c r="B1121" s="98" t="str">
        <f>IFERROR(__xludf.DUMMYFUNCTION("""COMPUTED_VALUE"""),"Entrada prestação casa de Itaquera")</f>
        <v>Entrada prestação casa de Itaquera</v>
      </c>
      <c r="C1121" s="13">
        <f>IFERROR(__xludf.DUMMYFUNCTION("""COMPUTED_VALUE"""),15.0)</f>
        <v>15</v>
      </c>
      <c r="D1121" s="13" t="str">
        <f>IFERROR(__xludf.DUMMYFUNCTION("""COMPUTED_VALUE"""),"QUA.")</f>
        <v>QUA.</v>
      </c>
      <c r="E1121" s="13">
        <f>IFERROR(__xludf.DUMMYFUNCTION("""COMPUTED_VALUE"""),12.0)</f>
        <v>12</v>
      </c>
      <c r="F1121" s="15"/>
      <c r="G1121" s="16">
        <f>IFERROR(__xludf.DUMMYFUNCTION("""COMPUTED_VALUE"""),2500.0)</f>
        <v>2500</v>
      </c>
      <c r="H1121" s="227"/>
      <c r="I1121" s="21" t="str">
        <f>IFERROR(__xludf.DUMMYFUNCTION("""COMPUTED_VALUE"""),"INTER")</f>
        <v>INTER</v>
      </c>
      <c r="J1121" s="21" t="str">
        <f>IFERROR(__xludf.DUMMYFUNCTION("""COMPUTED_VALUE"""),"#Recebimentos #Prestação #Itaquera #Inter #Variavel")</f>
        <v>#Recebimentos #Prestação #Itaquera #Inter #Variavel</v>
      </c>
      <c r="K1121" s="216"/>
      <c r="L1121" s="216"/>
      <c r="M1121" s="216"/>
      <c r="N1121" s="216"/>
      <c r="O1121" s="216"/>
      <c r="P1121" s="216"/>
      <c r="Q1121" s="216"/>
    </row>
    <row r="1122">
      <c r="A1122" s="11" t="str">
        <f>IFERROR(__xludf.DUMMYFUNCTION("""COMPUTED_VALUE"""),"PAGO")</f>
        <v>PAGO</v>
      </c>
      <c r="B1122" s="98" t="str">
        <f>IFERROR(__xludf.DUMMYFUNCTION("""COMPUTED_VALUE"""),"Levitar SJC - sorvetes")</f>
        <v>Levitar SJC - sorvetes</v>
      </c>
      <c r="C1122" s="13">
        <f>IFERROR(__xludf.DUMMYFUNCTION("""COMPUTED_VALUE"""),16.0)</f>
        <v>16</v>
      </c>
      <c r="D1122" s="13" t="str">
        <f>IFERROR(__xludf.DUMMYFUNCTION("""COMPUTED_VALUE"""),"QUI.")</f>
        <v>QUI.</v>
      </c>
      <c r="E1122" s="13">
        <f>IFERROR(__xludf.DUMMYFUNCTION("""COMPUTED_VALUE"""),12.0)</f>
        <v>12</v>
      </c>
      <c r="F1122" s="15"/>
      <c r="G1122" s="16"/>
      <c r="H1122" s="227">
        <f>IFERROR(__xludf.DUMMYFUNCTION("""COMPUTED_VALUE"""),25.5)</f>
        <v>25.5</v>
      </c>
      <c r="I1122" s="21" t="str">
        <f>IFERROR(__xludf.DUMMYFUNCTION("""COMPUTED_VALUE"""),"NUBANK")</f>
        <v>NUBANK</v>
      </c>
      <c r="J1122" s="21" t="str">
        <f>IFERROR(__xludf.DUMMYFUNCTION("""COMPUTED_VALUE"""),"#Lazer #Comida #Variavel")</f>
        <v>#Lazer #Comida #Variavel</v>
      </c>
      <c r="K1122" s="216"/>
      <c r="L1122" s="216"/>
      <c r="M1122" s="216"/>
      <c r="N1122" s="216"/>
      <c r="O1122" s="216"/>
      <c r="P1122" s="216"/>
      <c r="Q1122" s="216"/>
    </row>
    <row r="1123">
      <c r="A1123" s="11" t="str">
        <f>IFERROR(__xludf.DUMMYFUNCTION("""COMPUTED_VALUE"""),"PAGO")</f>
        <v>PAGO</v>
      </c>
      <c r="B1123" s="98" t="str">
        <f>IFERROR(__xludf.DUMMYFUNCTION("""COMPUTED_VALUE"""),"iFood - Pizza Hut")</f>
        <v>iFood - Pizza Hut</v>
      </c>
      <c r="C1123" s="13">
        <f>IFERROR(__xludf.DUMMYFUNCTION("""COMPUTED_VALUE"""),17.0)</f>
        <v>17</v>
      </c>
      <c r="D1123" s="13" t="str">
        <f>IFERROR(__xludf.DUMMYFUNCTION("""COMPUTED_VALUE"""),"SEX.")</f>
        <v>SEX.</v>
      </c>
      <c r="E1123" s="13">
        <f>IFERROR(__xludf.DUMMYFUNCTION("""COMPUTED_VALUE"""),12.0)</f>
        <v>12</v>
      </c>
      <c r="F1123" s="15"/>
      <c r="G1123" s="16"/>
      <c r="H1123" s="227">
        <f>IFERROR(__xludf.DUMMYFUNCTION("""COMPUTED_VALUE"""),84.89)</f>
        <v>84.89</v>
      </c>
      <c r="I1123" s="21" t="str">
        <f>IFERROR(__xludf.DUMMYFUNCTION("""COMPUTED_VALUE"""),"NUBANK")</f>
        <v>NUBANK</v>
      </c>
      <c r="J1123" s="21" t="str">
        <f>IFERROR(__xludf.DUMMYFUNCTION("""COMPUTED_VALUE"""),"#Lazer #Comida #Variavel")</f>
        <v>#Lazer #Comida #Variavel</v>
      </c>
      <c r="K1123" s="216"/>
      <c r="L1123" s="216"/>
      <c r="M1123" s="216"/>
      <c r="N1123" s="216"/>
      <c r="O1123" s="216"/>
      <c r="P1123" s="216"/>
      <c r="Q1123" s="216"/>
    </row>
    <row r="1124">
      <c r="A1124" s="11" t="str">
        <f>IFERROR(__xludf.DUMMYFUNCTION("""COMPUTED_VALUE"""),"PAGO")</f>
        <v>PAGO</v>
      </c>
      <c r="B1124" s="98" t="str">
        <f>IFERROR(__xludf.DUMMYFUNCTION("""COMPUTED_VALUE"""),"Recarga TIM Cicero 11 948825242")</f>
        <v>Recarga TIM Cicero 11 948825242</v>
      </c>
      <c r="C1124" s="13">
        <f>IFERROR(__xludf.DUMMYFUNCTION("""COMPUTED_VALUE"""),17.0)</f>
        <v>17</v>
      </c>
      <c r="D1124" s="13" t="str">
        <f>IFERROR(__xludf.DUMMYFUNCTION("""COMPUTED_VALUE"""),"SEX.")</f>
        <v>SEX.</v>
      </c>
      <c r="E1124" s="13">
        <f>IFERROR(__xludf.DUMMYFUNCTION("""COMPUTED_VALUE"""),12.0)</f>
        <v>12</v>
      </c>
      <c r="F1124" s="15"/>
      <c r="G1124" s="16"/>
      <c r="H1124" s="227">
        <f>IFERROR(__xludf.DUMMYFUNCTION("""COMPUTED_VALUE"""),20.0)</f>
        <v>20</v>
      </c>
      <c r="I1124" s="21" t="str">
        <f>IFERROR(__xludf.DUMMYFUNCTION("""COMPUTED_VALUE"""),"NUBANK")</f>
        <v>NUBANK</v>
      </c>
      <c r="J1124" s="21" t="str">
        <f>IFERROR(__xludf.DUMMYFUNCTION("""COMPUTED_VALUE"""),"#Variavel #Recarga #TIM ")</f>
        <v>#Variavel #Recarga #TIM </v>
      </c>
      <c r="K1124" s="216"/>
      <c r="L1124" s="216"/>
      <c r="M1124" s="216"/>
      <c r="N1124" s="216"/>
      <c r="O1124" s="216"/>
      <c r="P1124" s="216"/>
      <c r="Q1124" s="216"/>
    </row>
    <row r="1125">
      <c r="A1125" s="11" t="str">
        <f>IFERROR(__xludf.DUMMYFUNCTION("""COMPUTED_VALUE"""),"PAGO")</f>
        <v>PAGO</v>
      </c>
      <c r="B1125" s="98" t="str">
        <f>IFERROR(__xludf.DUMMYFUNCTION("""COMPUTED_VALUE"""),"Levitar SJC - sorvetes")</f>
        <v>Levitar SJC - sorvetes</v>
      </c>
      <c r="C1125" s="13">
        <f>IFERROR(__xludf.DUMMYFUNCTION("""COMPUTED_VALUE"""),18.0)</f>
        <v>18</v>
      </c>
      <c r="D1125" s="13" t="str">
        <f>IFERROR(__xludf.DUMMYFUNCTION("""COMPUTED_VALUE"""),"SÁB.")</f>
        <v>SÁB.</v>
      </c>
      <c r="E1125" s="13">
        <f>IFERROR(__xludf.DUMMYFUNCTION("""COMPUTED_VALUE"""),12.0)</f>
        <v>12</v>
      </c>
      <c r="F1125" s="15"/>
      <c r="G1125" s="16"/>
      <c r="H1125" s="227">
        <f>IFERROR(__xludf.DUMMYFUNCTION("""COMPUTED_VALUE"""),22.5)</f>
        <v>22.5</v>
      </c>
      <c r="I1125" s="21" t="str">
        <f>IFERROR(__xludf.DUMMYFUNCTION("""COMPUTED_VALUE"""),"NUBANK")</f>
        <v>NUBANK</v>
      </c>
      <c r="J1125" s="21" t="str">
        <f>IFERROR(__xludf.DUMMYFUNCTION("""COMPUTED_VALUE"""),"#Lazer #Comida #Variavel")</f>
        <v>#Lazer #Comida #Variavel</v>
      </c>
      <c r="K1125" s="216"/>
      <c r="L1125" s="216"/>
      <c r="M1125" s="216"/>
      <c r="N1125" s="216"/>
      <c r="O1125" s="216"/>
      <c r="P1125" s="216"/>
      <c r="Q1125" s="216"/>
    </row>
    <row r="1126">
      <c r="A1126" s="11" t="str">
        <f>IFERROR(__xludf.DUMMYFUNCTION("""COMPUTED_VALUE"""),"PAGO")</f>
        <v>PAGO</v>
      </c>
      <c r="B1126" s="98" t="str">
        <f>IFERROR(__xludf.DUMMYFUNCTION("""COMPUTED_VALUE"""),"Supermercados Máximo")</f>
        <v>Supermercados Máximo</v>
      </c>
      <c r="C1126" s="13">
        <f>IFERROR(__xludf.DUMMYFUNCTION("""COMPUTED_VALUE"""),19.0)</f>
        <v>19</v>
      </c>
      <c r="D1126" s="13" t="str">
        <f>IFERROR(__xludf.DUMMYFUNCTION("""COMPUTED_VALUE"""),"DOM.")</f>
        <v>DOM.</v>
      </c>
      <c r="E1126" s="13">
        <f>IFERROR(__xludf.DUMMYFUNCTION("""COMPUTED_VALUE"""),12.0)</f>
        <v>12</v>
      </c>
      <c r="F1126" s="15"/>
      <c r="G1126" s="16"/>
      <c r="H1126" s="227">
        <f>IFERROR(__xludf.DUMMYFUNCTION("""COMPUTED_VALUE"""),182.69)</f>
        <v>182.69</v>
      </c>
      <c r="I1126" s="21" t="str">
        <f>IFERROR(__xludf.DUMMYFUNCTION("""COMPUTED_VALUE"""),"SODEXO-REF-IBM")</f>
        <v>SODEXO-REF-IBM</v>
      </c>
      <c r="J1126" s="21" t="str">
        <f>IFERROR(__xludf.DUMMYFUNCTION("""COMPUTED_VALUE"""),"#Moradia #Essencial #Mercado #Variavel #Alimentação ")</f>
        <v>#Moradia #Essencial #Mercado #Variavel #Alimentação </v>
      </c>
      <c r="K1126" s="216"/>
      <c r="L1126" s="216"/>
      <c r="M1126" s="216"/>
      <c r="N1126" s="216"/>
      <c r="O1126" s="216"/>
      <c r="P1126" s="216"/>
      <c r="Q1126" s="216"/>
    </row>
    <row r="1127">
      <c r="A1127" s="11" t="str">
        <f>IFERROR(__xludf.DUMMYFUNCTION("""COMPUTED_VALUE"""),"PAGO")</f>
        <v>PAGO</v>
      </c>
      <c r="B1127" s="98" t="str">
        <f>IFERROR(__xludf.DUMMYFUNCTION("""COMPUTED_VALUE"""),"Convenio Cicero")</f>
        <v>Convenio Cicero</v>
      </c>
      <c r="C1127" s="13">
        <f>IFERROR(__xludf.DUMMYFUNCTION("""COMPUTED_VALUE"""),20.0)</f>
        <v>20</v>
      </c>
      <c r="D1127" s="13" t="str">
        <f>IFERROR(__xludf.DUMMYFUNCTION("""COMPUTED_VALUE"""),"SEG.")</f>
        <v>SEG.</v>
      </c>
      <c r="E1127" s="13">
        <f>IFERROR(__xludf.DUMMYFUNCTION("""COMPUTED_VALUE"""),12.0)</f>
        <v>12</v>
      </c>
      <c r="F1127" s="15">
        <f>IFERROR(__xludf.DUMMYFUNCTION("""COMPUTED_VALUE"""),44545.0)</f>
        <v>44545</v>
      </c>
      <c r="G1127" s="16"/>
      <c r="H1127" s="227">
        <f>IFERROR(__xludf.DUMMYFUNCTION("""COMPUTED_VALUE"""),373.41)</f>
        <v>373.41</v>
      </c>
      <c r="I1127" s="21" t="str">
        <f>IFERROR(__xludf.DUMMYFUNCTION("""COMPUTED_VALUE"""),"NUBANK")</f>
        <v>NUBANK</v>
      </c>
      <c r="J1127" s="21" t="str">
        <f>IFERROR(__xludf.DUMMYFUNCTION("""COMPUTED_VALUE"""),"#Essencial #Saude #Convenio #Familia #Cicero #Fixo ")</f>
        <v>#Essencial #Saude #Convenio #Familia #Cicero #Fixo </v>
      </c>
      <c r="K1127" s="216"/>
      <c r="L1127" s="216"/>
      <c r="M1127" s="216"/>
      <c r="N1127" s="216"/>
      <c r="O1127" s="216"/>
      <c r="P1127" s="216"/>
      <c r="Q1127" s="216"/>
    </row>
    <row r="1128">
      <c r="A1128" s="11" t="str">
        <f>IFERROR(__xludf.DUMMYFUNCTION("""COMPUTED_VALUE"""),"PAGO")</f>
        <v>PAGO</v>
      </c>
      <c r="B1128" s="98" t="str">
        <f>IFERROR(__xludf.DUMMYFUNCTION("""COMPUTED_VALUE"""),"Recarga Sodexo Alimentação IBM")</f>
        <v>Recarga Sodexo Alimentação IBM</v>
      </c>
      <c r="C1128" s="13">
        <f>IFERROR(__xludf.DUMMYFUNCTION("""COMPUTED_VALUE"""),20.0)</f>
        <v>20</v>
      </c>
      <c r="D1128" s="13" t="str">
        <f>IFERROR(__xludf.DUMMYFUNCTION("""COMPUTED_VALUE"""),"SEG.")</f>
        <v>SEG.</v>
      </c>
      <c r="E1128" s="13">
        <f>IFERROR(__xludf.DUMMYFUNCTION("""COMPUTED_VALUE"""),12.0)</f>
        <v>12</v>
      </c>
      <c r="F1128" s="15"/>
      <c r="G1128" s="16">
        <f>IFERROR(__xludf.DUMMYFUNCTION("""COMPUTED_VALUE"""),330.0)</f>
        <v>330</v>
      </c>
      <c r="H1128" s="227"/>
      <c r="I1128" s="21" t="str">
        <f>IFERROR(__xludf.DUMMYFUNCTION("""COMPUTED_VALUE"""),"SODEXO-ALI-IBM")</f>
        <v>SODEXO-ALI-IBM</v>
      </c>
      <c r="J1128" s="21" t="str">
        <f>IFERROR(__xludf.DUMMYFUNCTION("""COMPUTED_VALUE"""),"#Recebimentos #Alimentação #Fixo")</f>
        <v>#Recebimentos #Alimentação #Fixo</v>
      </c>
      <c r="K1128" s="216"/>
      <c r="L1128" s="216"/>
      <c r="M1128" s="216"/>
      <c r="N1128" s="216"/>
      <c r="O1128" s="216"/>
      <c r="P1128" s="216"/>
      <c r="Q1128" s="216"/>
    </row>
    <row r="1129">
      <c r="A1129" s="11" t="str">
        <f>IFERROR(__xludf.DUMMYFUNCTION("""COMPUTED_VALUE"""),"PAGO")</f>
        <v>PAGO</v>
      </c>
      <c r="B1129" s="98" t="str">
        <f>IFERROR(__xludf.DUMMYFUNCTION("""COMPUTED_VALUE"""),"Recarga Sodexo Refeição IBM")</f>
        <v>Recarga Sodexo Refeição IBM</v>
      </c>
      <c r="C1129" s="13">
        <f>IFERROR(__xludf.DUMMYFUNCTION("""COMPUTED_VALUE"""),20.0)</f>
        <v>20</v>
      </c>
      <c r="D1129" s="13" t="str">
        <f>IFERROR(__xludf.DUMMYFUNCTION("""COMPUTED_VALUE"""),"SEG.")</f>
        <v>SEG.</v>
      </c>
      <c r="E1129" s="13">
        <f>IFERROR(__xludf.DUMMYFUNCTION("""COMPUTED_VALUE"""),12.0)</f>
        <v>12</v>
      </c>
      <c r="F1129" s="15"/>
      <c r="G1129" s="16">
        <f>IFERROR(__xludf.DUMMYFUNCTION("""COMPUTED_VALUE"""),700.0)</f>
        <v>700</v>
      </c>
      <c r="H1129" s="227"/>
      <c r="I1129" s="21" t="str">
        <f>IFERROR(__xludf.DUMMYFUNCTION("""COMPUTED_VALUE"""),"SODEXO-REF-IBM")</f>
        <v>SODEXO-REF-IBM</v>
      </c>
      <c r="J1129" s="21" t="str">
        <f>IFERROR(__xludf.DUMMYFUNCTION("""COMPUTED_VALUE"""),"#Recebimentos #Alimentação #Fixo")</f>
        <v>#Recebimentos #Alimentação #Fixo</v>
      </c>
      <c r="K1129" s="216"/>
      <c r="L1129" s="216"/>
      <c r="M1129" s="216"/>
      <c r="N1129" s="216"/>
      <c r="O1129" s="216"/>
      <c r="P1129" s="216"/>
      <c r="Q1129" s="216"/>
    </row>
    <row r="1130">
      <c r="A1130" s="11" t="str">
        <f>IFERROR(__xludf.DUMMYFUNCTION("""COMPUTED_VALUE"""),"PAGO")</f>
        <v>PAGO</v>
      </c>
      <c r="B1130" s="98" t="str">
        <f>IFERROR(__xludf.DUMMYFUNCTION("""COMPUTED_VALUE"""),"Levitar SJC - sorvetes")</f>
        <v>Levitar SJC - sorvetes</v>
      </c>
      <c r="C1130" s="13">
        <f>IFERROR(__xludf.DUMMYFUNCTION("""COMPUTED_VALUE"""),20.0)</f>
        <v>20</v>
      </c>
      <c r="D1130" s="13" t="str">
        <f>IFERROR(__xludf.DUMMYFUNCTION("""COMPUTED_VALUE"""),"SEG.")</f>
        <v>SEG.</v>
      </c>
      <c r="E1130" s="13">
        <f>IFERROR(__xludf.DUMMYFUNCTION("""COMPUTED_VALUE"""),12.0)</f>
        <v>12</v>
      </c>
      <c r="F1130" s="15"/>
      <c r="G1130" s="16"/>
      <c r="H1130" s="227">
        <f>IFERROR(__xludf.DUMMYFUNCTION("""COMPUTED_VALUE"""),7.0)</f>
        <v>7</v>
      </c>
      <c r="I1130" s="21" t="str">
        <f>IFERROR(__xludf.DUMMYFUNCTION("""COMPUTED_VALUE"""),"NUBANK")</f>
        <v>NUBANK</v>
      </c>
      <c r="J1130" s="21" t="str">
        <f>IFERROR(__xludf.DUMMYFUNCTION("""COMPUTED_VALUE"""),"#Lazer #Comida #Variavel")</f>
        <v>#Lazer #Comida #Variavel</v>
      </c>
      <c r="K1130" s="216"/>
      <c r="L1130" s="216"/>
      <c r="M1130" s="216"/>
      <c r="N1130" s="216"/>
      <c r="O1130" s="216"/>
      <c r="P1130" s="216"/>
      <c r="Q1130" s="216"/>
    </row>
    <row r="1131">
      <c r="A1131" s="11" t="str">
        <f>IFERROR(__xludf.DUMMYFUNCTION("""COMPUTED_VALUE"""),"PAGO")</f>
        <v>PAGO</v>
      </c>
      <c r="B1131" s="98" t="str">
        <f>IFERROR(__xludf.DUMMYFUNCTION("""COMPUTED_VALUE"""),"Doação Natal - Vakinha")</f>
        <v>Doação Natal - Vakinha</v>
      </c>
      <c r="C1131" s="13">
        <f>IFERROR(__xludf.DUMMYFUNCTION("""COMPUTED_VALUE"""),21.0)</f>
        <v>21</v>
      </c>
      <c r="D1131" s="13" t="str">
        <f>IFERROR(__xludf.DUMMYFUNCTION("""COMPUTED_VALUE"""),"TER.")</f>
        <v>TER.</v>
      </c>
      <c r="E1131" s="13">
        <f>IFERROR(__xludf.DUMMYFUNCTION("""COMPUTED_VALUE"""),12.0)</f>
        <v>12</v>
      </c>
      <c r="F1131" s="15"/>
      <c r="G1131" s="16"/>
      <c r="H1131" s="227">
        <f>IFERROR(__xludf.DUMMYFUNCTION("""COMPUTED_VALUE"""),200.0)</f>
        <v>200</v>
      </c>
      <c r="I1131" s="21" t="str">
        <f>IFERROR(__xludf.DUMMYFUNCTION("""COMPUTED_VALUE"""),"NUBANK")</f>
        <v>NUBANK</v>
      </c>
      <c r="J1131" s="21" t="str">
        <f>IFERROR(__xludf.DUMMYFUNCTION("""COMPUTED_VALUE"""),"#Natal #Doação #Variavel")</f>
        <v>#Natal #Doação #Variavel</v>
      </c>
      <c r="K1131" s="216"/>
      <c r="L1131" s="216"/>
      <c r="M1131" s="216"/>
      <c r="N1131" s="216"/>
      <c r="O1131" s="216"/>
      <c r="P1131" s="216"/>
      <c r="Q1131" s="216"/>
    </row>
    <row r="1132">
      <c r="A1132" s="11" t="str">
        <f>IFERROR(__xludf.DUMMYFUNCTION("""COMPUTED_VALUE"""),"PAGO")</f>
        <v>PAGO</v>
      </c>
      <c r="B1132" s="98" t="str">
        <f>IFERROR(__xludf.DUMMYFUNCTION("""COMPUTED_VALUE"""),"Salario - IBM - Férias")</f>
        <v>Salario - IBM - Férias</v>
      </c>
      <c r="C1132" s="13">
        <f>IFERROR(__xludf.DUMMYFUNCTION("""COMPUTED_VALUE"""),21.0)</f>
        <v>21</v>
      </c>
      <c r="D1132" s="13" t="str">
        <f>IFERROR(__xludf.DUMMYFUNCTION("""COMPUTED_VALUE"""),"TER.")</f>
        <v>TER.</v>
      </c>
      <c r="E1132" s="13">
        <f>IFERROR(__xludf.DUMMYFUNCTION("""COMPUTED_VALUE"""),12.0)</f>
        <v>12</v>
      </c>
      <c r="F1132" s="15"/>
      <c r="G1132" s="16">
        <f>IFERROR(__xludf.DUMMYFUNCTION("""COMPUTED_VALUE"""),4523.45)</f>
        <v>4523.45</v>
      </c>
      <c r="H1132" s="227"/>
      <c r="I1132" s="21" t="str">
        <f>IFERROR(__xludf.DUMMYFUNCTION("""COMPUTED_VALUE"""),"SANTANDER")</f>
        <v>SANTANDER</v>
      </c>
      <c r="J1132" s="21" t="str">
        <f>IFERROR(__xludf.DUMMYFUNCTION("""COMPUTED_VALUE"""),"#Recebimentos #Salario #Férias #Fixo")</f>
        <v>#Recebimentos #Salario #Férias #Fixo</v>
      </c>
      <c r="K1132" s="216"/>
      <c r="L1132" s="216"/>
      <c r="M1132" s="216"/>
      <c r="N1132" s="216"/>
      <c r="O1132" s="216"/>
      <c r="P1132" s="216"/>
      <c r="Q1132" s="216"/>
    </row>
    <row r="1133">
      <c r="A1133" s="11" t="str">
        <f>IFERROR(__xludf.DUMMYFUNCTION("""COMPUTED_VALUE"""),"PAGO")</f>
        <v>PAGO</v>
      </c>
      <c r="B1133" s="98" t="str">
        <f>IFERROR(__xludf.DUMMYFUNCTION("""COMPUTED_VALUE"""),"Agua - ITAQUERA - SERÁ PAGO PELA JOICE (CASA ALUGADA)")</f>
        <v>Agua - ITAQUERA - SERÁ PAGO PELA JOICE (CASA ALUGADA)</v>
      </c>
      <c r="C1133" s="13">
        <f>IFERROR(__xludf.DUMMYFUNCTION("""COMPUTED_VALUE"""),22.0)</f>
        <v>22</v>
      </c>
      <c r="D1133" s="13" t="str">
        <f>IFERROR(__xludf.DUMMYFUNCTION("""COMPUTED_VALUE"""),"QUA.")</f>
        <v>QUA.</v>
      </c>
      <c r="E1133" s="13">
        <f>IFERROR(__xludf.DUMMYFUNCTION("""COMPUTED_VALUE"""),12.0)</f>
        <v>12</v>
      </c>
      <c r="F1133" s="15"/>
      <c r="G1133" s="16"/>
      <c r="H1133" s="227">
        <f>IFERROR(__xludf.DUMMYFUNCTION("""COMPUTED_VALUE"""),0.0)</f>
        <v>0</v>
      </c>
      <c r="I1133" s="21" t="str">
        <f>IFERROR(__xludf.DUMMYFUNCTION("""COMPUTED_VALUE"""),"NUBANK")</f>
        <v>NUBANK</v>
      </c>
      <c r="J1133" s="21" t="str">
        <f>IFERROR(__xludf.DUMMYFUNCTION("""COMPUTED_VALUE"""),"#Itaquera #Essencial #AjudaAlmir #Fixo")</f>
        <v>#Itaquera #Essencial #AjudaAlmir #Fixo</v>
      </c>
      <c r="K1133" s="216"/>
      <c r="L1133" s="216"/>
      <c r="M1133" s="216"/>
      <c r="N1133" s="216"/>
      <c r="O1133" s="216"/>
      <c r="P1133" s="216"/>
      <c r="Q1133" s="216"/>
    </row>
    <row r="1134">
      <c r="A1134" s="11" t="str">
        <f>IFERROR(__xludf.DUMMYFUNCTION("""COMPUTED_VALUE"""),"PAGO")</f>
        <v>PAGO</v>
      </c>
      <c r="B1134" s="98" t="str">
        <f>IFERROR(__xludf.DUMMYFUNCTION("""COMPUTED_VALUE"""),"Luz - DEBITO AUTO")</f>
        <v>Luz - DEBITO AUTO</v>
      </c>
      <c r="C1134" s="13">
        <f>IFERROR(__xludf.DUMMYFUNCTION("""COMPUTED_VALUE"""),22.0)</f>
        <v>22</v>
      </c>
      <c r="D1134" s="13" t="str">
        <f>IFERROR(__xludf.DUMMYFUNCTION("""COMPUTED_VALUE"""),"QUA.")</f>
        <v>QUA.</v>
      </c>
      <c r="E1134" s="13">
        <f>IFERROR(__xludf.DUMMYFUNCTION("""COMPUTED_VALUE"""),12.0)</f>
        <v>12</v>
      </c>
      <c r="F1134" s="15"/>
      <c r="G1134" s="16"/>
      <c r="H1134" s="227">
        <f>IFERROR(__xludf.DUMMYFUNCTION("""COMPUTED_VALUE"""),322.51)</f>
        <v>322.51</v>
      </c>
      <c r="I1134" s="21" t="str">
        <f>IFERROR(__xludf.DUMMYFUNCTION("""COMPUTED_VALUE"""),"ITAU")</f>
        <v>ITAU</v>
      </c>
      <c r="J1134" s="21" t="str">
        <f>IFERROR(__xludf.DUMMYFUNCTION("""COMPUTED_VALUE"""),"#Moradia #Essencial #Luz #Fixo")</f>
        <v>#Moradia #Essencial #Luz #Fixo</v>
      </c>
      <c r="K1134" s="216"/>
      <c r="L1134" s="216"/>
      <c r="M1134" s="216"/>
      <c r="N1134" s="216"/>
      <c r="O1134" s="216"/>
      <c r="P1134" s="216"/>
      <c r="Q1134" s="216"/>
    </row>
    <row r="1135">
      <c r="A1135" s="11" t="str">
        <f>IFERROR(__xludf.DUMMYFUNCTION("""COMPUTED_VALUE"""),"PAGO")</f>
        <v>PAGO</v>
      </c>
      <c r="B1135" s="98" t="str">
        <f>IFERROR(__xludf.DUMMYFUNCTION("""COMPUTED_VALUE"""),"Shibata")</f>
        <v>Shibata</v>
      </c>
      <c r="C1135" s="13">
        <f>IFERROR(__xludf.DUMMYFUNCTION("""COMPUTED_VALUE"""),22.0)</f>
        <v>22</v>
      </c>
      <c r="D1135" s="13" t="str">
        <f>IFERROR(__xludf.DUMMYFUNCTION("""COMPUTED_VALUE"""),"QUA.")</f>
        <v>QUA.</v>
      </c>
      <c r="E1135" s="13">
        <f>IFERROR(__xludf.DUMMYFUNCTION("""COMPUTED_VALUE"""),12.0)</f>
        <v>12</v>
      </c>
      <c r="F1135" s="15"/>
      <c r="G1135" s="16"/>
      <c r="H1135" s="227">
        <f>IFERROR(__xludf.DUMMYFUNCTION("""COMPUTED_VALUE"""),371.82)</f>
        <v>371.82</v>
      </c>
      <c r="I1135" s="21" t="str">
        <f>IFERROR(__xludf.DUMMYFUNCTION("""COMPUTED_VALUE"""),"SODEXO-REF-IBM")</f>
        <v>SODEXO-REF-IBM</v>
      </c>
      <c r="J1135" s="21" t="str">
        <f>IFERROR(__xludf.DUMMYFUNCTION("""COMPUTED_VALUE"""),"#Moradia #Essencial #Mercado #Variavel #Alimentação #Natal")</f>
        <v>#Moradia #Essencial #Mercado #Variavel #Alimentação #Natal</v>
      </c>
      <c r="K1135" s="216"/>
      <c r="L1135" s="216"/>
      <c r="M1135" s="216"/>
      <c r="N1135" s="216"/>
      <c r="O1135" s="216"/>
      <c r="P1135" s="216"/>
      <c r="Q1135" s="216"/>
    </row>
    <row r="1136">
      <c r="A1136" s="11" t="str">
        <f>IFERROR(__xludf.DUMMYFUNCTION("""COMPUTED_VALUE"""),"CONTAS")</f>
        <v>CONTAS</v>
      </c>
      <c r="B1136" s="98" t="str">
        <f>IFERROR(__xludf.DUMMYFUNCTION("""COMPUTED_VALUE"""),"Transferencia via PIX")</f>
        <v>Transferencia via PIX</v>
      </c>
      <c r="C1136" s="13">
        <f>IFERROR(__xludf.DUMMYFUNCTION("""COMPUTED_VALUE"""),24.0)</f>
        <v>24</v>
      </c>
      <c r="D1136" s="13" t="str">
        <f>IFERROR(__xludf.DUMMYFUNCTION("""COMPUTED_VALUE"""),"SEX.")</f>
        <v>SEX.</v>
      </c>
      <c r="E1136" s="13">
        <f>IFERROR(__xludf.DUMMYFUNCTION("""COMPUTED_VALUE"""),12.0)</f>
        <v>12</v>
      </c>
      <c r="F1136" s="15"/>
      <c r="G1136" s="16"/>
      <c r="H1136" s="227">
        <f>IFERROR(__xludf.DUMMYFUNCTION("""COMPUTED_VALUE"""),4523.45)</f>
        <v>4523.45</v>
      </c>
      <c r="I1136" s="21" t="str">
        <f>IFERROR(__xludf.DUMMYFUNCTION("""COMPUTED_VALUE"""),"SANTANDER")</f>
        <v>SANTANDER</v>
      </c>
      <c r="J1136" s="21"/>
      <c r="K1136" s="216"/>
      <c r="L1136" s="216"/>
      <c r="M1136" s="216"/>
      <c r="N1136" s="216"/>
      <c r="O1136" s="216"/>
      <c r="P1136" s="216"/>
      <c r="Q1136" s="216"/>
    </row>
    <row r="1137">
      <c r="A1137" s="11" t="str">
        <f>IFERROR(__xludf.DUMMYFUNCTION("""COMPUTED_VALUE"""),"CONTAS")</f>
        <v>CONTAS</v>
      </c>
      <c r="B1137" s="98" t="str">
        <f>IFERROR(__xludf.DUMMYFUNCTION("""COMPUTED_VALUE"""),"Recebimento via PIX")</f>
        <v>Recebimento via PIX</v>
      </c>
      <c r="C1137" s="13">
        <f>IFERROR(__xludf.DUMMYFUNCTION("""COMPUTED_VALUE"""),24.0)</f>
        <v>24</v>
      </c>
      <c r="D1137" s="13" t="str">
        <f>IFERROR(__xludf.DUMMYFUNCTION("""COMPUTED_VALUE"""),"SEX.")</f>
        <v>SEX.</v>
      </c>
      <c r="E1137" s="13">
        <f>IFERROR(__xludf.DUMMYFUNCTION("""COMPUTED_VALUE"""),12.0)</f>
        <v>12</v>
      </c>
      <c r="F1137" s="15"/>
      <c r="G1137" s="16">
        <f>IFERROR(__xludf.DUMMYFUNCTION("""COMPUTED_VALUE"""),4523.45)</f>
        <v>4523.45</v>
      </c>
      <c r="H1137" s="227"/>
      <c r="I1137" s="21" t="str">
        <f>IFERROR(__xludf.DUMMYFUNCTION("""COMPUTED_VALUE"""),"NUBANK")</f>
        <v>NUBANK</v>
      </c>
      <c r="J1137" s="21"/>
      <c r="K1137" s="216"/>
      <c r="L1137" s="216"/>
      <c r="M1137" s="216"/>
      <c r="N1137" s="216"/>
      <c r="O1137" s="216"/>
      <c r="P1137" s="216"/>
      <c r="Q1137" s="216"/>
    </row>
    <row r="1138">
      <c r="A1138" s="11" t="str">
        <f>IFERROR(__xludf.DUMMYFUNCTION("""COMPUTED_VALUE"""),"PAGO")</f>
        <v>PAGO</v>
      </c>
      <c r="B1138" s="98" t="str">
        <f>IFERROR(__xludf.DUMMYFUNCTION("""COMPUTED_VALUE"""),"Supermercados Máximo")</f>
        <v>Supermercados Máximo</v>
      </c>
      <c r="C1138" s="13">
        <f>IFERROR(__xludf.DUMMYFUNCTION("""COMPUTED_VALUE"""),24.0)</f>
        <v>24</v>
      </c>
      <c r="D1138" s="13" t="str">
        <f>IFERROR(__xludf.DUMMYFUNCTION("""COMPUTED_VALUE"""),"SEX.")</f>
        <v>SEX.</v>
      </c>
      <c r="E1138" s="13">
        <f>IFERROR(__xludf.DUMMYFUNCTION("""COMPUTED_VALUE"""),12.0)</f>
        <v>12</v>
      </c>
      <c r="F1138" s="15"/>
      <c r="G1138" s="16"/>
      <c r="H1138" s="227">
        <f>IFERROR(__xludf.DUMMYFUNCTION("""COMPUTED_VALUE"""),128.25)</f>
        <v>128.25</v>
      </c>
      <c r="I1138" s="21" t="str">
        <f>IFERROR(__xludf.DUMMYFUNCTION("""COMPUTED_VALUE"""),"SODEXO-ALI-IBM")</f>
        <v>SODEXO-ALI-IBM</v>
      </c>
      <c r="J1138" s="21" t="str">
        <f>IFERROR(__xludf.DUMMYFUNCTION("""COMPUTED_VALUE"""),"#Moradia #Essencial #Mercado #Variavel #Alimentação ")</f>
        <v>#Moradia #Essencial #Mercado #Variavel #Alimentação </v>
      </c>
      <c r="K1138" s="216"/>
      <c r="L1138" s="216"/>
      <c r="M1138" s="216"/>
      <c r="N1138" s="216"/>
      <c r="O1138" s="216"/>
      <c r="P1138" s="216"/>
      <c r="Q1138" s="216"/>
    </row>
    <row r="1139">
      <c r="A1139" s="11" t="str">
        <f>IFERROR(__xludf.DUMMYFUNCTION("""COMPUTED_VALUE"""),"PAGO")</f>
        <v>PAGO</v>
      </c>
      <c r="B1139" s="98" t="str">
        <f>IFERROR(__xludf.DUMMYFUNCTION("""COMPUTED_VALUE"""),"Estacionamento - Liomar - Lojas Otimma")</f>
        <v>Estacionamento - Liomar - Lojas Otimma</v>
      </c>
      <c r="C1139" s="13">
        <f>IFERROR(__xludf.DUMMYFUNCTION("""COMPUTED_VALUE"""),24.0)</f>
        <v>24</v>
      </c>
      <c r="D1139" s="13" t="str">
        <f>IFERROR(__xludf.DUMMYFUNCTION("""COMPUTED_VALUE"""),"SEX.")</f>
        <v>SEX.</v>
      </c>
      <c r="E1139" s="13">
        <f>IFERROR(__xludf.DUMMYFUNCTION("""COMPUTED_VALUE"""),12.0)</f>
        <v>12</v>
      </c>
      <c r="F1139" s="15"/>
      <c r="G1139" s="16"/>
      <c r="H1139" s="227">
        <f>IFERROR(__xludf.DUMMYFUNCTION("""COMPUTED_VALUE"""),2.0)</f>
        <v>2</v>
      </c>
      <c r="I1139" s="21" t="str">
        <f>IFERROR(__xludf.DUMMYFUNCTION("""COMPUTED_VALUE"""),"NUBANK")</f>
        <v>NUBANK</v>
      </c>
      <c r="J1139" s="21" t="str">
        <f>IFERROR(__xludf.DUMMYFUNCTION("""COMPUTED_VALUE"""),"#Carro #Estacionamento #Variavel")</f>
        <v>#Carro #Estacionamento #Variavel</v>
      </c>
      <c r="K1139" s="216"/>
      <c r="L1139" s="216"/>
      <c r="M1139" s="216"/>
      <c r="N1139" s="216"/>
      <c r="O1139" s="216"/>
      <c r="P1139" s="216"/>
      <c r="Q1139" s="216"/>
    </row>
    <row r="1140">
      <c r="A1140" s="11" t="str">
        <f>IFERROR(__xludf.DUMMYFUNCTION("""COMPUTED_VALUE"""),"PAGO")</f>
        <v>PAGO</v>
      </c>
      <c r="B1140" s="98" t="str">
        <f>IFERROR(__xludf.DUMMYFUNCTION("""COMPUTED_VALUE"""),"LP - Gas")</f>
        <v>LP - Gas</v>
      </c>
      <c r="C1140" s="13">
        <f>IFERROR(__xludf.DUMMYFUNCTION("""COMPUTED_VALUE"""),24.0)</f>
        <v>24</v>
      </c>
      <c r="D1140" s="13" t="str">
        <f>IFERROR(__xludf.DUMMYFUNCTION("""COMPUTED_VALUE"""),"SEX.")</f>
        <v>SEX.</v>
      </c>
      <c r="E1140" s="13">
        <f>IFERROR(__xludf.DUMMYFUNCTION("""COMPUTED_VALUE"""),12.0)</f>
        <v>12</v>
      </c>
      <c r="F1140" s="15"/>
      <c r="G1140" s="16"/>
      <c r="H1140" s="227">
        <f>IFERROR(__xludf.DUMMYFUNCTION("""COMPUTED_VALUE"""),95.0)</f>
        <v>95</v>
      </c>
      <c r="I1140" s="21" t="str">
        <f>IFERROR(__xludf.DUMMYFUNCTION("""COMPUTED_VALUE"""),"NUBANK")</f>
        <v>NUBANK</v>
      </c>
      <c r="J1140" s="21" t="str">
        <f>IFERROR(__xludf.DUMMYFUNCTION("""COMPUTED_VALUE"""),"#Moradia #Essencial #Variavel #Gas")</f>
        <v>#Moradia #Essencial #Variavel #Gas</v>
      </c>
      <c r="K1140" s="216"/>
      <c r="L1140" s="216"/>
      <c r="M1140" s="216"/>
      <c r="N1140" s="216"/>
      <c r="O1140" s="216"/>
      <c r="P1140" s="216"/>
      <c r="Q1140" s="216"/>
    </row>
    <row r="1141">
      <c r="A1141" s="11" t="str">
        <f>IFERROR(__xludf.DUMMYFUNCTION("""COMPUTED_VALUE"""),"PAGO")</f>
        <v>PAGO</v>
      </c>
      <c r="B1141" s="98" t="str">
        <f>IFERROR(__xludf.DUMMYFUNCTION("""COMPUTED_VALUE"""),"Google Play Gift Card")</f>
        <v>Google Play Gift Card</v>
      </c>
      <c r="C1141" s="13">
        <f>IFERROR(__xludf.DUMMYFUNCTION("""COMPUTED_VALUE"""),25.0)</f>
        <v>25</v>
      </c>
      <c r="D1141" s="13" t="str">
        <f>IFERROR(__xludf.DUMMYFUNCTION("""COMPUTED_VALUE"""),"SÁB.")</f>
        <v>SÁB.</v>
      </c>
      <c r="E1141" s="13">
        <f>IFERROR(__xludf.DUMMYFUNCTION("""COMPUTED_VALUE"""),12.0)</f>
        <v>12</v>
      </c>
      <c r="F1141" s="15"/>
      <c r="G1141" s="16"/>
      <c r="H1141" s="227">
        <f>IFERROR(__xludf.DUMMYFUNCTION("""COMPUTED_VALUE"""),50.0)</f>
        <v>50</v>
      </c>
      <c r="I1141" s="21" t="str">
        <f>IFERROR(__xludf.DUMMYFUNCTION("""COMPUTED_VALUE"""),"INTER")</f>
        <v>INTER</v>
      </c>
      <c r="J1141" s="21" t="str">
        <f>IFERROR(__xludf.DUMMYFUNCTION("""COMPUTED_VALUE"""),"#Lazer #Eduardo #Variavel #Natal")</f>
        <v>#Lazer #Eduardo #Variavel #Natal</v>
      </c>
      <c r="K1141" s="216"/>
      <c r="L1141" s="216"/>
      <c r="M1141" s="216"/>
      <c r="N1141" s="216"/>
      <c r="O1141" s="216"/>
      <c r="P1141" s="216"/>
      <c r="Q1141" s="216"/>
    </row>
    <row r="1142">
      <c r="A1142" s="11" t="str">
        <f>IFERROR(__xludf.DUMMYFUNCTION("""COMPUTED_VALUE"""),"PAGO")</f>
        <v>PAGO</v>
      </c>
      <c r="B1142" s="98" t="str">
        <f>IFERROR(__xludf.DUMMYFUNCTION("""COMPUTED_VALUE"""),"Cashback - Compra no app Banco Inter - Google Play Gift Card")</f>
        <v>Cashback - Compra no app Banco Inter - Google Play Gift Card</v>
      </c>
      <c r="C1142" s="13">
        <f>IFERROR(__xludf.DUMMYFUNCTION("""COMPUTED_VALUE"""),25.0)</f>
        <v>25</v>
      </c>
      <c r="D1142" s="13" t="str">
        <f>IFERROR(__xludf.DUMMYFUNCTION("""COMPUTED_VALUE"""),"SÁB.")</f>
        <v>SÁB.</v>
      </c>
      <c r="E1142" s="13">
        <f>IFERROR(__xludf.DUMMYFUNCTION("""COMPUTED_VALUE"""),12.0)</f>
        <v>12</v>
      </c>
      <c r="F1142" s="15"/>
      <c r="G1142" s="16">
        <f>IFERROR(__xludf.DUMMYFUNCTION("""COMPUTED_VALUE"""),2.0)</f>
        <v>2</v>
      </c>
      <c r="H1142" s="227"/>
      <c r="I1142" s="21" t="str">
        <f>IFERROR(__xludf.DUMMYFUNCTION("""COMPUTED_VALUE"""),"INTER")</f>
        <v>INTER</v>
      </c>
      <c r="J1142" s="21" t="str">
        <f>IFERROR(__xludf.DUMMYFUNCTION("""COMPUTED_VALUE"""),"#Recebimentos #Cashback #Variavel")</f>
        <v>#Recebimentos #Cashback #Variavel</v>
      </c>
      <c r="K1142" s="216"/>
      <c r="L1142" s="216"/>
      <c r="M1142" s="216"/>
      <c r="N1142" s="216"/>
      <c r="O1142" s="216"/>
      <c r="P1142" s="216"/>
      <c r="Q1142" s="216"/>
    </row>
    <row r="1143">
      <c r="A1143" s="11" t="str">
        <f>IFERROR(__xludf.DUMMYFUNCTION("""COMPUTED_VALUE"""),"PAGO")</f>
        <v>PAGO</v>
      </c>
      <c r="B1143" s="98" t="str">
        <f>IFERROR(__xludf.DUMMYFUNCTION("""COMPUTED_VALUE"""),"Magazine Luiza - refil mach3 sensitive (8un)")</f>
        <v>Magazine Luiza - refil mach3 sensitive (8un)</v>
      </c>
      <c r="C1143" s="13">
        <f>IFERROR(__xludf.DUMMYFUNCTION("""COMPUTED_VALUE"""),25.0)</f>
        <v>25</v>
      </c>
      <c r="D1143" s="13" t="str">
        <f>IFERROR(__xludf.DUMMYFUNCTION("""COMPUTED_VALUE"""),"SÁB.")</f>
        <v>SÁB.</v>
      </c>
      <c r="E1143" s="13">
        <f>IFERROR(__xludf.DUMMYFUNCTION("""COMPUTED_VALUE"""),12.0)</f>
        <v>12</v>
      </c>
      <c r="F1143" s="15"/>
      <c r="G1143" s="16"/>
      <c r="H1143" s="227">
        <f>IFERROR(__xludf.DUMMYFUNCTION("""COMPUTED_VALUE"""),67.8)</f>
        <v>67.8</v>
      </c>
      <c r="I1143" s="21" t="str">
        <f>IFERROR(__xludf.DUMMYFUNCTION("""COMPUTED_VALUE"""),"NUBANK")</f>
        <v>NUBANK</v>
      </c>
      <c r="J1143" s="21" t="str">
        <f>IFERROR(__xludf.DUMMYFUNCTION("""COMPUTED_VALUE"""),"#Cicero #Essencial #Variavel")</f>
        <v>#Cicero #Essencial #Variavel</v>
      </c>
      <c r="K1143" s="216"/>
      <c r="L1143" s="216"/>
      <c r="M1143" s="216"/>
      <c r="N1143" s="216"/>
      <c r="O1143" s="216"/>
      <c r="P1143" s="216"/>
      <c r="Q1143" s="216"/>
    </row>
    <row r="1144">
      <c r="A1144" s="11" t="str">
        <f>IFERROR(__xludf.DUMMYFUNCTION("""COMPUTED_VALUE"""),"PAGO")</f>
        <v>PAGO</v>
      </c>
      <c r="B1144" s="98" t="str">
        <f>IFERROR(__xludf.DUMMYFUNCTION("""COMPUTED_VALUE"""),"Mercado Livre - Ugreen - 2 Cabos Usb A Macho/macho 3.0 - 1m/50cm")</f>
        <v>Mercado Livre - Ugreen - 2 Cabos Usb A Macho/macho 3.0 - 1m/50cm</v>
      </c>
      <c r="C1144" s="13">
        <f>IFERROR(__xludf.DUMMYFUNCTION("""COMPUTED_VALUE"""),24.0)</f>
        <v>24</v>
      </c>
      <c r="D1144" s="13" t="str">
        <f>IFERROR(__xludf.DUMMYFUNCTION("""COMPUTED_VALUE"""),"SEX.")</f>
        <v>SEX.</v>
      </c>
      <c r="E1144" s="13">
        <f>IFERROR(__xludf.DUMMYFUNCTION("""COMPUTED_VALUE"""),12.0)</f>
        <v>12</v>
      </c>
      <c r="F1144" s="15"/>
      <c r="G1144" s="16"/>
      <c r="H1144" s="227">
        <f>IFERROR(__xludf.DUMMYFUNCTION("""COMPUTED_VALUE"""),105.8)</f>
        <v>105.8</v>
      </c>
      <c r="I1144" s="21" t="str">
        <f>IFERROR(__xludf.DUMMYFUNCTION("""COMPUTED_VALUE"""),"NUBANK")</f>
        <v>NUBANK</v>
      </c>
      <c r="J1144" s="21" t="str">
        <f>IFERROR(__xludf.DUMMYFUNCTION("""COMPUTED_VALUE"""),"#Cicero #Lazer #Variavel")</f>
        <v>#Cicero #Lazer #Variavel</v>
      </c>
      <c r="K1144" s="216"/>
      <c r="L1144" s="216"/>
      <c r="M1144" s="216"/>
      <c r="N1144" s="216"/>
      <c r="O1144" s="216"/>
      <c r="P1144" s="216"/>
      <c r="Q1144" s="216"/>
    </row>
    <row r="1145">
      <c r="A1145" s="11" t="str">
        <f>IFERROR(__xludf.DUMMYFUNCTION("""COMPUTED_VALUE"""),"PAGO")</f>
        <v>PAGO</v>
      </c>
      <c r="B1145" s="98" t="str">
        <f>IFERROR(__xludf.DUMMYFUNCTION("""COMPUTED_VALUE"""),"Levitar SJC - sorvetes")</f>
        <v>Levitar SJC - sorvetes</v>
      </c>
      <c r="C1145" s="13">
        <f>IFERROR(__xludf.DUMMYFUNCTION("""COMPUTED_VALUE"""),28.0)</f>
        <v>28</v>
      </c>
      <c r="D1145" s="13" t="str">
        <f>IFERROR(__xludf.DUMMYFUNCTION("""COMPUTED_VALUE"""),"TER.")</f>
        <v>TER.</v>
      </c>
      <c r="E1145" s="13">
        <f>IFERROR(__xludf.DUMMYFUNCTION("""COMPUTED_VALUE"""),12.0)</f>
        <v>12</v>
      </c>
      <c r="F1145" s="15"/>
      <c r="G1145" s="16"/>
      <c r="H1145" s="227">
        <f>IFERROR(__xludf.DUMMYFUNCTION("""COMPUTED_VALUE"""),38.4)</f>
        <v>38.4</v>
      </c>
      <c r="I1145" s="21" t="str">
        <f>IFERROR(__xludf.DUMMYFUNCTION("""COMPUTED_VALUE"""),"NUBANK")</f>
        <v>NUBANK</v>
      </c>
      <c r="J1145" s="21" t="str">
        <f>IFERROR(__xludf.DUMMYFUNCTION("""COMPUTED_VALUE"""),"#Lazer #Comida #Variavel")</f>
        <v>#Lazer #Comida #Variavel</v>
      </c>
      <c r="K1145" s="216"/>
      <c r="L1145" s="216"/>
      <c r="M1145" s="216"/>
      <c r="N1145" s="216"/>
      <c r="O1145" s="216"/>
      <c r="P1145" s="216"/>
      <c r="Q1145" s="216"/>
    </row>
    <row r="1146">
      <c r="A1146" s="11" t="str">
        <f>IFERROR(__xludf.DUMMYFUNCTION("""COMPUTED_VALUE"""),"PAGO")</f>
        <v>PAGO</v>
      </c>
      <c r="B1146" s="98" t="str">
        <f>IFERROR(__xludf.DUMMYFUNCTION("""COMPUTED_VALUE"""),"Recarga TIM Cicero 11 948825242")</f>
        <v>Recarga TIM Cicero 11 948825242</v>
      </c>
      <c r="C1146" s="13">
        <f>IFERROR(__xludf.DUMMYFUNCTION("""COMPUTED_VALUE"""),28.0)</f>
        <v>28</v>
      </c>
      <c r="D1146" s="13" t="str">
        <f>IFERROR(__xludf.DUMMYFUNCTION("""COMPUTED_VALUE"""),"TER.")</f>
        <v>TER.</v>
      </c>
      <c r="E1146" s="13">
        <f>IFERROR(__xludf.DUMMYFUNCTION("""COMPUTED_VALUE"""),12.0)</f>
        <v>12</v>
      </c>
      <c r="F1146" s="15"/>
      <c r="G1146" s="16"/>
      <c r="H1146" s="227">
        <f>IFERROR(__xludf.DUMMYFUNCTION("""COMPUTED_VALUE"""),20.0)</f>
        <v>20</v>
      </c>
      <c r="I1146" s="21" t="str">
        <f>IFERROR(__xludf.DUMMYFUNCTION("""COMPUTED_VALUE"""),"NUBANK")</f>
        <v>NUBANK</v>
      </c>
      <c r="J1146" s="21" t="str">
        <f>IFERROR(__xludf.DUMMYFUNCTION("""COMPUTED_VALUE"""),"#Variavel #Recarga #TIM ")</f>
        <v>#Variavel #Recarga #TIM </v>
      </c>
      <c r="K1146" s="216"/>
      <c r="L1146" s="216"/>
      <c r="M1146" s="216"/>
      <c r="N1146" s="216"/>
      <c r="O1146" s="216"/>
      <c r="P1146" s="216"/>
      <c r="Q1146" s="216"/>
    </row>
    <row r="1147">
      <c r="A1147" s="11" t="str">
        <f>IFERROR(__xludf.DUMMYFUNCTION("""COMPUTED_VALUE"""),"PAGO")</f>
        <v>PAGO</v>
      </c>
      <c r="B1147" s="98" t="str">
        <f>IFERROR(__xludf.DUMMYFUNCTION("""COMPUTED_VALUE"""),"Supermercados Máximo")</f>
        <v>Supermercados Máximo</v>
      </c>
      <c r="C1147" s="13">
        <f>IFERROR(__xludf.DUMMYFUNCTION("""COMPUTED_VALUE"""),28.0)</f>
        <v>28</v>
      </c>
      <c r="D1147" s="13" t="str">
        <f>IFERROR(__xludf.DUMMYFUNCTION("""COMPUTED_VALUE"""),"TER.")</f>
        <v>TER.</v>
      </c>
      <c r="E1147" s="13">
        <f>IFERROR(__xludf.DUMMYFUNCTION("""COMPUTED_VALUE"""),12.0)</f>
        <v>12</v>
      </c>
      <c r="F1147" s="15"/>
      <c r="G1147" s="16"/>
      <c r="H1147" s="227">
        <f>IFERROR(__xludf.DUMMYFUNCTION("""COMPUTED_VALUE"""),43.0)</f>
        <v>43</v>
      </c>
      <c r="I1147" s="21" t="str">
        <f>IFERROR(__xludf.DUMMYFUNCTION("""COMPUTED_VALUE"""),"SODEXO-ALI-IBM")</f>
        <v>SODEXO-ALI-IBM</v>
      </c>
      <c r="J1147" s="21" t="str">
        <f>IFERROR(__xludf.DUMMYFUNCTION("""COMPUTED_VALUE"""),"#Moradia #Essencial #Mercado #Variavel #Alimentação ")</f>
        <v>#Moradia #Essencial #Mercado #Variavel #Alimentação </v>
      </c>
      <c r="K1147" s="216"/>
      <c r="L1147" s="216"/>
      <c r="M1147" s="216"/>
      <c r="N1147" s="216"/>
      <c r="O1147" s="216"/>
      <c r="P1147" s="216"/>
      <c r="Q1147" s="216"/>
    </row>
    <row r="1148">
      <c r="A1148" s="11" t="str">
        <f>IFERROR(__xludf.DUMMYFUNCTION("""COMPUTED_VALUE"""),"PAGO")</f>
        <v>PAGO</v>
      </c>
      <c r="B1148" s="98" t="str">
        <f>IFERROR(__xludf.DUMMYFUNCTION("""COMPUTED_VALUE"""),"Immunovalle SJC (jd aquarios) - 4 vacinas da gripe")</f>
        <v>Immunovalle SJC (jd aquarios) - 4 vacinas da gripe</v>
      </c>
      <c r="C1148" s="13">
        <f>IFERROR(__xludf.DUMMYFUNCTION("""COMPUTED_VALUE"""),29.0)</f>
        <v>29</v>
      </c>
      <c r="D1148" s="13" t="str">
        <f>IFERROR(__xludf.DUMMYFUNCTION("""COMPUTED_VALUE"""),"QUA.")</f>
        <v>QUA.</v>
      </c>
      <c r="E1148" s="13">
        <f>IFERROR(__xludf.DUMMYFUNCTION("""COMPUTED_VALUE"""),12.0)</f>
        <v>12</v>
      </c>
      <c r="F1148" s="15"/>
      <c r="G1148" s="16"/>
      <c r="H1148" s="227">
        <f>IFERROR(__xludf.DUMMYFUNCTION("""COMPUTED_VALUE"""),200.0)</f>
        <v>200</v>
      </c>
      <c r="I1148" s="21" t="str">
        <f>IFERROR(__xludf.DUMMYFUNCTION("""COMPUTED_VALUE"""),"NUBANK")</f>
        <v>NUBANK</v>
      </c>
      <c r="J1148" s="21" t="str">
        <f>IFERROR(__xludf.DUMMYFUNCTION("""COMPUTED_VALUE"""),"#Roberta #Carlos #Eduardo #Cicero #Variavel #Vacina #Gripe")</f>
        <v>#Roberta #Carlos #Eduardo #Cicero #Variavel #Vacina #Gripe</v>
      </c>
      <c r="K1148" s="216"/>
      <c r="L1148" s="216"/>
      <c r="M1148" s="216"/>
      <c r="N1148" s="216"/>
      <c r="O1148" s="216"/>
      <c r="P1148" s="216"/>
      <c r="Q1148" s="216"/>
    </row>
    <row r="1149">
      <c r="A1149" s="11" t="str">
        <f>IFERROR(__xludf.DUMMYFUNCTION("""COMPUTED_VALUE"""),"PAGO")</f>
        <v>PAGO</v>
      </c>
      <c r="B1149" s="98" t="str">
        <f>IFERROR(__xludf.DUMMYFUNCTION("""COMPUTED_VALUE"""),"4 espetos de churrasco - Av Ouro Fino X R Pedro Martins Ribeiro SJC")</f>
        <v>4 espetos de churrasco - Av Ouro Fino X R Pedro Martins Ribeiro SJC</v>
      </c>
      <c r="C1149" s="13">
        <f>IFERROR(__xludf.DUMMYFUNCTION("""COMPUTED_VALUE"""),29.0)</f>
        <v>29</v>
      </c>
      <c r="D1149" s="13" t="str">
        <f>IFERROR(__xludf.DUMMYFUNCTION("""COMPUTED_VALUE"""),"QUA.")</f>
        <v>QUA.</v>
      </c>
      <c r="E1149" s="13">
        <f>IFERROR(__xludf.DUMMYFUNCTION("""COMPUTED_VALUE"""),12.0)</f>
        <v>12</v>
      </c>
      <c r="F1149" s="15"/>
      <c r="G1149" s="16"/>
      <c r="H1149" s="227">
        <f>IFERROR(__xludf.DUMMYFUNCTION("""COMPUTED_VALUE"""),20.0)</f>
        <v>20</v>
      </c>
      <c r="I1149" s="21" t="str">
        <f>IFERROR(__xludf.DUMMYFUNCTION("""COMPUTED_VALUE"""),"NUBANK")</f>
        <v>NUBANK</v>
      </c>
      <c r="J1149" s="21" t="str">
        <f>IFERROR(__xludf.DUMMYFUNCTION("""COMPUTED_VALUE"""),"#Lazer #Comida #Variavel")</f>
        <v>#Lazer #Comida #Variavel</v>
      </c>
      <c r="K1149" s="216"/>
      <c r="L1149" s="216"/>
      <c r="M1149" s="216"/>
      <c r="N1149" s="216"/>
      <c r="O1149" s="216"/>
      <c r="P1149" s="216"/>
      <c r="Q1149" s="216"/>
    </row>
    <row r="1150">
      <c r="A1150" s="11" t="str">
        <f>IFERROR(__xludf.DUMMYFUNCTION("""COMPUTED_VALUE"""),"PAGO")</f>
        <v>PAGO</v>
      </c>
      <c r="B1150" s="98" t="str">
        <f>IFERROR(__xludf.DUMMYFUNCTION("""COMPUTED_VALUE"""),"Salario - IBM")</f>
        <v>Salario - IBM</v>
      </c>
      <c r="C1150" s="13">
        <f>IFERROR(__xludf.DUMMYFUNCTION("""COMPUTED_VALUE"""),30.0)</f>
        <v>30</v>
      </c>
      <c r="D1150" s="13" t="str">
        <f>IFERROR(__xludf.DUMMYFUNCTION("""COMPUTED_VALUE"""),"QUI.")</f>
        <v>QUI.</v>
      </c>
      <c r="E1150" s="13">
        <f>IFERROR(__xludf.DUMMYFUNCTION("""COMPUTED_VALUE"""),12.0)</f>
        <v>12</v>
      </c>
      <c r="F1150" s="15"/>
      <c r="G1150" s="16">
        <f>IFERROR(__xludf.DUMMYFUNCTION("""COMPUTED_VALUE"""),2878.42)</f>
        <v>2878.42</v>
      </c>
      <c r="H1150" s="227"/>
      <c r="I1150" s="21" t="str">
        <f>IFERROR(__xludf.DUMMYFUNCTION("""COMPUTED_VALUE"""),"SANTANDER")</f>
        <v>SANTANDER</v>
      </c>
      <c r="J1150" s="21" t="str">
        <f>IFERROR(__xludf.DUMMYFUNCTION("""COMPUTED_VALUE"""),"#Recebimentos #Salario #Fixo")</f>
        <v>#Recebimentos #Salario #Fixo</v>
      </c>
      <c r="K1150" s="216"/>
      <c r="L1150" s="216"/>
      <c r="M1150" s="216"/>
      <c r="N1150" s="216"/>
      <c r="O1150" s="216"/>
      <c r="P1150" s="216"/>
      <c r="Q1150" s="216"/>
    </row>
    <row r="1151">
      <c r="A1151" s="11" t="str">
        <f>IFERROR(__xludf.DUMMYFUNCTION("""COMPUTED_VALUE"""),"CONTAS")</f>
        <v>CONTAS</v>
      </c>
      <c r="B1151" s="98" t="str">
        <f>IFERROR(__xludf.DUMMYFUNCTION("""COMPUTED_VALUE"""),"Transferencia via PIX")</f>
        <v>Transferencia via PIX</v>
      </c>
      <c r="C1151" s="13">
        <f>IFERROR(__xludf.DUMMYFUNCTION("""COMPUTED_VALUE"""),30.0)</f>
        <v>30</v>
      </c>
      <c r="D1151" s="13" t="str">
        <f>IFERROR(__xludf.DUMMYFUNCTION("""COMPUTED_VALUE"""),"QUI.")</f>
        <v>QUI.</v>
      </c>
      <c r="E1151" s="13">
        <f>IFERROR(__xludf.DUMMYFUNCTION("""COMPUTED_VALUE"""),12.0)</f>
        <v>12</v>
      </c>
      <c r="F1151" s="15"/>
      <c r="G1151" s="16"/>
      <c r="H1151" s="227">
        <f>IFERROR(__xludf.DUMMYFUNCTION("""COMPUTED_VALUE"""),2878.42)</f>
        <v>2878.42</v>
      </c>
      <c r="I1151" s="21" t="str">
        <f>IFERROR(__xludf.DUMMYFUNCTION("""COMPUTED_VALUE"""),"SANTANDER")</f>
        <v>SANTANDER</v>
      </c>
      <c r="J1151" s="21"/>
      <c r="K1151" s="216"/>
      <c r="L1151" s="216"/>
      <c r="M1151" s="216"/>
      <c r="N1151" s="216"/>
      <c r="O1151" s="216"/>
      <c r="P1151" s="216"/>
      <c r="Q1151" s="216"/>
    </row>
    <row r="1152">
      <c r="A1152" s="11" t="str">
        <f>IFERROR(__xludf.DUMMYFUNCTION("""COMPUTED_VALUE"""),"CONTAS")</f>
        <v>CONTAS</v>
      </c>
      <c r="B1152" s="98" t="str">
        <f>IFERROR(__xludf.DUMMYFUNCTION("""COMPUTED_VALUE"""),"Recebimento via PIX")</f>
        <v>Recebimento via PIX</v>
      </c>
      <c r="C1152" s="13">
        <f>IFERROR(__xludf.DUMMYFUNCTION("""COMPUTED_VALUE"""),30.0)</f>
        <v>30</v>
      </c>
      <c r="D1152" s="13" t="str">
        <f>IFERROR(__xludf.DUMMYFUNCTION("""COMPUTED_VALUE"""),"QUI.")</f>
        <v>QUI.</v>
      </c>
      <c r="E1152" s="13">
        <f>IFERROR(__xludf.DUMMYFUNCTION("""COMPUTED_VALUE"""),12.0)</f>
        <v>12</v>
      </c>
      <c r="F1152" s="15"/>
      <c r="G1152" s="16">
        <f>IFERROR(__xludf.DUMMYFUNCTION("""COMPUTED_VALUE"""),2878.42)</f>
        <v>2878.42</v>
      </c>
      <c r="H1152" s="227"/>
      <c r="I1152" s="21" t="str">
        <f>IFERROR(__xludf.DUMMYFUNCTION("""COMPUTED_VALUE"""),"NUBANK")</f>
        <v>NUBANK</v>
      </c>
      <c r="J1152" s="21"/>
      <c r="K1152" s="216"/>
      <c r="L1152" s="216"/>
      <c r="M1152" s="216"/>
      <c r="N1152" s="216"/>
      <c r="O1152" s="216"/>
      <c r="P1152" s="216"/>
      <c r="Q1152" s="216"/>
    </row>
    <row r="1153">
      <c r="A1153" s="11" t="str">
        <f>IFERROR(__xludf.DUMMYFUNCTION("""COMPUTED_VALUE"""),"PAGO")</f>
        <v>PAGO</v>
      </c>
      <c r="B1153" s="98" t="str">
        <f>IFERROR(__xludf.DUMMYFUNCTION("""COMPUTED_VALUE"""),"Shibata")</f>
        <v>Shibata</v>
      </c>
      <c r="C1153" s="13">
        <f>IFERROR(__xludf.DUMMYFUNCTION("""COMPUTED_VALUE"""),31.0)</f>
        <v>31</v>
      </c>
      <c r="D1153" s="13" t="str">
        <f>IFERROR(__xludf.DUMMYFUNCTION("""COMPUTED_VALUE"""),"SEX.")</f>
        <v>SEX.</v>
      </c>
      <c r="E1153" s="13">
        <f>IFERROR(__xludf.DUMMYFUNCTION("""COMPUTED_VALUE"""),12.0)</f>
        <v>12</v>
      </c>
      <c r="F1153" s="15"/>
      <c r="G1153" s="16"/>
      <c r="H1153" s="227">
        <f>IFERROR(__xludf.DUMMYFUNCTION("""COMPUTED_VALUE"""),638.72)</f>
        <v>638.72</v>
      </c>
      <c r="I1153" s="21" t="str">
        <f>IFERROR(__xludf.DUMMYFUNCTION("""COMPUTED_VALUE"""),"NUBANK")</f>
        <v>NUBANK</v>
      </c>
      <c r="J1153" s="21" t="str">
        <f>IFERROR(__xludf.DUMMYFUNCTION("""COMPUTED_VALUE"""),"#Moradia #Essencial #Mercado #Variavel #Alimentação  #AnoNovo")</f>
        <v>#Moradia #Essencial #Mercado #Variavel #Alimentação  #AnoNovo</v>
      </c>
      <c r="K1153" s="216"/>
      <c r="L1153" s="216"/>
      <c r="M1153" s="216"/>
      <c r="N1153" s="216"/>
      <c r="O1153" s="216"/>
      <c r="P1153" s="216"/>
      <c r="Q1153" s="216"/>
    </row>
    <row r="1154">
      <c r="A1154" s="11"/>
      <c r="B1154" s="98"/>
      <c r="C1154" s="13"/>
      <c r="D1154" s="13"/>
      <c r="E1154" s="13"/>
      <c r="F1154" s="15"/>
      <c r="G1154" s="16"/>
      <c r="H1154" s="227"/>
      <c r="I1154" s="21"/>
      <c r="J1154" s="21"/>
      <c r="K1154" s="216"/>
      <c r="L1154" s="216"/>
      <c r="M1154" s="216"/>
      <c r="N1154" s="216"/>
      <c r="O1154" s="216"/>
      <c r="P1154" s="216"/>
      <c r="Q1154" s="216"/>
    </row>
    <row r="1155">
      <c r="A1155" s="11"/>
      <c r="B1155" s="98"/>
      <c r="C1155" s="13"/>
      <c r="D1155" s="13"/>
      <c r="E1155" s="13"/>
      <c r="F1155" s="15"/>
      <c r="G1155" s="16"/>
      <c r="H1155" s="227"/>
      <c r="I1155" s="21"/>
      <c r="J1155" s="21"/>
      <c r="K1155" s="216"/>
      <c r="L1155" s="216"/>
      <c r="M1155" s="216"/>
      <c r="N1155" s="216"/>
      <c r="O1155" s="216"/>
      <c r="P1155" s="216"/>
      <c r="Q1155" s="216"/>
    </row>
    <row r="1156">
      <c r="A1156" s="11"/>
      <c r="B1156" s="98"/>
      <c r="C1156" s="13"/>
      <c r="D1156" s="13"/>
      <c r="E1156" s="13"/>
      <c r="F1156" s="15"/>
      <c r="G1156" s="16"/>
      <c r="H1156" s="227"/>
      <c r="I1156" s="21"/>
      <c r="J1156" s="21"/>
      <c r="K1156" s="216"/>
      <c r="L1156" s="216"/>
      <c r="M1156" s="216"/>
      <c r="N1156" s="216"/>
      <c r="O1156" s="216"/>
      <c r="P1156" s="216"/>
      <c r="Q1156" s="216"/>
    </row>
    <row r="1157">
      <c r="A1157" s="11"/>
      <c r="B1157" s="98"/>
      <c r="C1157" s="13"/>
      <c r="D1157" s="13"/>
      <c r="E1157" s="13"/>
      <c r="F1157" s="15"/>
      <c r="G1157" s="16"/>
      <c r="H1157" s="18"/>
      <c r="I1157" s="21"/>
      <c r="J1157" s="21"/>
      <c r="K1157" s="216"/>
      <c r="L1157" s="216"/>
      <c r="M1157" s="216"/>
      <c r="N1157" s="216"/>
      <c r="O1157" s="216"/>
      <c r="P1157" s="216"/>
      <c r="Q1157" s="216"/>
    </row>
    <row r="1158">
      <c r="A1158" s="11"/>
      <c r="B1158" s="98"/>
      <c r="C1158" s="13"/>
      <c r="D1158" s="13"/>
      <c r="E1158" s="13"/>
      <c r="F1158" s="15"/>
      <c r="G1158" s="16"/>
      <c r="H1158" s="18"/>
      <c r="I1158" s="21"/>
      <c r="J1158" s="21"/>
      <c r="K1158" s="216"/>
      <c r="L1158" s="216"/>
      <c r="M1158" s="216"/>
      <c r="N1158" s="216"/>
      <c r="O1158" s="216"/>
      <c r="P1158" s="216"/>
      <c r="Q1158" s="216"/>
    </row>
    <row r="1159">
      <c r="A1159" s="11"/>
      <c r="B1159" s="98"/>
      <c r="C1159" s="13"/>
      <c r="D1159" s="13"/>
      <c r="E1159" s="13"/>
      <c r="F1159" s="15"/>
      <c r="G1159" s="16"/>
      <c r="H1159" s="18"/>
      <c r="I1159" s="21"/>
      <c r="J1159" s="21"/>
      <c r="K1159" s="216"/>
      <c r="L1159" s="216"/>
      <c r="M1159" s="216"/>
      <c r="N1159" s="216"/>
      <c r="O1159" s="216"/>
      <c r="P1159" s="216"/>
      <c r="Q1159" s="216"/>
    </row>
    <row r="1160">
      <c r="A1160" s="11"/>
      <c r="B1160" s="98"/>
      <c r="C1160" s="13"/>
      <c r="D1160" s="13"/>
      <c r="E1160" s="13"/>
      <c r="F1160" s="15"/>
      <c r="G1160" s="16"/>
      <c r="H1160" s="18"/>
      <c r="I1160" s="21"/>
      <c r="J1160" s="21"/>
      <c r="K1160" s="216"/>
      <c r="L1160" s="216"/>
      <c r="M1160" s="216"/>
      <c r="N1160" s="216"/>
      <c r="O1160" s="216"/>
      <c r="P1160" s="216"/>
      <c r="Q1160" s="216"/>
    </row>
    <row r="1161">
      <c r="A1161" s="11"/>
      <c r="B1161" s="98"/>
      <c r="C1161" s="13"/>
      <c r="D1161" s="13"/>
      <c r="E1161" s="13"/>
      <c r="F1161" s="15"/>
      <c r="G1161" s="16"/>
      <c r="H1161" s="18"/>
      <c r="I1161" s="21"/>
      <c r="J1161" s="21"/>
      <c r="K1161" s="216"/>
      <c r="L1161" s="216"/>
      <c r="M1161" s="216"/>
      <c r="N1161" s="216"/>
      <c r="O1161" s="216"/>
      <c r="P1161" s="216"/>
      <c r="Q1161" s="216"/>
    </row>
    <row r="1162">
      <c r="A1162" s="11"/>
      <c r="B1162" s="98"/>
      <c r="C1162" s="13"/>
      <c r="D1162" s="13"/>
      <c r="E1162" s="13"/>
      <c r="F1162" s="15"/>
      <c r="G1162" s="16"/>
      <c r="H1162" s="18"/>
      <c r="I1162" s="21"/>
      <c r="J1162" s="21"/>
      <c r="K1162" s="216"/>
      <c r="L1162" s="216"/>
      <c r="M1162" s="216"/>
      <c r="N1162" s="216"/>
      <c r="O1162" s="216"/>
      <c r="P1162" s="216"/>
      <c r="Q1162" s="216"/>
    </row>
    <row r="1163">
      <c r="A1163" s="11"/>
      <c r="B1163" s="98"/>
      <c r="C1163" s="13"/>
      <c r="D1163" s="13"/>
      <c r="E1163" s="13"/>
      <c r="F1163" s="15"/>
      <c r="G1163" s="16"/>
      <c r="H1163" s="18"/>
      <c r="I1163" s="21"/>
      <c r="J1163" s="21"/>
      <c r="K1163" s="216"/>
      <c r="L1163" s="216"/>
      <c r="M1163" s="216"/>
      <c r="N1163" s="216"/>
      <c r="O1163" s="216"/>
      <c r="P1163" s="216"/>
      <c r="Q1163" s="216"/>
    </row>
    <row r="1164">
      <c r="A1164" s="11"/>
      <c r="B1164" s="98"/>
      <c r="C1164" s="13"/>
      <c r="D1164" s="13"/>
      <c r="E1164" s="13"/>
      <c r="F1164" s="15"/>
      <c r="G1164" s="16"/>
      <c r="H1164" s="18"/>
      <c r="I1164" s="21"/>
      <c r="J1164" s="21"/>
      <c r="K1164" s="216"/>
      <c r="L1164" s="216"/>
      <c r="M1164" s="216"/>
      <c r="N1164" s="216"/>
      <c r="O1164" s="216"/>
      <c r="P1164" s="216"/>
      <c r="Q1164" s="216"/>
    </row>
    <row r="1165">
      <c r="A1165" s="11"/>
      <c r="B1165" s="98"/>
      <c r="C1165" s="13"/>
      <c r="D1165" s="13"/>
      <c r="E1165" s="13"/>
      <c r="F1165" s="15"/>
      <c r="G1165" s="16"/>
      <c r="H1165" s="18"/>
      <c r="I1165" s="21"/>
      <c r="J1165" s="21"/>
      <c r="K1165" s="216"/>
      <c r="L1165" s="216"/>
      <c r="M1165" s="216"/>
      <c r="N1165" s="216"/>
      <c r="O1165" s="216"/>
      <c r="P1165" s="216"/>
      <c r="Q1165" s="216"/>
    </row>
    <row r="1166">
      <c r="A1166" s="11"/>
      <c r="B1166" s="98"/>
      <c r="C1166" s="13"/>
      <c r="D1166" s="13"/>
      <c r="E1166" s="13"/>
      <c r="F1166" s="15"/>
      <c r="G1166" s="16"/>
      <c r="H1166" s="18"/>
      <c r="I1166" s="21"/>
      <c r="J1166" s="21"/>
      <c r="K1166" s="216"/>
      <c r="L1166" s="216"/>
      <c r="M1166" s="216"/>
      <c r="N1166" s="216"/>
      <c r="O1166" s="216"/>
      <c r="P1166" s="216"/>
      <c r="Q1166" s="216"/>
    </row>
    <row r="1167">
      <c r="A1167" s="11"/>
      <c r="B1167" s="98"/>
      <c r="C1167" s="13"/>
      <c r="D1167" s="13"/>
      <c r="E1167" s="13"/>
      <c r="F1167" s="15"/>
      <c r="G1167" s="16"/>
      <c r="H1167" s="18"/>
      <c r="I1167" s="21"/>
      <c r="J1167" s="21"/>
      <c r="K1167" s="216"/>
      <c r="L1167" s="216"/>
      <c r="M1167" s="216"/>
      <c r="N1167" s="216"/>
      <c r="O1167" s="216"/>
      <c r="P1167" s="216"/>
      <c r="Q1167" s="216"/>
    </row>
    <row r="1168">
      <c r="A1168" s="11"/>
      <c r="B1168" s="98"/>
      <c r="C1168" s="13"/>
      <c r="D1168" s="13"/>
      <c r="E1168" s="13"/>
      <c r="F1168" s="15"/>
      <c r="G1168" s="16"/>
      <c r="H1168" s="18"/>
      <c r="I1168" s="21"/>
      <c r="J1168" s="21"/>
      <c r="K1168" s="216"/>
      <c r="L1168" s="216"/>
      <c r="M1168" s="216"/>
      <c r="N1168" s="216"/>
      <c r="O1168" s="216"/>
      <c r="P1168" s="216"/>
      <c r="Q1168" s="216"/>
    </row>
    <row r="1169">
      <c r="A1169" s="11"/>
      <c r="B1169" s="98"/>
      <c r="C1169" s="13"/>
      <c r="D1169" s="13"/>
      <c r="E1169" s="13"/>
      <c r="F1169" s="15"/>
      <c r="G1169" s="16"/>
      <c r="H1169" s="18"/>
      <c r="I1169" s="21"/>
      <c r="J1169" s="21"/>
      <c r="K1169" s="216"/>
      <c r="L1169" s="216"/>
      <c r="M1169" s="216"/>
      <c r="N1169" s="216"/>
      <c r="O1169" s="216"/>
      <c r="P1169" s="216"/>
      <c r="Q1169" s="216"/>
    </row>
    <row r="1170">
      <c r="A1170" s="11"/>
      <c r="B1170" s="98"/>
      <c r="C1170" s="13"/>
      <c r="D1170" s="13"/>
      <c r="E1170" s="13"/>
      <c r="F1170" s="15"/>
      <c r="G1170" s="16"/>
      <c r="H1170" s="18"/>
      <c r="I1170" s="21"/>
      <c r="J1170" s="21"/>
      <c r="K1170" s="216"/>
      <c r="L1170" s="216"/>
      <c r="M1170" s="216"/>
      <c r="N1170" s="216"/>
      <c r="O1170" s="216"/>
      <c r="P1170" s="216"/>
      <c r="Q1170" s="216"/>
    </row>
    <row r="1171">
      <c r="A1171" s="11"/>
      <c r="B1171" s="98"/>
      <c r="C1171" s="13"/>
      <c r="D1171" s="13"/>
      <c r="E1171" s="13"/>
      <c r="F1171" s="15"/>
      <c r="G1171" s="16"/>
      <c r="H1171" s="18"/>
      <c r="I1171" s="21"/>
      <c r="J1171" s="21"/>
      <c r="K1171" s="216"/>
      <c r="L1171" s="216"/>
      <c r="M1171" s="216"/>
      <c r="N1171" s="216"/>
      <c r="O1171" s="216"/>
      <c r="P1171" s="216"/>
      <c r="Q1171" s="216"/>
    </row>
    <row r="1172">
      <c r="A1172" s="11"/>
      <c r="B1172" s="98"/>
      <c r="C1172" s="13"/>
      <c r="D1172" s="13"/>
      <c r="E1172" s="13"/>
      <c r="F1172" s="15"/>
      <c r="G1172" s="16"/>
      <c r="H1172" s="18"/>
      <c r="I1172" s="21"/>
      <c r="J1172" s="21"/>
      <c r="K1172" s="216"/>
      <c r="L1172" s="216"/>
      <c r="M1172" s="216"/>
      <c r="N1172" s="216"/>
      <c r="O1172" s="216"/>
      <c r="P1172" s="216"/>
      <c r="Q1172" s="216"/>
    </row>
    <row r="1173">
      <c r="A1173" s="11"/>
      <c r="B1173" s="98"/>
      <c r="C1173" s="13"/>
      <c r="D1173" s="13"/>
      <c r="E1173" s="13"/>
      <c r="F1173" s="15"/>
      <c r="G1173" s="16"/>
      <c r="H1173" s="18"/>
      <c r="I1173" s="21"/>
      <c r="J1173" s="21"/>
      <c r="K1173" s="216"/>
      <c r="L1173" s="216"/>
      <c r="M1173" s="216"/>
      <c r="N1173" s="216"/>
      <c r="O1173" s="216"/>
      <c r="P1173" s="216"/>
      <c r="Q1173" s="216"/>
    </row>
    <row r="1174">
      <c r="A1174" s="11"/>
      <c r="B1174" s="98"/>
      <c r="C1174" s="13"/>
      <c r="D1174" s="13"/>
      <c r="E1174" s="13"/>
      <c r="F1174" s="15"/>
      <c r="G1174" s="16"/>
      <c r="H1174" s="18"/>
      <c r="I1174" s="21"/>
      <c r="J1174" s="21"/>
      <c r="K1174" s="216"/>
      <c r="L1174" s="216"/>
      <c r="M1174" s="216"/>
      <c r="N1174" s="216"/>
      <c r="O1174" s="216"/>
      <c r="P1174" s="216"/>
      <c r="Q1174" s="216"/>
    </row>
    <row r="1175">
      <c r="A1175" s="11"/>
      <c r="B1175" s="98"/>
      <c r="C1175" s="13"/>
      <c r="D1175" s="13"/>
      <c r="E1175" s="13"/>
      <c r="F1175" s="15"/>
      <c r="G1175" s="16"/>
      <c r="H1175" s="18"/>
      <c r="I1175" s="21"/>
      <c r="J1175" s="21"/>
      <c r="K1175" s="216"/>
      <c r="L1175" s="216"/>
      <c r="M1175" s="216"/>
      <c r="N1175" s="216"/>
      <c r="O1175" s="216"/>
      <c r="P1175" s="216"/>
      <c r="Q1175" s="216"/>
    </row>
    <row r="1176">
      <c r="A1176" s="11"/>
      <c r="B1176" s="98"/>
      <c r="C1176" s="13"/>
      <c r="D1176" s="13"/>
      <c r="E1176" s="13"/>
      <c r="F1176" s="15"/>
      <c r="G1176" s="16"/>
      <c r="H1176" s="18"/>
      <c r="I1176" s="21"/>
      <c r="J1176" s="21"/>
      <c r="K1176" s="216"/>
      <c r="L1176" s="216"/>
      <c r="M1176" s="216"/>
      <c r="N1176" s="216"/>
      <c r="O1176" s="216"/>
      <c r="P1176" s="216"/>
      <c r="Q1176" s="216"/>
    </row>
    <row r="1177">
      <c r="A1177" s="11"/>
      <c r="B1177" s="98"/>
      <c r="C1177" s="13"/>
      <c r="D1177" s="13"/>
      <c r="E1177" s="13"/>
      <c r="F1177" s="15"/>
      <c r="G1177" s="16"/>
      <c r="H1177" s="18"/>
      <c r="I1177" s="21"/>
      <c r="J1177" s="21"/>
      <c r="K1177" s="216"/>
      <c r="L1177" s="216"/>
      <c r="M1177" s="216"/>
      <c r="N1177" s="216"/>
      <c r="O1177" s="216"/>
      <c r="P1177" s="216"/>
      <c r="Q1177" s="216"/>
    </row>
    <row r="1178">
      <c r="A1178" s="11"/>
      <c r="B1178" s="98"/>
      <c r="C1178" s="13"/>
      <c r="D1178" s="13"/>
      <c r="E1178" s="13"/>
      <c r="F1178" s="15"/>
      <c r="G1178" s="16"/>
      <c r="H1178" s="18"/>
      <c r="I1178" s="21"/>
      <c r="J1178" s="21"/>
      <c r="K1178" s="216"/>
      <c r="L1178" s="216"/>
      <c r="M1178" s="216"/>
      <c r="N1178" s="216"/>
      <c r="O1178" s="216"/>
      <c r="P1178" s="216"/>
      <c r="Q1178" s="216"/>
    </row>
    <row r="1179">
      <c r="A1179" s="11"/>
      <c r="B1179" s="98"/>
      <c r="C1179" s="13"/>
      <c r="D1179" s="13"/>
      <c r="E1179" s="13"/>
      <c r="F1179" s="15"/>
      <c r="G1179" s="16"/>
      <c r="H1179" s="18"/>
      <c r="I1179" s="21"/>
      <c r="J1179" s="21"/>
      <c r="K1179" s="216"/>
      <c r="L1179" s="216"/>
      <c r="M1179" s="216"/>
      <c r="N1179" s="216"/>
      <c r="O1179" s="216"/>
      <c r="P1179" s="216"/>
      <c r="Q1179" s="216"/>
    </row>
    <row r="1180">
      <c r="A1180" s="11"/>
      <c r="B1180" s="98"/>
      <c r="C1180" s="13"/>
      <c r="D1180" s="13"/>
      <c r="E1180" s="13"/>
      <c r="F1180" s="15"/>
      <c r="G1180" s="16"/>
      <c r="H1180" s="18"/>
      <c r="I1180" s="21"/>
      <c r="J1180" s="21"/>
      <c r="K1180" s="216"/>
      <c r="L1180" s="216"/>
      <c r="M1180" s="216"/>
      <c r="N1180" s="216"/>
      <c r="O1180" s="216"/>
      <c r="P1180" s="216"/>
      <c r="Q1180" s="216"/>
    </row>
    <row r="1181">
      <c r="A1181" s="11"/>
      <c r="B1181" s="98"/>
      <c r="C1181" s="13"/>
      <c r="D1181" s="13"/>
      <c r="E1181" s="13"/>
      <c r="F1181" s="15"/>
      <c r="G1181" s="16"/>
      <c r="H1181" s="18"/>
      <c r="I1181" s="21"/>
      <c r="J1181" s="21"/>
      <c r="K1181" s="216"/>
      <c r="L1181" s="216"/>
      <c r="M1181" s="216"/>
      <c r="N1181" s="216"/>
      <c r="O1181" s="216"/>
      <c r="P1181" s="216"/>
      <c r="Q1181" s="216"/>
    </row>
    <row r="1182">
      <c r="A1182" s="11"/>
      <c r="B1182" s="98"/>
      <c r="C1182" s="13"/>
      <c r="D1182" s="13"/>
      <c r="E1182" s="13"/>
      <c r="F1182" s="15"/>
      <c r="G1182" s="16"/>
      <c r="H1182" s="18"/>
      <c r="I1182" s="21"/>
      <c r="J1182" s="21"/>
      <c r="K1182" s="216"/>
      <c r="L1182" s="216"/>
      <c r="M1182" s="216"/>
      <c r="N1182" s="216"/>
      <c r="O1182" s="216"/>
      <c r="P1182" s="216"/>
      <c r="Q1182" s="216"/>
    </row>
    <row r="1183">
      <c r="A1183" s="11"/>
      <c r="B1183" s="98"/>
      <c r="C1183" s="13"/>
      <c r="D1183" s="13"/>
      <c r="E1183" s="13"/>
      <c r="F1183" s="15"/>
      <c r="G1183" s="16"/>
      <c r="H1183" s="18"/>
      <c r="I1183" s="21"/>
      <c r="J1183" s="21"/>
      <c r="K1183" s="216"/>
      <c r="L1183" s="216"/>
      <c r="M1183" s="216"/>
      <c r="N1183" s="216"/>
      <c r="O1183" s="216"/>
      <c r="P1183" s="216"/>
      <c r="Q1183" s="216"/>
    </row>
    <row r="1184">
      <c r="A1184" s="11"/>
      <c r="B1184" s="98"/>
      <c r="C1184" s="13"/>
      <c r="D1184" s="13"/>
      <c r="E1184" s="13"/>
      <c r="F1184" s="15"/>
      <c r="G1184" s="16"/>
      <c r="H1184" s="18"/>
      <c r="I1184" s="21"/>
      <c r="J1184" s="21"/>
      <c r="K1184" s="216"/>
      <c r="L1184" s="216"/>
      <c r="M1184" s="216"/>
      <c r="N1184" s="216"/>
      <c r="O1184" s="216"/>
      <c r="P1184" s="216"/>
      <c r="Q1184" s="216"/>
    </row>
    <row r="1185">
      <c r="A1185" s="11"/>
      <c r="B1185" s="98"/>
      <c r="C1185" s="13"/>
      <c r="D1185" s="13"/>
      <c r="E1185" s="13"/>
      <c r="F1185" s="15"/>
      <c r="G1185" s="16"/>
      <c r="H1185" s="18"/>
      <c r="I1185" s="21"/>
      <c r="J1185" s="21"/>
      <c r="K1185" s="216"/>
      <c r="L1185" s="216"/>
      <c r="M1185" s="216"/>
      <c r="N1185" s="216"/>
      <c r="O1185" s="216"/>
      <c r="P1185" s="216"/>
      <c r="Q1185" s="216"/>
    </row>
    <row r="1186">
      <c r="A1186" s="11"/>
      <c r="B1186" s="98"/>
      <c r="C1186" s="13"/>
      <c r="D1186" s="13"/>
      <c r="E1186" s="13"/>
      <c r="F1186" s="15"/>
      <c r="G1186" s="16"/>
      <c r="H1186" s="18"/>
      <c r="I1186" s="21"/>
      <c r="J1186" s="21"/>
      <c r="K1186" s="216"/>
      <c r="L1186" s="216"/>
      <c r="M1186" s="216"/>
      <c r="N1186" s="216"/>
      <c r="O1186" s="216"/>
      <c r="P1186" s="216"/>
      <c r="Q1186" s="216"/>
    </row>
    <row r="1187">
      <c r="A1187" s="11"/>
      <c r="B1187" s="98"/>
      <c r="C1187" s="13"/>
      <c r="D1187" s="13"/>
      <c r="E1187" s="13"/>
      <c r="F1187" s="15"/>
      <c r="G1187" s="16"/>
      <c r="H1187" s="18"/>
      <c r="I1187" s="21"/>
      <c r="J1187" s="21"/>
      <c r="K1187" s="216"/>
      <c r="L1187" s="216"/>
      <c r="M1187" s="216"/>
      <c r="N1187" s="216"/>
      <c r="O1187" s="216"/>
      <c r="P1187" s="216"/>
      <c r="Q1187" s="216"/>
    </row>
    <row r="1188">
      <c r="A1188" s="11"/>
      <c r="B1188" s="98"/>
      <c r="C1188" s="13"/>
      <c r="D1188" s="13"/>
      <c r="E1188" s="13"/>
      <c r="F1188" s="15"/>
      <c r="G1188" s="16"/>
      <c r="H1188" s="18"/>
      <c r="I1188" s="21"/>
      <c r="J1188" s="21"/>
      <c r="K1188" s="216"/>
      <c r="L1188" s="216"/>
      <c r="M1188" s="216"/>
      <c r="N1188" s="216"/>
      <c r="O1188" s="216"/>
      <c r="P1188" s="216"/>
      <c r="Q1188" s="216"/>
    </row>
    <row r="1189">
      <c r="A1189" s="11"/>
      <c r="B1189" s="98"/>
      <c r="C1189" s="13"/>
      <c r="D1189" s="13"/>
      <c r="E1189" s="13"/>
      <c r="F1189" s="15"/>
      <c r="G1189" s="16"/>
      <c r="H1189" s="18"/>
      <c r="I1189" s="21"/>
      <c r="J1189" s="21"/>
      <c r="K1189" s="216"/>
      <c r="L1189" s="216"/>
      <c r="M1189" s="216"/>
      <c r="N1189" s="216"/>
      <c r="O1189" s="216"/>
      <c r="P1189" s="216"/>
      <c r="Q1189" s="216"/>
    </row>
    <row r="1190">
      <c r="A1190" s="11"/>
      <c r="B1190" s="98"/>
      <c r="C1190" s="13"/>
      <c r="D1190" s="13"/>
      <c r="E1190" s="13"/>
      <c r="F1190" s="15"/>
      <c r="G1190" s="16"/>
      <c r="H1190" s="18"/>
      <c r="I1190" s="21"/>
      <c r="J1190" s="21"/>
      <c r="K1190" s="216"/>
      <c r="L1190" s="216"/>
      <c r="M1190" s="216"/>
      <c r="N1190" s="216"/>
      <c r="O1190" s="216"/>
      <c r="P1190" s="216"/>
      <c r="Q1190" s="216"/>
    </row>
    <row r="1191">
      <c r="A1191" s="11"/>
      <c r="B1191" s="98"/>
      <c r="C1191" s="13"/>
      <c r="D1191" s="13"/>
      <c r="E1191" s="13"/>
      <c r="F1191" s="15"/>
      <c r="G1191" s="16"/>
      <c r="H1191" s="18"/>
      <c r="I1191" s="21"/>
      <c r="J1191" s="21"/>
      <c r="K1191" s="216"/>
      <c r="L1191" s="216"/>
      <c r="M1191" s="216"/>
      <c r="N1191" s="216"/>
      <c r="O1191" s="216"/>
      <c r="P1191" s="216"/>
      <c r="Q1191" s="216"/>
    </row>
    <row r="1192">
      <c r="A1192" s="11"/>
      <c r="B1192" s="98"/>
      <c r="C1192" s="13"/>
      <c r="D1192" s="13"/>
      <c r="E1192" s="13"/>
      <c r="F1192" s="15"/>
      <c r="G1192" s="16"/>
      <c r="H1192" s="18"/>
      <c r="I1192" s="21"/>
      <c r="J1192" s="21"/>
      <c r="K1192" s="216"/>
      <c r="L1192" s="216"/>
      <c r="M1192" s="216"/>
      <c r="N1192" s="216"/>
      <c r="O1192" s="216"/>
      <c r="P1192" s="216"/>
      <c r="Q1192" s="216"/>
    </row>
    <row r="1193">
      <c r="A1193" s="11"/>
      <c r="B1193" s="98"/>
      <c r="C1193" s="13"/>
      <c r="D1193" s="13"/>
      <c r="E1193" s="13"/>
      <c r="F1193" s="15"/>
      <c r="G1193" s="16"/>
      <c r="H1193" s="18"/>
      <c r="I1193" s="21"/>
      <c r="J1193" s="21"/>
      <c r="K1193" s="216"/>
      <c r="L1193" s="216"/>
      <c r="M1193" s="216"/>
      <c r="N1193" s="216"/>
      <c r="O1193" s="216"/>
      <c r="P1193" s="216"/>
      <c r="Q1193" s="216"/>
    </row>
    <row r="1194">
      <c r="A1194" s="11"/>
      <c r="B1194" s="98"/>
      <c r="C1194" s="13"/>
      <c r="D1194" s="13"/>
      <c r="E1194" s="13"/>
      <c r="F1194" s="15"/>
      <c r="G1194" s="16"/>
      <c r="H1194" s="18"/>
      <c r="I1194" s="21"/>
      <c r="J1194" s="21"/>
      <c r="K1194" s="216"/>
      <c r="L1194" s="216"/>
      <c r="M1194" s="216"/>
      <c r="N1194" s="216"/>
      <c r="O1194" s="216"/>
      <c r="P1194" s="216"/>
      <c r="Q1194" s="216"/>
    </row>
    <row r="1195">
      <c r="A1195" s="11"/>
      <c r="B1195" s="98"/>
      <c r="C1195" s="13"/>
      <c r="D1195" s="13"/>
      <c r="E1195" s="13"/>
      <c r="F1195" s="15"/>
      <c r="G1195" s="16"/>
      <c r="H1195" s="18"/>
      <c r="I1195" s="21"/>
      <c r="J1195" s="21"/>
      <c r="K1195" s="216"/>
      <c r="L1195" s="216"/>
      <c r="M1195" s="216"/>
      <c r="N1195" s="216"/>
      <c r="O1195" s="216"/>
      <c r="P1195" s="216"/>
      <c r="Q1195" s="216"/>
    </row>
    <row r="1196">
      <c r="A1196" s="11"/>
      <c r="B1196" s="98"/>
      <c r="C1196" s="13"/>
      <c r="D1196" s="13"/>
      <c r="E1196" s="13"/>
      <c r="F1196" s="15"/>
      <c r="G1196" s="16"/>
      <c r="H1196" s="18"/>
      <c r="I1196" s="21"/>
      <c r="J1196" s="21"/>
      <c r="K1196" s="216"/>
      <c r="L1196" s="216"/>
      <c r="M1196" s="216"/>
      <c r="N1196" s="216"/>
      <c r="O1196" s="216"/>
      <c r="P1196" s="216"/>
      <c r="Q1196" s="216"/>
    </row>
    <row r="1197">
      <c r="A1197" s="11"/>
      <c r="B1197" s="98"/>
      <c r="C1197" s="13"/>
      <c r="D1197" s="13"/>
      <c r="E1197" s="13"/>
      <c r="F1197" s="15"/>
      <c r="G1197" s="16"/>
      <c r="H1197" s="18"/>
      <c r="I1197" s="21"/>
      <c r="J1197" s="21"/>
      <c r="K1197" s="216"/>
      <c r="L1197" s="216"/>
      <c r="M1197" s="216"/>
      <c r="N1197" s="216"/>
      <c r="O1197" s="216"/>
      <c r="P1197" s="216"/>
      <c r="Q1197" s="216"/>
    </row>
    <row r="1198">
      <c r="A1198" s="11"/>
      <c r="B1198" s="98"/>
      <c r="C1198" s="13"/>
      <c r="D1198" s="13"/>
      <c r="E1198" s="13"/>
      <c r="F1198" s="15"/>
      <c r="G1198" s="16"/>
      <c r="H1198" s="18"/>
      <c r="I1198" s="21"/>
      <c r="J1198" s="21"/>
      <c r="K1198" s="216"/>
      <c r="L1198" s="216"/>
      <c r="M1198" s="216"/>
      <c r="N1198" s="216"/>
      <c r="O1198" s="216"/>
      <c r="P1198" s="216"/>
      <c r="Q1198" s="216"/>
    </row>
    <row r="1199">
      <c r="A1199" s="11"/>
      <c r="B1199" s="98"/>
      <c r="C1199" s="13"/>
      <c r="D1199" s="13"/>
      <c r="E1199" s="13"/>
      <c r="F1199" s="15"/>
      <c r="G1199" s="16"/>
      <c r="H1199" s="18"/>
      <c r="I1199" s="21"/>
      <c r="J1199" s="21"/>
      <c r="K1199" s="216"/>
      <c r="L1199" s="216"/>
      <c r="M1199" s="216"/>
      <c r="N1199" s="216"/>
      <c r="O1199" s="216"/>
      <c r="P1199" s="216"/>
      <c r="Q1199" s="216"/>
    </row>
    <row r="1200">
      <c r="A1200" s="11"/>
      <c r="B1200" s="98"/>
      <c r="C1200" s="13"/>
      <c r="D1200" s="13"/>
      <c r="E1200" s="13"/>
      <c r="F1200" s="15"/>
      <c r="G1200" s="16"/>
      <c r="H1200" s="18"/>
      <c r="I1200" s="21"/>
      <c r="J1200" s="21"/>
      <c r="K1200" s="216"/>
      <c r="L1200" s="216"/>
      <c r="M1200" s="216"/>
      <c r="N1200" s="216"/>
      <c r="O1200" s="216"/>
      <c r="P1200" s="216"/>
      <c r="Q1200" s="216"/>
    </row>
    <row r="1201">
      <c r="A1201" s="11"/>
      <c r="B1201" s="98"/>
      <c r="C1201" s="13"/>
      <c r="D1201" s="13"/>
      <c r="E1201" s="13"/>
      <c r="F1201" s="15"/>
      <c r="G1201" s="16"/>
      <c r="H1201" s="18"/>
      <c r="I1201" s="21"/>
      <c r="J1201" s="21"/>
      <c r="K1201" s="216"/>
      <c r="L1201" s="216"/>
      <c r="M1201" s="216"/>
      <c r="N1201" s="216"/>
      <c r="O1201" s="216"/>
      <c r="P1201" s="216"/>
      <c r="Q1201" s="216"/>
    </row>
    <row r="1202">
      <c r="A1202" s="11"/>
      <c r="B1202" s="98"/>
      <c r="C1202" s="13"/>
      <c r="D1202" s="13"/>
      <c r="E1202" s="13"/>
      <c r="F1202" s="15"/>
      <c r="G1202" s="16"/>
      <c r="H1202" s="18"/>
      <c r="I1202" s="21"/>
      <c r="J1202" s="21"/>
      <c r="K1202" s="216"/>
      <c r="L1202" s="216"/>
      <c r="M1202" s="216"/>
      <c r="N1202" s="216"/>
      <c r="O1202" s="216"/>
      <c r="P1202" s="216"/>
      <c r="Q1202" s="216"/>
    </row>
    <row r="1203">
      <c r="A1203" s="11"/>
      <c r="B1203" s="98"/>
      <c r="C1203" s="13"/>
      <c r="D1203" s="13"/>
      <c r="E1203" s="13"/>
      <c r="F1203" s="15"/>
      <c r="G1203" s="16"/>
      <c r="H1203" s="18"/>
      <c r="I1203" s="21"/>
      <c r="J1203" s="21"/>
      <c r="K1203" s="216"/>
      <c r="L1203" s="216"/>
      <c r="M1203" s="216"/>
      <c r="N1203" s="216"/>
      <c r="O1203" s="216"/>
      <c r="P1203" s="216"/>
      <c r="Q1203" s="216"/>
    </row>
    <row r="1204">
      <c r="A1204" s="11"/>
      <c r="B1204" s="98"/>
      <c r="C1204" s="13"/>
      <c r="D1204" s="13"/>
      <c r="E1204" s="13"/>
      <c r="F1204" s="15"/>
      <c r="G1204" s="16"/>
      <c r="H1204" s="18"/>
      <c r="I1204" s="21"/>
      <c r="J1204" s="21"/>
      <c r="K1204" s="216"/>
      <c r="L1204" s="216"/>
      <c r="M1204" s="216"/>
      <c r="N1204" s="216"/>
      <c r="O1204" s="216"/>
      <c r="P1204" s="216"/>
      <c r="Q1204" s="216"/>
    </row>
    <row r="1205">
      <c r="A1205" s="11"/>
      <c r="B1205" s="98"/>
      <c r="C1205" s="13"/>
      <c r="D1205" s="13"/>
      <c r="E1205" s="13"/>
      <c r="F1205" s="15"/>
      <c r="G1205" s="16"/>
      <c r="H1205" s="18"/>
      <c r="I1205" s="21"/>
      <c r="J1205" s="21"/>
      <c r="K1205" s="216"/>
      <c r="L1205" s="216"/>
      <c r="M1205" s="216"/>
      <c r="N1205" s="216"/>
      <c r="O1205" s="216"/>
      <c r="P1205" s="216"/>
      <c r="Q1205" s="216"/>
    </row>
    <row r="1206">
      <c r="A1206" s="11"/>
      <c r="B1206" s="98"/>
      <c r="C1206" s="13"/>
      <c r="D1206" s="13"/>
      <c r="E1206" s="13"/>
      <c r="F1206" s="15"/>
      <c r="G1206" s="16"/>
      <c r="H1206" s="18"/>
      <c r="I1206" s="21"/>
      <c r="J1206" s="21"/>
      <c r="K1206" s="216"/>
      <c r="L1206" s="216"/>
      <c r="M1206" s="216"/>
      <c r="N1206" s="216"/>
      <c r="O1206" s="216"/>
      <c r="P1206" s="216"/>
      <c r="Q1206" s="216"/>
    </row>
    <row r="1207">
      <c r="A1207" s="11"/>
      <c r="B1207" s="98"/>
      <c r="C1207" s="13"/>
      <c r="D1207" s="13"/>
      <c r="E1207" s="13"/>
      <c r="F1207" s="15"/>
      <c r="G1207" s="16"/>
      <c r="H1207" s="18"/>
      <c r="I1207" s="21"/>
      <c r="J1207" s="21"/>
      <c r="K1207" s="216"/>
      <c r="L1207" s="216"/>
      <c r="M1207" s="216"/>
      <c r="N1207" s="216"/>
      <c r="O1207" s="216"/>
      <c r="P1207" s="216"/>
      <c r="Q1207" s="216"/>
    </row>
    <row r="1208">
      <c r="A1208" s="11"/>
      <c r="B1208" s="98"/>
      <c r="C1208" s="13"/>
      <c r="D1208" s="13"/>
      <c r="E1208" s="13"/>
      <c r="F1208" s="15"/>
      <c r="G1208" s="16"/>
      <c r="H1208" s="18"/>
      <c r="I1208" s="21"/>
      <c r="J1208" s="21"/>
      <c r="K1208" s="216"/>
      <c r="L1208" s="216"/>
      <c r="M1208" s="216"/>
      <c r="N1208" s="216"/>
      <c r="O1208" s="216"/>
      <c r="P1208" s="216"/>
      <c r="Q1208" s="216"/>
    </row>
    <row r="1209">
      <c r="A1209" s="11"/>
      <c r="B1209" s="98"/>
      <c r="C1209" s="13"/>
      <c r="D1209" s="13"/>
      <c r="E1209" s="13"/>
      <c r="F1209" s="15"/>
      <c r="G1209" s="16"/>
      <c r="H1209" s="18"/>
      <c r="I1209" s="21"/>
      <c r="J1209" s="21"/>
      <c r="K1209" s="216"/>
      <c r="L1209" s="216"/>
      <c r="M1209" s="216"/>
      <c r="N1209" s="216"/>
      <c r="O1209" s="216"/>
      <c r="P1209" s="216"/>
      <c r="Q1209" s="216"/>
    </row>
    <row r="1210">
      <c r="A1210" s="11"/>
      <c r="B1210" s="98"/>
      <c r="C1210" s="13"/>
      <c r="D1210" s="13"/>
      <c r="E1210" s="13"/>
      <c r="F1210" s="15"/>
      <c r="G1210" s="16"/>
      <c r="H1210" s="18"/>
      <c r="I1210" s="21"/>
      <c r="J1210" s="21"/>
      <c r="K1210" s="216"/>
      <c r="L1210" s="216"/>
      <c r="M1210" s="216"/>
      <c r="N1210" s="216"/>
      <c r="O1210" s="216"/>
      <c r="P1210" s="216"/>
      <c r="Q1210" s="216"/>
    </row>
    <row r="1211">
      <c r="A1211" s="11"/>
      <c r="B1211" s="98"/>
      <c r="C1211" s="13"/>
      <c r="D1211" s="13"/>
      <c r="E1211" s="13"/>
      <c r="F1211" s="15"/>
      <c r="G1211" s="16"/>
      <c r="H1211" s="18"/>
      <c r="I1211" s="21"/>
      <c r="J1211" s="21"/>
      <c r="K1211" s="216"/>
      <c r="L1211" s="216"/>
      <c r="M1211" s="216"/>
      <c r="N1211" s="216"/>
      <c r="O1211" s="216"/>
      <c r="P1211" s="216"/>
      <c r="Q1211" s="216"/>
    </row>
    <row r="1212">
      <c r="A1212" s="11"/>
      <c r="B1212" s="98"/>
      <c r="C1212" s="13"/>
      <c r="D1212" s="13"/>
      <c r="E1212" s="13"/>
      <c r="F1212" s="15"/>
      <c r="G1212" s="16"/>
      <c r="H1212" s="18"/>
      <c r="I1212" s="21"/>
      <c r="J1212" s="21"/>
      <c r="K1212" s="216"/>
      <c r="L1212" s="216"/>
      <c r="M1212" s="216"/>
      <c r="N1212" s="216"/>
      <c r="O1212" s="216"/>
      <c r="P1212" s="216"/>
      <c r="Q1212" s="216"/>
    </row>
    <row r="1213">
      <c r="A1213" s="11"/>
      <c r="B1213" s="98"/>
      <c r="C1213" s="13"/>
      <c r="D1213" s="13"/>
      <c r="E1213" s="13"/>
      <c r="F1213" s="15"/>
      <c r="G1213" s="16"/>
      <c r="H1213" s="18"/>
      <c r="I1213" s="21"/>
      <c r="J1213" s="21"/>
      <c r="K1213" s="216"/>
      <c r="L1213" s="216"/>
      <c r="M1213" s="216"/>
      <c r="N1213" s="216"/>
      <c r="O1213" s="216"/>
      <c r="P1213" s="216"/>
      <c r="Q1213" s="216"/>
    </row>
    <row r="1214">
      <c r="A1214" s="11"/>
      <c r="B1214" s="98"/>
      <c r="C1214" s="13"/>
      <c r="D1214" s="13"/>
      <c r="E1214" s="13"/>
      <c r="F1214" s="15"/>
      <c r="G1214" s="16"/>
      <c r="H1214" s="18"/>
      <c r="I1214" s="21"/>
      <c r="J1214" s="21"/>
      <c r="K1214" s="216"/>
      <c r="L1214" s="216"/>
      <c r="M1214" s="216"/>
      <c r="N1214" s="216"/>
      <c r="O1214" s="216"/>
      <c r="P1214" s="216"/>
      <c r="Q1214" s="216"/>
    </row>
    <row r="1215">
      <c r="A1215" s="11"/>
      <c r="B1215" s="98"/>
      <c r="C1215" s="13"/>
      <c r="D1215" s="13"/>
      <c r="E1215" s="13"/>
      <c r="F1215" s="15"/>
      <c r="G1215" s="16"/>
      <c r="H1215" s="18"/>
      <c r="I1215" s="21"/>
      <c r="J1215" s="21"/>
      <c r="K1215" s="216"/>
      <c r="L1215" s="216"/>
      <c r="M1215" s="216"/>
      <c r="N1215" s="216"/>
      <c r="O1215" s="216"/>
      <c r="P1215" s="216"/>
      <c r="Q1215" s="216"/>
    </row>
    <row r="1216">
      <c r="A1216" s="11"/>
      <c r="B1216" s="98"/>
      <c r="C1216" s="13"/>
      <c r="D1216" s="13"/>
      <c r="E1216" s="13"/>
      <c r="F1216" s="15"/>
      <c r="G1216" s="16"/>
      <c r="H1216" s="18"/>
      <c r="I1216" s="21"/>
      <c r="J1216" s="21"/>
      <c r="K1216" s="216"/>
      <c r="L1216" s="216"/>
      <c r="M1216" s="216"/>
      <c r="N1216" s="216"/>
      <c r="O1216" s="216"/>
      <c r="P1216" s="216"/>
      <c r="Q1216" s="216"/>
    </row>
    <row r="1217">
      <c r="A1217" s="11"/>
      <c r="B1217" s="98"/>
      <c r="C1217" s="13"/>
      <c r="D1217" s="13"/>
      <c r="E1217" s="13"/>
      <c r="F1217" s="15"/>
      <c r="G1217" s="16"/>
      <c r="H1217" s="18"/>
      <c r="I1217" s="21"/>
      <c r="J1217" s="21"/>
      <c r="K1217" s="216"/>
      <c r="L1217" s="216"/>
      <c r="M1217" s="216"/>
      <c r="N1217" s="216"/>
      <c r="O1217" s="216"/>
      <c r="P1217" s="216"/>
      <c r="Q1217" s="216"/>
    </row>
    <row r="1218">
      <c r="A1218" s="11"/>
      <c r="B1218" s="98"/>
      <c r="C1218" s="13"/>
      <c r="D1218" s="13"/>
      <c r="E1218" s="13"/>
      <c r="F1218" s="15"/>
      <c r="G1218" s="16"/>
      <c r="H1218" s="18"/>
      <c r="I1218" s="21"/>
      <c r="J1218" s="21"/>
      <c r="K1218" s="216"/>
      <c r="L1218" s="216"/>
      <c r="M1218" s="216"/>
      <c r="N1218" s="216"/>
      <c r="O1218" s="216"/>
      <c r="P1218" s="216"/>
      <c r="Q1218" s="216"/>
    </row>
    <row r="1219">
      <c r="A1219" s="11"/>
      <c r="B1219" s="98"/>
      <c r="C1219" s="13"/>
      <c r="D1219" s="13"/>
      <c r="E1219" s="13"/>
      <c r="F1219" s="15"/>
      <c r="G1219" s="16"/>
      <c r="H1219" s="18"/>
      <c r="I1219" s="21"/>
      <c r="J1219" s="21"/>
      <c r="K1219" s="216"/>
      <c r="L1219" s="216"/>
      <c r="M1219" s="216"/>
      <c r="N1219" s="216"/>
      <c r="O1219" s="216"/>
      <c r="P1219" s="216"/>
      <c r="Q1219" s="216"/>
    </row>
    <row r="1220">
      <c r="A1220" s="11"/>
      <c r="B1220" s="98"/>
      <c r="C1220" s="13"/>
      <c r="D1220" s="13"/>
      <c r="E1220" s="13"/>
      <c r="F1220" s="15"/>
      <c r="G1220" s="16"/>
      <c r="H1220" s="18"/>
      <c r="I1220" s="21"/>
      <c r="J1220" s="21"/>
      <c r="K1220" s="216"/>
      <c r="L1220" s="216"/>
      <c r="M1220" s="216"/>
      <c r="N1220" s="216"/>
      <c r="O1220" s="216"/>
      <c r="P1220" s="216"/>
      <c r="Q1220" s="216"/>
    </row>
    <row r="1221">
      <c r="A1221" s="11"/>
      <c r="B1221" s="98"/>
      <c r="C1221" s="13"/>
      <c r="D1221" s="13"/>
      <c r="E1221" s="13"/>
      <c r="F1221" s="15"/>
      <c r="G1221" s="16"/>
      <c r="H1221" s="18"/>
      <c r="I1221" s="21"/>
      <c r="J1221" s="21"/>
      <c r="K1221" s="216"/>
      <c r="L1221" s="216"/>
      <c r="M1221" s="216"/>
      <c r="N1221" s="216"/>
      <c r="O1221" s="216"/>
      <c r="P1221" s="216"/>
      <c r="Q1221" s="216"/>
    </row>
    <row r="1222">
      <c r="A1222" s="11"/>
      <c r="B1222" s="98"/>
      <c r="C1222" s="13"/>
      <c r="D1222" s="13"/>
      <c r="E1222" s="13"/>
      <c r="F1222" s="15"/>
      <c r="G1222" s="16"/>
      <c r="H1222" s="18"/>
      <c r="I1222" s="21"/>
      <c r="J1222" s="21"/>
      <c r="K1222" s="216"/>
      <c r="L1222" s="216"/>
      <c r="M1222" s="216"/>
      <c r="N1222" s="216"/>
      <c r="O1222" s="216"/>
      <c r="P1222" s="216"/>
      <c r="Q1222" s="216"/>
    </row>
    <row r="1223">
      <c r="A1223" s="11"/>
      <c r="B1223" s="98"/>
      <c r="C1223" s="13"/>
      <c r="D1223" s="13"/>
      <c r="E1223" s="13"/>
      <c r="F1223" s="15"/>
      <c r="G1223" s="16"/>
      <c r="H1223" s="18"/>
      <c r="I1223" s="21"/>
      <c r="J1223" s="21"/>
      <c r="K1223" s="216"/>
      <c r="L1223" s="216"/>
      <c r="M1223" s="216"/>
      <c r="N1223" s="216"/>
      <c r="O1223" s="216"/>
      <c r="P1223" s="216"/>
      <c r="Q1223" s="216"/>
    </row>
    <row r="1224">
      <c r="A1224" s="11"/>
      <c r="B1224" s="98"/>
      <c r="C1224" s="13"/>
      <c r="D1224" s="13"/>
      <c r="E1224" s="13"/>
      <c r="F1224" s="15"/>
      <c r="G1224" s="16"/>
      <c r="H1224" s="18"/>
      <c r="I1224" s="21"/>
      <c r="J1224" s="21"/>
      <c r="K1224" s="216"/>
      <c r="L1224" s="216"/>
      <c r="M1224" s="216"/>
      <c r="N1224" s="216"/>
      <c r="O1224" s="216"/>
      <c r="P1224" s="216"/>
      <c r="Q1224" s="216"/>
    </row>
    <row r="1225">
      <c r="A1225" s="11"/>
      <c r="B1225" s="98"/>
      <c r="C1225" s="13"/>
      <c r="D1225" s="13"/>
      <c r="E1225" s="13"/>
      <c r="F1225" s="15"/>
      <c r="G1225" s="16"/>
      <c r="H1225" s="18"/>
      <c r="I1225" s="21"/>
      <c r="J1225" s="21"/>
      <c r="K1225" s="216"/>
      <c r="L1225" s="216"/>
      <c r="M1225" s="216"/>
      <c r="N1225" s="216"/>
      <c r="O1225" s="216"/>
      <c r="P1225" s="216"/>
      <c r="Q1225" s="216"/>
    </row>
    <row r="1226">
      <c r="A1226" s="11"/>
      <c r="B1226" s="98"/>
      <c r="C1226" s="13"/>
      <c r="D1226" s="13"/>
      <c r="E1226" s="13"/>
      <c r="F1226" s="15"/>
      <c r="G1226" s="16"/>
      <c r="H1226" s="18"/>
      <c r="I1226" s="21"/>
      <c r="J1226" s="21"/>
      <c r="K1226" s="216"/>
      <c r="L1226" s="216"/>
      <c r="M1226" s="216"/>
      <c r="N1226" s="216"/>
      <c r="O1226" s="216"/>
      <c r="P1226" s="216"/>
      <c r="Q1226" s="216"/>
    </row>
    <row r="1227">
      <c r="A1227" s="11"/>
      <c r="B1227" s="98"/>
      <c r="C1227" s="13"/>
      <c r="D1227" s="13"/>
      <c r="E1227" s="13"/>
      <c r="F1227" s="15"/>
      <c r="G1227" s="16"/>
      <c r="H1227" s="18"/>
      <c r="I1227" s="21"/>
      <c r="J1227" s="21"/>
      <c r="K1227" s="216"/>
      <c r="L1227" s="216"/>
      <c r="M1227" s="216"/>
      <c r="N1227" s="216"/>
      <c r="O1227" s="216"/>
      <c r="P1227" s="216"/>
      <c r="Q1227" s="216"/>
    </row>
    <row r="1228">
      <c r="A1228" s="11"/>
      <c r="B1228" s="98"/>
      <c r="C1228" s="13"/>
      <c r="D1228" s="13"/>
      <c r="E1228" s="13"/>
      <c r="F1228" s="15"/>
      <c r="G1228" s="16"/>
      <c r="H1228" s="18"/>
      <c r="I1228" s="21"/>
      <c r="J1228" s="21"/>
      <c r="K1228" s="216"/>
      <c r="L1228" s="216"/>
      <c r="M1228" s="216"/>
      <c r="N1228" s="216"/>
      <c r="O1228" s="216"/>
      <c r="P1228" s="216"/>
      <c r="Q1228" s="216"/>
    </row>
    <row r="1229">
      <c r="A1229" s="11"/>
      <c r="B1229" s="98"/>
      <c r="C1229" s="13"/>
      <c r="D1229" s="13"/>
      <c r="E1229" s="13"/>
      <c r="F1229" s="15"/>
      <c r="G1229" s="16"/>
      <c r="H1229" s="18"/>
      <c r="I1229" s="21"/>
      <c r="J1229" s="21"/>
      <c r="K1229" s="216"/>
      <c r="L1229" s="216"/>
      <c r="M1229" s="216"/>
      <c r="N1229" s="216"/>
      <c r="O1229" s="216"/>
      <c r="P1229" s="216"/>
      <c r="Q1229" s="216"/>
    </row>
    <row r="1230">
      <c r="A1230" s="11"/>
      <c r="B1230" s="98"/>
      <c r="C1230" s="13"/>
      <c r="D1230" s="13"/>
      <c r="E1230" s="13"/>
      <c r="F1230" s="15"/>
      <c r="G1230" s="16"/>
      <c r="H1230" s="18"/>
      <c r="I1230" s="21"/>
      <c r="J1230" s="21"/>
      <c r="K1230" s="216"/>
      <c r="L1230" s="216"/>
      <c r="M1230" s="216"/>
      <c r="N1230" s="216"/>
      <c r="O1230" s="216"/>
      <c r="P1230" s="216"/>
      <c r="Q1230" s="216"/>
    </row>
    <row r="1231">
      <c r="A1231" s="11"/>
      <c r="B1231" s="98"/>
      <c r="C1231" s="13"/>
      <c r="D1231" s="13"/>
      <c r="E1231" s="13"/>
      <c r="F1231" s="15"/>
      <c r="G1231" s="16"/>
      <c r="H1231" s="18"/>
      <c r="I1231" s="21"/>
      <c r="J1231" s="21"/>
      <c r="K1231" s="216"/>
      <c r="L1231" s="216"/>
      <c r="M1231" s="216"/>
      <c r="N1231" s="216"/>
      <c r="O1231" s="216"/>
      <c r="P1231" s="216"/>
      <c r="Q1231" s="216"/>
    </row>
    <row r="1232">
      <c r="A1232" s="11"/>
      <c r="B1232" s="98"/>
      <c r="C1232" s="13"/>
      <c r="D1232" s="13"/>
      <c r="E1232" s="13"/>
      <c r="F1232" s="15"/>
      <c r="G1232" s="16"/>
      <c r="H1232" s="18"/>
      <c r="I1232" s="21"/>
      <c r="J1232" s="21"/>
      <c r="K1232" s="216"/>
      <c r="L1232" s="216"/>
      <c r="M1232" s="216"/>
      <c r="N1232" s="216"/>
      <c r="O1232" s="216"/>
      <c r="P1232" s="216"/>
      <c r="Q1232" s="216"/>
    </row>
    <row r="1233">
      <c r="A1233" s="11"/>
      <c r="B1233" s="98"/>
      <c r="C1233" s="13"/>
      <c r="D1233" s="13"/>
      <c r="E1233" s="13"/>
      <c r="F1233" s="15"/>
      <c r="G1233" s="16"/>
      <c r="H1233" s="18"/>
      <c r="I1233" s="21"/>
      <c r="J1233" s="21"/>
      <c r="K1233" s="216"/>
      <c r="L1233" s="216"/>
      <c r="M1233" s="216"/>
      <c r="N1233" s="216"/>
      <c r="O1233" s="216"/>
      <c r="P1233" s="216"/>
      <c r="Q1233" s="216"/>
    </row>
    <row r="1234">
      <c r="A1234" s="11"/>
      <c r="B1234" s="98"/>
      <c r="C1234" s="13"/>
      <c r="D1234" s="13"/>
      <c r="E1234" s="13"/>
      <c r="F1234" s="15"/>
      <c r="G1234" s="16"/>
      <c r="H1234" s="18"/>
      <c r="I1234" s="21"/>
      <c r="J1234" s="21"/>
      <c r="K1234" s="216"/>
      <c r="L1234" s="216"/>
      <c r="M1234" s="216"/>
      <c r="N1234" s="216"/>
      <c r="O1234" s="216"/>
      <c r="P1234" s="216"/>
      <c r="Q1234" s="216"/>
    </row>
    <row r="1235">
      <c r="A1235" s="11"/>
      <c r="B1235" s="98"/>
      <c r="C1235" s="13"/>
      <c r="D1235" s="13"/>
      <c r="E1235" s="13"/>
      <c r="F1235" s="15"/>
      <c r="G1235" s="16"/>
      <c r="H1235" s="18"/>
      <c r="I1235" s="21"/>
      <c r="J1235" s="21"/>
      <c r="K1235" s="216"/>
      <c r="L1235" s="216"/>
      <c r="M1235" s="216"/>
      <c r="N1235" s="216"/>
      <c r="O1235" s="216"/>
      <c r="P1235" s="216"/>
      <c r="Q1235" s="216"/>
    </row>
    <row r="1236">
      <c r="A1236" s="11"/>
      <c r="B1236" s="98"/>
      <c r="C1236" s="13"/>
      <c r="D1236" s="13"/>
      <c r="E1236" s="13"/>
      <c r="F1236" s="15"/>
      <c r="G1236" s="16"/>
      <c r="H1236" s="18"/>
      <c r="I1236" s="21"/>
      <c r="J1236" s="21"/>
      <c r="K1236" s="216"/>
      <c r="L1236" s="216"/>
      <c r="M1236" s="216"/>
      <c r="N1236" s="216"/>
      <c r="O1236" s="216"/>
      <c r="P1236" s="216"/>
      <c r="Q1236" s="216"/>
    </row>
    <row r="1237">
      <c r="A1237" s="11"/>
      <c r="B1237" s="98"/>
      <c r="C1237" s="13"/>
      <c r="D1237" s="13"/>
      <c r="E1237" s="13"/>
      <c r="F1237" s="15"/>
      <c r="G1237" s="16"/>
      <c r="H1237" s="18"/>
      <c r="I1237" s="21"/>
      <c r="J1237" s="21"/>
      <c r="K1237" s="216"/>
      <c r="L1237" s="216"/>
      <c r="M1237" s="216"/>
      <c r="N1237" s="216"/>
      <c r="O1237" s="216"/>
      <c r="P1237" s="216"/>
      <c r="Q1237" s="216"/>
    </row>
    <row r="1238">
      <c r="A1238" s="11"/>
      <c r="B1238" s="98"/>
      <c r="C1238" s="13"/>
      <c r="D1238" s="13"/>
      <c r="E1238" s="13"/>
      <c r="F1238" s="15"/>
      <c r="G1238" s="16"/>
      <c r="H1238" s="18"/>
      <c r="I1238" s="21"/>
      <c r="J1238" s="21"/>
      <c r="K1238" s="216"/>
      <c r="L1238" s="216"/>
      <c r="M1238" s="216"/>
      <c r="N1238" s="216"/>
      <c r="O1238" s="216"/>
      <c r="P1238" s="216"/>
      <c r="Q1238" s="216"/>
    </row>
    <row r="1239">
      <c r="A1239" s="11"/>
      <c r="B1239" s="98"/>
      <c r="C1239" s="13"/>
      <c r="D1239" s="13"/>
      <c r="E1239" s="13"/>
      <c r="F1239" s="15"/>
      <c r="G1239" s="16"/>
      <c r="H1239" s="18"/>
      <c r="I1239" s="21"/>
      <c r="J1239" s="21"/>
      <c r="K1239" s="216"/>
      <c r="L1239" s="216"/>
      <c r="M1239" s="216"/>
      <c r="N1239" s="216"/>
      <c r="O1239" s="216"/>
      <c r="P1239" s="216"/>
      <c r="Q1239" s="216"/>
    </row>
    <row r="1240">
      <c r="A1240" s="11"/>
      <c r="B1240" s="98"/>
      <c r="C1240" s="13"/>
      <c r="D1240" s="13"/>
      <c r="E1240" s="13"/>
      <c r="F1240" s="15"/>
      <c r="G1240" s="16"/>
      <c r="H1240" s="18"/>
      <c r="I1240" s="21"/>
      <c r="J1240" s="21"/>
      <c r="K1240" s="216"/>
      <c r="L1240" s="216"/>
      <c r="M1240" s="216"/>
      <c r="N1240" s="216"/>
      <c r="O1240" s="216"/>
      <c r="P1240" s="216"/>
      <c r="Q1240" s="216"/>
    </row>
    <row r="1241">
      <c r="A1241" s="11"/>
      <c r="B1241" s="98"/>
      <c r="C1241" s="13"/>
      <c r="D1241" s="13"/>
      <c r="E1241" s="13"/>
      <c r="F1241" s="15"/>
      <c r="G1241" s="16"/>
      <c r="H1241" s="18"/>
      <c r="I1241" s="21"/>
      <c r="J1241" s="21"/>
      <c r="K1241" s="216"/>
      <c r="L1241" s="216"/>
      <c r="M1241" s="216"/>
      <c r="N1241" s="216"/>
      <c r="O1241" s="216"/>
      <c r="P1241" s="216"/>
      <c r="Q1241" s="216"/>
    </row>
    <row r="1242">
      <c r="A1242" s="11"/>
      <c r="B1242" s="98"/>
      <c r="C1242" s="13"/>
      <c r="D1242" s="13"/>
      <c r="E1242" s="13"/>
      <c r="F1242" s="15"/>
      <c r="G1242" s="16"/>
      <c r="H1242" s="18"/>
      <c r="I1242" s="21"/>
      <c r="J1242" s="21"/>
      <c r="K1242" s="216"/>
      <c r="L1242" s="216"/>
      <c r="M1242" s="216"/>
      <c r="N1242" s="216"/>
      <c r="O1242" s="216"/>
      <c r="P1242" s="216"/>
      <c r="Q1242" s="216"/>
    </row>
    <row r="1243">
      <c r="A1243" s="11"/>
      <c r="B1243" s="98"/>
      <c r="C1243" s="13"/>
      <c r="D1243" s="13"/>
      <c r="E1243" s="13"/>
      <c r="F1243" s="15"/>
      <c r="G1243" s="16"/>
      <c r="H1243" s="18"/>
      <c r="I1243" s="21"/>
      <c r="J1243" s="21"/>
      <c r="K1243" s="216"/>
      <c r="L1243" s="216"/>
      <c r="M1243" s="216"/>
      <c r="N1243" s="216"/>
      <c r="O1243" s="216"/>
      <c r="P1243" s="216"/>
      <c r="Q1243" s="216"/>
    </row>
    <row r="1244">
      <c r="A1244" s="11"/>
      <c r="B1244" s="98"/>
      <c r="C1244" s="13"/>
      <c r="D1244" s="13"/>
      <c r="E1244" s="13"/>
      <c r="F1244" s="15"/>
      <c r="G1244" s="16"/>
      <c r="H1244" s="18"/>
      <c r="I1244" s="21"/>
      <c r="J1244" s="21"/>
      <c r="K1244" s="216"/>
      <c r="L1244" s="216"/>
      <c r="M1244" s="216"/>
      <c r="N1244" s="216"/>
      <c r="O1244" s="216"/>
      <c r="P1244" s="216"/>
      <c r="Q1244" s="216"/>
    </row>
    <row r="1245">
      <c r="A1245" s="11"/>
      <c r="B1245" s="98"/>
      <c r="C1245" s="13"/>
      <c r="D1245" s="13"/>
      <c r="E1245" s="13"/>
      <c r="F1245" s="15"/>
      <c r="G1245" s="16"/>
      <c r="H1245" s="18"/>
      <c r="I1245" s="21"/>
      <c r="J1245" s="21"/>
      <c r="K1245" s="216"/>
      <c r="L1245" s="216"/>
      <c r="M1245" s="216"/>
      <c r="N1245" s="216"/>
      <c r="O1245" s="216"/>
      <c r="P1245" s="216"/>
      <c r="Q1245" s="216"/>
    </row>
    <row r="1246">
      <c r="A1246" s="11"/>
      <c r="B1246" s="98"/>
      <c r="C1246" s="13"/>
      <c r="D1246" s="13"/>
      <c r="E1246" s="13"/>
      <c r="F1246" s="15"/>
      <c r="G1246" s="16"/>
      <c r="H1246" s="18"/>
      <c r="I1246" s="21"/>
      <c r="J1246" s="21"/>
      <c r="K1246" s="216"/>
      <c r="L1246" s="216"/>
      <c r="M1246" s="216"/>
      <c r="N1246" s="216"/>
      <c r="O1246" s="216"/>
      <c r="P1246" s="216"/>
      <c r="Q1246" s="216"/>
    </row>
    <row r="1247">
      <c r="A1247" s="11"/>
      <c r="B1247" s="98"/>
      <c r="C1247" s="13"/>
      <c r="D1247" s="13"/>
      <c r="E1247" s="13"/>
      <c r="F1247" s="15"/>
      <c r="G1247" s="16"/>
      <c r="H1247" s="18"/>
      <c r="I1247" s="21"/>
      <c r="J1247" s="21"/>
      <c r="K1247" s="216"/>
      <c r="L1247" s="216"/>
      <c r="M1247" s="216"/>
      <c r="N1247" s="216"/>
      <c r="O1247" s="216"/>
      <c r="P1247" s="216"/>
      <c r="Q1247" s="216"/>
    </row>
    <row r="1248">
      <c r="A1248" s="11"/>
      <c r="B1248" s="98"/>
      <c r="C1248" s="13"/>
      <c r="D1248" s="13"/>
      <c r="E1248" s="13"/>
      <c r="F1248" s="15"/>
      <c r="G1248" s="16"/>
      <c r="H1248" s="18"/>
      <c r="I1248" s="21"/>
      <c r="J1248" s="21"/>
      <c r="K1248" s="216"/>
      <c r="L1248" s="216"/>
      <c r="M1248" s="216"/>
      <c r="N1248" s="216"/>
      <c r="O1248" s="216"/>
      <c r="P1248" s="216"/>
      <c r="Q1248" s="216"/>
    </row>
    <row r="1249">
      <c r="A1249" s="11"/>
      <c r="B1249" s="98"/>
      <c r="C1249" s="13"/>
      <c r="D1249" s="13"/>
      <c r="E1249" s="13"/>
      <c r="F1249" s="15"/>
      <c r="G1249" s="16"/>
      <c r="H1249" s="18"/>
      <c r="I1249" s="21"/>
      <c r="J1249" s="21"/>
      <c r="K1249" s="216"/>
      <c r="L1249" s="216"/>
      <c r="M1249" s="216"/>
      <c r="N1249" s="216"/>
      <c r="O1249" s="216"/>
      <c r="P1249" s="216"/>
      <c r="Q1249" s="216"/>
    </row>
    <row r="1250">
      <c r="A1250" s="11"/>
      <c r="B1250" s="98"/>
      <c r="C1250" s="13"/>
      <c r="D1250" s="13"/>
      <c r="E1250" s="13"/>
      <c r="F1250" s="15"/>
      <c r="G1250" s="16"/>
      <c r="H1250" s="18"/>
      <c r="I1250" s="21"/>
      <c r="J1250" s="21"/>
      <c r="K1250" s="216"/>
      <c r="L1250" s="216"/>
      <c r="M1250" s="216"/>
      <c r="N1250" s="216"/>
      <c r="O1250" s="216"/>
      <c r="P1250" s="216"/>
      <c r="Q1250" s="216"/>
    </row>
    <row r="1251">
      <c r="A1251" s="11"/>
      <c r="B1251" s="98"/>
      <c r="C1251" s="13"/>
      <c r="D1251" s="13"/>
      <c r="E1251" s="13"/>
      <c r="F1251" s="15"/>
      <c r="G1251" s="16"/>
      <c r="H1251" s="18"/>
      <c r="I1251" s="21"/>
      <c r="J1251" s="21"/>
      <c r="K1251" s="216"/>
      <c r="L1251" s="216"/>
      <c r="M1251" s="216"/>
      <c r="N1251" s="216"/>
      <c r="O1251" s="216"/>
      <c r="P1251" s="216"/>
      <c r="Q1251" s="216"/>
    </row>
    <row r="1252">
      <c r="A1252" s="11"/>
      <c r="B1252" s="98"/>
      <c r="C1252" s="13"/>
      <c r="D1252" s="13"/>
      <c r="E1252" s="13"/>
      <c r="F1252" s="15"/>
      <c r="G1252" s="16"/>
      <c r="H1252" s="18"/>
      <c r="I1252" s="21"/>
      <c r="J1252" s="21"/>
      <c r="K1252" s="216"/>
      <c r="L1252" s="216"/>
      <c r="M1252" s="216"/>
      <c r="N1252" s="216"/>
      <c r="O1252" s="216"/>
      <c r="P1252" s="216"/>
      <c r="Q1252" s="216"/>
    </row>
    <row r="1253">
      <c r="A1253" s="11"/>
      <c r="B1253" s="98"/>
      <c r="C1253" s="13"/>
      <c r="D1253" s="13"/>
      <c r="E1253" s="13"/>
      <c r="F1253" s="15"/>
      <c r="G1253" s="16"/>
      <c r="H1253" s="18"/>
      <c r="I1253" s="21"/>
      <c r="J1253" s="21"/>
      <c r="K1253" s="216"/>
      <c r="L1253" s="216"/>
      <c r="M1253" s="216"/>
      <c r="N1253" s="216"/>
      <c r="O1253" s="216"/>
      <c r="P1253" s="216"/>
      <c r="Q1253" s="216"/>
    </row>
    <row r="1254">
      <c r="A1254" s="11"/>
      <c r="B1254" s="98"/>
      <c r="C1254" s="13"/>
      <c r="D1254" s="13"/>
      <c r="E1254" s="13"/>
      <c r="F1254" s="15"/>
      <c r="G1254" s="16"/>
      <c r="H1254" s="18"/>
      <c r="I1254" s="21"/>
      <c r="J1254" s="21"/>
      <c r="K1254" s="216"/>
      <c r="L1254" s="216"/>
      <c r="M1254" s="216"/>
      <c r="N1254" s="216"/>
      <c r="O1254" s="216"/>
      <c r="P1254" s="216"/>
      <c r="Q1254" s="216"/>
    </row>
    <row r="1255">
      <c r="A1255" s="11"/>
      <c r="B1255" s="98"/>
      <c r="C1255" s="13"/>
      <c r="D1255" s="13"/>
      <c r="E1255" s="13"/>
      <c r="F1255" s="15"/>
      <c r="G1255" s="16"/>
      <c r="H1255" s="18"/>
      <c r="I1255" s="21"/>
      <c r="J1255" s="21"/>
      <c r="K1255" s="216"/>
      <c r="L1255" s="216"/>
      <c r="M1255" s="216"/>
      <c r="N1255" s="216"/>
      <c r="O1255" s="216"/>
      <c r="P1255" s="216"/>
      <c r="Q1255" s="216"/>
    </row>
    <row r="1256">
      <c r="A1256" s="11"/>
      <c r="B1256" s="98"/>
      <c r="C1256" s="13"/>
      <c r="D1256" s="13"/>
      <c r="E1256" s="13"/>
      <c r="F1256" s="15"/>
      <c r="G1256" s="16"/>
      <c r="H1256" s="18"/>
      <c r="I1256" s="21"/>
      <c r="J1256" s="21"/>
      <c r="K1256" s="216"/>
      <c r="L1256" s="216"/>
      <c r="M1256" s="216"/>
      <c r="N1256" s="216"/>
      <c r="O1256" s="216"/>
      <c r="P1256" s="216"/>
      <c r="Q1256" s="216"/>
    </row>
    <row r="1257">
      <c r="A1257" s="11"/>
      <c r="B1257" s="98"/>
      <c r="C1257" s="13"/>
      <c r="D1257" s="13"/>
      <c r="E1257" s="13"/>
      <c r="F1257" s="15"/>
      <c r="G1257" s="16"/>
      <c r="H1257" s="18"/>
      <c r="I1257" s="21"/>
      <c r="J1257" s="21"/>
      <c r="K1257" s="216"/>
      <c r="L1257" s="216"/>
      <c r="M1257" s="216"/>
      <c r="N1257" s="216"/>
      <c r="O1257" s="216"/>
      <c r="P1257" s="216"/>
      <c r="Q1257" s="216"/>
    </row>
    <row r="1258">
      <c r="A1258" s="11"/>
      <c r="B1258" s="98"/>
      <c r="C1258" s="13"/>
      <c r="D1258" s="13"/>
      <c r="E1258" s="13"/>
      <c r="F1258" s="15"/>
      <c r="G1258" s="16"/>
      <c r="H1258" s="18"/>
      <c r="I1258" s="21"/>
      <c r="J1258" s="21"/>
      <c r="K1258" s="216"/>
      <c r="L1258" s="216"/>
      <c r="M1258" s="216"/>
      <c r="N1258" s="216"/>
      <c r="O1258" s="216"/>
      <c r="P1258" s="216"/>
      <c r="Q1258" s="216"/>
    </row>
    <row r="1259">
      <c r="A1259" s="11"/>
      <c r="B1259" s="98"/>
      <c r="C1259" s="13"/>
      <c r="D1259" s="13"/>
      <c r="E1259" s="13"/>
      <c r="F1259" s="15"/>
      <c r="G1259" s="16"/>
      <c r="H1259" s="18"/>
      <c r="I1259" s="21"/>
      <c r="J1259" s="21"/>
      <c r="K1259" s="216"/>
      <c r="L1259" s="216"/>
      <c r="M1259" s="216"/>
      <c r="N1259" s="216"/>
      <c r="O1259" s="216"/>
      <c r="P1259" s="216"/>
      <c r="Q1259" s="216"/>
    </row>
    <row r="1260">
      <c r="A1260" s="11"/>
      <c r="B1260" s="98"/>
      <c r="C1260" s="13"/>
      <c r="D1260" s="13"/>
      <c r="E1260" s="13"/>
      <c r="F1260" s="15"/>
      <c r="G1260" s="16"/>
      <c r="H1260" s="18"/>
      <c r="I1260" s="21"/>
      <c r="J1260" s="21"/>
      <c r="K1260" s="216"/>
      <c r="L1260" s="216"/>
      <c r="M1260" s="216"/>
      <c r="N1260" s="216"/>
      <c r="O1260" s="216"/>
      <c r="P1260" s="216"/>
      <c r="Q1260" s="216"/>
    </row>
    <row r="1261">
      <c r="A1261" s="11"/>
      <c r="B1261" s="98"/>
      <c r="C1261" s="13"/>
      <c r="D1261" s="13"/>
      <c r="E1261" s="13"/>
      <c r="F1261" s="15"/>
      <c r="G1261" s="16"/>
      <c r="H1261" s="18"/>
      <c r="I1261" s="21"/>
      <c r="J1261" s="21"/>
      <c r="K1261" s="216"/>
      <c r="L1261" s="216"/>
      <c r="M1261" s="216"/>
      <c r="N1261" s="216"/>
      <c r="O1261" s="216"/>
      <c r="P1261" s="216"/>
      <c r="Q1261" s="216"/>
    </row>
    <row r="1262">
      <c r="A1262" s="11"/>
      <c r="B1262" s="98"/>
      <c r="C1262" s="13"/>
      <c r="D1262" s="13"/>
      <c r="E1262" s="13"/>
      <c r="F1262" s="15"/>
      <c r="G1262" s="16"/>
      <c r="H1262" s="18"/>
      <c r="I1262" s="21"/>
      <c r="J1262" s="21"/>
      <c r="K1262" s="216"/>
      <c r="L1262" s="216"/>
      <c r="M1262" s="216"/>
      <c r="N1262" s="216"/>
      <c r="O1262" s="216"/>
      <c r="P1262" s="216"/>
      <c r="Q1262" s="216"/>
    </row>
    <row r="1263">
      <c r="A1263" s="11"/>
      <c r="B1263" s="98"/>
      <c r="C1263" s="13"/>
      <c r="D1263" s="13"/>
      <c r="E1263" s="13"/>
      <c r="F1263" s="15"/>
      <c r="G1263" s="16"/>
      <c r="H1263" s="18"/>
      <c r="I1263" s="21"/>
      <c r="J1263" s="21"/>
      <c r="K1263" s="216"/>
      <c r="L1263" s="216"/>
      <c r="M1263" s="216"/>
      <c r="N1263" s="216"/>
      <c r="O1263" s="216"/>
      <c r="P1263" s="216"/>
      <c r="Q1263" s="216"/>
    </row>
    <row r="1264">
      <c r="A1264" s="11"/>
      <c r="B1264" s="98"/>
      <c r="C1264" s="13"/>
      <c r="D1264" s="13"/>
      <c r="E1264" s="13"/>
      <c r="F1264" s="15"/>
      <c r="G1264" s="16"/>
      <c r="H1264" s="18"/>
      <c r="I1264" s="21"/>
      <c r="J1264" s="21"/>
      <c r="K1264" s="216"/>
      <c r="L1264" s="216"/>
      <c r="M1264" s="216"/>
      <c r="N1264" s="216"/>
      <c r="O1264" s="216"/>
      <c r="P1264" s="216"/>
      <c r="Q1264" s="216"/>
    </row>
    <row r="1265">
      <c r="A1265" s="11"/>
      <c r="B1265" s="98"/>
      <c r="C1265" s="13"/>
      <c r="D1265" s="13"/>
      <c r="E1265" s="13"/>
      <c r="F1265" s="15"/>
      <c r="G1265" s="16"/>
      <c r="H1265" s="18"/>
      <c r="I1265" s="21"/>
      <c r="J1265" s="21"/>
      <c r="K1265" s="216"/>
      <c r="L1265" s="216"/>
      <c r="M1265" s="216"/>
      <c r="N1265" s="216"/>
      <c r="O1265" s="216"/>
      <c r="P1265" s="216"/>
      <c r="Q1265" s="216"/>
    </row>
    <row r="1266">
      <c r="A1266" s="11"/>
      <c r="B1266" s="98"/>
      <c r="C1266" s="13"/>
      <c r="D1266" s="13"/>
      <c r="E1266" s="13"/>
      <c r="F1266" s="15"/>
      <c r="G1266" s="16"/>
      <c r="H1266" s="18"/>
      <c r="I1266" s="21"/>
      <c r="J1266" s="21"/>
      <c r="K1266" s="216"/>
      <c r="L1266" s="216"/>
      <c r="M1266" s="216"/>
      <c r="N1266" s="216"/>
      <c r="O1266" s="216"/>
      <c r="P1266" s="216"/>
      <c r="Q1266" s="216"/>
    </row>
    <row r="1267">
      <c r="A1267" s="11"/>
      <c r="B1267" s="98"/>
      <c r="C1267" s="13"/>
      <c r="D1267" s="13"/>
      <c r="E1267" s="13"/>
      <c r="F1267" s="15"/>
      <c r="G1267" s="16"/>
      <c r="H1267" s="18"/>
      <c r="I1267" s="21"/>
      <c r="J1267" s="21"/>
      <c r="K1267" s="216"/>
      <c r="L1267" s="216"/>
      <c r="M1267" s="216"/>
      <c r="N1267" s="216"/>
      <c r="O1267" s="216"/>
      <c r="P1267" s="216"/>
      <c r="Q1267" s="216"/>
    </row>
    <row r="1268">
      <c r="A1268" s="11"/>
      <c r="B1268" s="98"/>
      <c r="C1268" s="13"/>
      <c r="D1268" s="13"/>
      <c r="E1268" s="13"/>
      <c r="F1268" s="15"/>
      <c r="G1268" s="16"/>
      <c r="H1268" s="18"/>
      <c r="I1268" s="21"/>
      <c r="J1268" s="21"/>
      <c r="K1268" s="216"/>
      <c r="L1268" s="216"/>
      <c r="M1268" s="216"/>
      <c r="N1268" s="216"/>
      <c r="O1268" s="216"/>
      <c r="P1268" s="216"/>
      <c r="Q1268" s="216"/>
    </row>
    <row r="1269">
      <c r="A1269" s="11"/>
      <c r="B1269" s="98"/>
      <c r="C1269" s="13"/>
      <c r="D1269" s="13"/>
      <c r="E1269" s="13"/>
      <c r="F1269" s="15"/>
      <c r="G1269" s="16"/>
      <c r="H1269" s="18"/>
      <c r="I1269" s="21"/>
      <c r="J1269" s="21"/>
      <c r="K1269" s="216"/>
      <c r="L1269" s="216"/>
      <c r="M1269" s="216"/>
      <c r="N1269" s="216"/>
      <c r="O1269" s="216"/>
      <c r="P1269" s="216"/>
      <c r="Q1269" s="216"/>
    </row>
    <row r="1270">
      <c r="A1270" s="11"/>
      <c r="B1270" s="98"/>
      <c r="C1270" s="13"/>
      <c r="D1270" s="13"/>
      <c r="E1270" s="13"/>
      <c r="F1270" s="15"/>
      <c r="G1270" s="16"/>
      <c r="H1270" s="18"/>
      <c r="I1270" s="21"/>
      <c r="J1270" s="21"/>
      <c r="K1270" s="216"/>
      <c r="L1270" s="216"/>
      <c r="M1270" s="216"/>
      <c r="N1270" s="216"/>
      <c r="O1270" s="216"/>
      <c r="P1270" s="216"/>
      <c r="Q1270" s="216"/>
    </row>
    <row r="1271">
      <c r="A1271" s="11"/>
      <c r="B1271" s="98"/>
      <c r="C1271" s="13"/>
      <c r="D1271" s="13"/>
      <c r="E1271" s="13"/>
      <c r="F1271" s="15"/>
      <c r="G1271" s="16"/>
      <c r="H1271" s="18"/>
      <c r="I1271" s="21"/>
      <c r="J1271" s="21"/>
      <c r="K1271" s="216"/>
      <c r="L1271" s="216"/>
      <c r="M1271" s="216"/>
      <c r="N1271" s="216"/>
      <c r="O1271" s="216"/>
      <c r="P1271" s="216"/>
      <c r="Q1271" s="216"/>
    </row>
    <row r="1272">
      <c r="A1272" s="11"/>
      <c r="B1272" s="98"/>
      <c r="C1272" s="13"/>
      <c r="D1272" s="13"/>
      <c r="E1272" s="13"/>
      <c r="F1272" s="15"/>
      <c r="G1272" s="16"/>
      <c r="H1272" s="18"/>
      <c r="I1272" s="21"/>
      <c r="J1272" s="21"/>
      <c r="K1272" s="216"/>
      <c r="L1272" s="216"/>
      <c r="M1272" s="216"/>
      <c r="N1272" s="216"/>
      <c r="O1272" s="216"/>
      <c r="P1272" s="216"/>
      <c r="Q1272" s="216"/>
    </row>
    <row r="1273">
      <c r="A1273" s="11"/>
      <c r="B1273" s="98"/>
      <c r="C1273" s="13"/>
      <c r="D1273" s="13"/>
      <c r="E1273" s="13"/>
      <c r="F1273" s="15"/>
      <c r="G1273" s="16"/>
      <c r="H1273" s="18"/>
      <c r="I1273" s="21"/>
      <c r="J1273" s="21"/>
      <c r="K1273" s="216"/>
      <c r="L1273" s="216"/>
      <c r="M1273" s="216"/>
      <c r="N1273" s="216"/>
      <c r="O1273" s="216"/>
      <c r="P1273" s="216"/>
      <c r="Q1273" s="216"/>
    </row>
    <row r="1274">
      <c r="A1274" s="11"/>
      <c r="B1274" s="98"/>
      <c r="C1274" s="13"/>
      <c r="D1274" s="13"/>
      <c r="E1274" s="13"/>
      <c r="F1274" s="15"/>
      <c r="G1274" s="16"/>
      <c r="H1274" s="18"/>
      <c r="I1274" s="21"/>
      <c r="J1274" s="21"/>
      <c r="K1274" s="216"/>
      <c r="L1274" s="216"/>
      <c r="M1274" s="216"/>
      <c r="N1274" s="216"/>
      <c r="O1274" s="216"/>
      <c r="P1274" s="216"/>
      <c r="Q1274" s="216"/>
    </row>
    <row r="1275">
      <c r="A1275" s="11"/>
      <c r="B1275" s="98"/>
      <c r="C1275" s="13"/>
      <c r="D1275" s="13"/>
      <c r="E1275" s="13"/>
      <c r="F1275" s="15"/>
      <c r="G1275" s="16"/>
      <c r="H1275" s="18"/>
      <c r="I1275" s="21"/>
      <c r="J1275" s="21"/>
      <c r="K1275" s="216"/>
      <c r="L1275" s="216"/>
      <c r="M1275" s="216"/>
      <c r="N1275" s="216"/>
      <c r="O1275" s="216"/>
      <c r="P1275" s="216"/>
      <c r="Q1275" s="216"/>
    </row>
    <row r="1276">
      <c r="A1276" s="11"/>
      <c r="B1276" s="98"/>
      <c r="C1276" s="13"/>
      <c r="D1276" s="13"/>
      <c r="E1276" s="13"/>
      <c r="F1276" s="15"/>
      <c r="G1276" s="16"/>
      <c r="H1276" s="18"/>
      <c r="I1276" s="21"/>
      <c r="J1276" s="21"/>
      <c r="K1276" s="216"/>
      <c r="L1276" s="216"/>
      <c r="M1276" s="216"/>
      <c r="N1276" s="216"/>
      <c r="O1276" s="216"/>
      <c r="P1276" s="216"/>
      <c r="Q1276" s="216"/>
    </row>
    <row r="1277">
      <c r="A1277" s="11"/>
      <c r="B1277" s="98"/>
      <c r="C1277" s="13"/>
      <c r="D1277" s="13"/>
      <c r="E1277" s="13"/>
      <c r="F1277" s="15"/>
      <c r="G1277" s="16"/>
      <c r="H1277" s="18"/>
      <c r="I1277" s="21"/>
      <c r="J1277" s="21"/>
      <c r="K1277" s="216"/>
      <c r="L1277" s="216"/>
      <c r="M1277" s="216"/>
      <c r="N1277" s="216"/>
      <c r="O1277" s="216"/>
      <c r="P1277" s="216"/>
      <c r="Q1277" s="216"/>
    </row>
    <row r="1278">
      <c r="A1278" s="11"/>
      <c r="B1278" s="98"/>
      <c r="C1278" s="13"/>
      <c r="D1278" s="13"/>
      <c r="E1278" s="13"/>
      <c r="F1278" s="15"/>
      <c r="G1278" s="16"/>
      <c r="H1278" s="18"/>
      <c r="I1278" s="21"/>
      <c r="J1278" s="21"/>
      <c r="K1278" s="216"/>
      <c r="L1278" s="216"/>
      <c r="M1278" s="216"/>
      <c r="N1278" s="216"/>
      <c r="O1278" s="216"/>
      <c r="P1278" s="216"/>
      <c r="Q1278" s="216"/>
    </row>
    <row r="1279">
      <c r="A1279" s="11"/>
      <c r="B1279" s="98"/>
      <c r="C1279" s="13"/>
      <c r="D1279" s="13"/>
      <c r="E1279" s="13"/>
      <c r="F1279" s="15"/>
      <c r="G1279" s="16"/>
      <c r="H1279" s="18"/>
      <c r="I1279" s="21"/>
      <c r="J1279" s="21"/>
      <c r="K1279" s="216"/>
      <c r="L1279" s="216"/>
      <c r="M1279" s="216"/>
      <c r="N1279" s="216"/>
      <c r="O1279" s="216"/>
      <c r="P1279" s="216"/>
      <c r="Q1279" s="216"/>
    </row>
    <row r="1280">
      <c r="A1280" s="11"/>
      <c r="B1280" s="98"/>
      <c r="C1280" s="13"/>
      <c r="D1280" s="13"/>
      <c r="E1280" s="13"/>
      <c r="F1280" s="15"/>
      <c r="G1280" s="16"/>
      <c r="H1280" s="18"/>
      <c r="I1280" s="21"/>
      <c r="J1280" s="21"/>
      <c r="K1280" s="216"/>
      <c r="L1280" s="216"/>
      <c r="M1280" s="216"/>
      <c r="N1280" s="216"/>
      <c r="O1280" s="216"/>
      <c r="P1280" s="216"/>
      <c r="Q1280" s="216"/>
    </row>
    <row r="1281">
      <c r="A1281" s="11"/>
      <c r="B1281" s="98"/>
      <c r="C1281" s="13"/>
      <c r="D1281" s="13"/>
      <c r="E1281" s="13"/>
      <c r="F1281" s="15"/>
      <c r="G1281" s="16"/>
      <c r="H1281" s="18"/>
      <c r="I1281" s="21"/>
      <c r="J1281" s="21"/>
      <c r="K1281" s="216"/>
      <c r="L1281" s="216"/>
      <c r="M1281" s="216"/>
      <c r="N1281" s="216"/>
      <c r="O1281" s="216"/>
      <c r="P1281" s="216"/>
      <c r="Q1281" s="216"/>
    </row>
    <row r="1282">
      <c r="A1282" s="11"/>
      <c r="B1282" s="98"/>
      <c r="C1282" s="13"/>
      <c r="D1282" s="13"/>
      <c r="E1282" s="13"/>
      <c r="F1282" s="15"/>
      <c r="G1282" s="16"/>
      <c r="H1282" s="18"/>
      <c r="I1282" s="21"/>
      <c r="J1282" s="21"/>
      <c r="K1282" s="216"/>
      <c r="L1282" s="216"/>
      <c r="M1282" s="216"/>
      <c r="N1282" s="216"/>
      <c r="O1282" s="216"/>
      <c r="P1282" s="216"/>
      <c r="Q1282" s="216"/>
    </row>
    <row r="1283">
      <c r="A1283" s="11"/>
      <c r="B1283" s="98"/>
      <c r="C1283" s="13"/>
      <c r="D1283" s="13"/>
      <c r="E1283" s="13"/>
      <c r="F1283" s="15"/>
      <c r="G1283" s="16"/>
      <c r="H1283" s="18"/>
      <c r="I1283" s="21"/>
      <c r="J1283" s="21"/>
      <c r="K1283" s="216"/>
      <c r="L1283" s="216"/>
      <c r="M1283" s="216"/>
      <c r="N1283" s="216"/>
      <c r="O1283" s="216"/>
      <c r="P1283" s="216"/>
      <c r="Q1283" s="216"/>
    </row>
    <row r="1284">
      <c r="A1284" s="11"/>
      <c r="B1284" s="98"/>
      <c r="C1284" s="13"/>
      <c r="D1284" s="13"/>
      <c r="E1284" s="13"/>
      <c r="F1284" s="15"/>
      <c r="G1284" s="16"/>
      <c r="H1284" s="18"/>
      <c r="I1284" s="21"/>
      <c r="J1284" s="21"/>
      <c r="K1284" s="216"/>
      <c r="L1284" s="216"/>
      <c r="M1284" s="216"/>
      <c r="N1284" s="216"/>
      <c r="O1284" s="216"/>
      <c r="P1284" s="216"/>
      <c r="Q1284" s="216"/>
    </row>
    <row r="1285">
      <c r="A1285" s="11"/>
      <c r="B1285" s="98"/>
      <c r="C1285" s="13"/>
      <c r="D1285" s="13"/>
      <c r="E1285" s="13"/>
      <c r="F1285" s="15"/>
      <c r="G1285" s="16"/>
      <c r="H1285" s="18"/>
      <c r="I1285" s="21"/>
      <c r="J1285" s="21"/>
      <c r="K1285" s="216"/>
      <c r="L1285" s="216"/>
      <c r="M1285" s="216"/>
      <c r="N1285" s="216"/>
      <c r="O1285" s="216"/>
      <c r="P1285" s="216"/>
      <c r="Q1285" s="216"/>
    </row>
    <row r="1286">
      <c r="A1286" s="11"/>
      <c r="B1286" s="98"/>
      <c r="C1286" s="13"/>
      <c r="D1286" s="13"/>
      <c r="E1286" s="13"/>
      <c r="F1286" s="15"/>
      <c r="G1286" s="16"/>
      <c r="H1286" s="18"/>
      <c r="I1286" s="21"/>
      <c r="J1286" s="21"/>
      <c r="K1286" s="216"/>
      <c r="L1286" s="216"/>
      <c r="M1286" s="216"/>
      <c r="N1286" s="216"/>
      <c r="O1286" s="216"/>
      <c r="P1286" s="216"/>
      <c r="Q1286" s="216"/>
    </row>
    <row r="1287">
      <c r="A1287" s="11"/>
      <c r="B1287" s="98"/>
      <c r="C1287" s="13"/>
      <c r="D1287" s="13"/>
      <c r="E1287" s="13"/>
      <c r="F1287" s="15"/>
      <c r="G1287" s="16"/>
      <c r="H1287" s="18"/>
      <c r="I1287" s="21"/>
      <c r="J1287" s="21"/>
      <c r="K1287" s="216"/>
      <c r="L1287" s="216"/>
      <c r="M1287" s="216"/>
      <c r="N1287" s="216"/>
      <c r="O1287" s="216"/>
      <c r="P1287" s="216"/>
      <c r="Q1287" s="216"/>
    </row>
    <row r="1288">
      <c r="A1288" s="11"/>
      <c r="B1288" s="98"/>
      <c r="C1288" s="13"/>
      <c r="D1288" s="13"/>
      <c r="E1288" s="13"/>
      <c r="F1288" s="15"/>
      <c r="G1288" s="16"/>
      <c r="H1288" s="18"/>
      <c r="I1288" s="21"/>
      <c r="J1288" s="21"/>
      <c r="K1288" s="216"/>
      <c r="L1288" s="216"/>
      <c r="M1288" s="216"/>
      <c r="N1288" s="216"/>
      <c r="O1288" s="216"/>
      <c r="P1288" s="216"/>
      <c r="Q1288" s="216"/>
    </row>
    <row r="1289">
      <c r="A1289" s="11"/>
      <c r="B1289" s="98"/>
      <c r="C1289" s="13"/>
      <c r="D1289" s="13"/>
      <c r="E1289" s="13"/>
      <c r="F1289" s="15"/>
      <c r="G1289" s="16"/>
      <c r="H1289" s="18"/>
      <c r="I1289" s="21"/>
      <c r="J1289" s="21"/>
      <c r="K1289" s="216"/>
      <c r="L1289" s="216"/>
      <c r="M1289" s="216"/>
      <c r="N1289" s="216"/>
      <c r="O1289" s="216"/>
      <c r="P1289" s="216"/>
      <c r="Q1289" s="216"/>
    </row>
    <row r="1290">
      <c r="A1290" s="11"/>
      <c r="B1290" s="98"/>
      <c r="C1290" s="13"/>
      <c r="D1290" s="13"/>
      <c r="E1290" s="13"/>
      <c r="F1290" s="15"/>
      <c r="G1290" s="16"/>
      <c r="H1290" s="18"/>
      <c r="I1290" s="21"/>
      <c r="J1290" s="21"/>
      <c r="K1290" s="216"/>
      <c r="L1290" s="216"/>
      <c r="M1290" s="216"/>
      <c r="N1290" s="216"/>
      <c r="O1290" s="216"/>
      <c r="P1290" s="216"/>
      <c r="Q1290" s="216"/>
    </row>
    <row r="1291">
      <c r="A1291" s="11"/>
      <c r="B1291" s="98"/>
      <c r="C1291" s="13"/>
      <c r="D1291" s="13"/>
      <c r="E1291" s="13"/>
      <c r="F1291" s="15"/>
      <c r="G1291" s="16"/>
      <c r="H1291" s="18"/>
      <c r="I1291" s="21"/>
      <c r="J1291" s="21"/>
      <c r="K1291" s="216"/>
      <c r="L1291" s="216"/>
      <c r="M1291" s="216"/>
      <c r="N1291" s="216"/>
      <c r="O1291" s="216"/>
      <c r="P1291" s="216"/>
      <c r="Q1291" s="216"/>
    </row>
    <row r="1292">
      <c r="A1292" s="11"/>
      <c r="B1292" s="98"/>
      <c r="C1292" s="13"/>
      <c r="D1292" s="13"/>
      <c r="E1292" s="13"/>
      <c r="F1292" s="15"/>
      <c r="G1292" s="16"/>
      <c r="H1292" s="18"/>
      <c r="I1292" s="21"/>
      <c r="J1292" s="21"/>
      <c r="K1292" s="216"/>
      <c r="L1292" s="216"/>
      <c r="M1292" s="216"/>
      <c r="N1292" s="216"/>
      <c r="O1292" s="216"/>
      <c r="P1292" s="216"/>
      <c r="Q1292" s="216"/>
    </row>
    <row r="1293">
      <c r="A1293" s="11"/>
      <c r="B1293" s="98"/>
      <c r="C1293" s="13"/>
      <c r="D1293" s="13"/>
      <c r="E1293" s="13"/>
      <c r="F1293" s="15"/>
      <c r="G1293" s="16"/>
      <c r="H1293" s="18"/>
      <c r="I1293" s="21"/>
      <c r="J1293" s="21"/>
      <c r="K1293" s="216"/>
      <c r="L1293" s="216"/>
      <c r="M1293" s="216"/>
      <c r="N1293" s="216"/>
      <c r="O1293" s="216"/>
      <c r="P1293" s="216"/>
      <c r="Q1293" s="216"/>
    </row>
    <row r="1294">
      <c r="A1294" s="11"/>
      <c r="B1294" s="98"/>
      <c r="C1294" s="13"/>
      <c r="D1294" s="13"/>
      <c r="E1294" s="13"/>
      <c r="F1294" s="15"/>
      <c r="G1294" s="16"/>
      <c r="H1294" s="18"/>
      <c r="I1294" s="21"/>
      <c r="J1294" s="21"/>
      <c r="K1294" s="216"/>
      <c r="L1294" s="216"/>
      <c r="M1294" s="216"/>
      <c r="N1294" s="216"/>
      <c r="O1294" s="216"/>
      <c r="P1294" s="216"/>
      <c r="Q1294" s="216"/>
    </row>
    <row r="1295">
      <c r="A1295" s="11"/>
      <c r="B1295" s="98"/>
      <c r="C1295" s="13"/>
      <c r="D1295" s="13"/>
      <c r="E1295" s="13"/>
      <c r="F1295" s="15"/>
      <c r="G1295" s="16"/>
      <c r="H1295" s="18"/>
      <c r="I1295" s="21"/>
      <c r="J1295" s="21"/>
      <c r="K1295" s="216"/>
      <c r="L1295" s="216"/>
      <c r="M1295" s="216"/>
      <c r="N1295" s="216"/>
      <c r="O1295" s="216"/>
      <c r="P1295" s="216"/>
      <c r="Q1295" s="216"/>
    </row>
    <row r="1296">
      <c r="A1296" s="11"/>
      <c r="B1296" s="98"/>
      <c r="C1296" s="13"/>
      <c r="D1296" s="13"/>
      <c r="E1296" s="13"/>
      <c r="F1296" s="15"/>
      <c r="G1296" s="16"/>
      <c r="H1296" s="18"/>
      <c r="I1296" s="21"/>
      <c r="J1296" s="21"/>
      <c r="K1296" s="216"/>
      <c r="L1296" s="216"/>
      <c r="M1296" s="216"/>
      <c r="N1296" s="216"/>
      <c r="O1296" s="216"/>
      <c r="P1296" s="216"/>
      <c r="Q1296" s="216"/>
    </row>
    <row r="1297">
      <c r="A1297" s="11"/>
      <c r="B1297" s="98"/>
      <c r="C1297" s="13"/>
      <c r="D1297" s="13"/>
      <c r="E1297" s="13"/>
      <c r="F1297" s="15"/>
      <c r="G1297" s="16"/>
      <c r="H1297" s="18"/>
      <c r="I1297" s="21"/>
      <c r="J1297" s="21"/>
      <c r="K1297" s="216"/>
      <c r="L1297" s="216"/>
      <c r="M1297" s="216"/>
      <c r="N1297" s="216"/>
      <c r="O1297" s="216"/>
      <c r="P1297" s="216"/>
      <c r="Q1297" s="216"/>
    </row>
    <row r="1298">
      <c r="A1298" s="11"/>
      <c r="B1298" s="98"/>
      <c r="C1298" s="13"/>
      <c r="D1298" s="13"/>
      <c r="E1298" s="13"/>
      <c r="F1298" s="15"/>
      <c r="G1298" s="16"/>
      <c r="H1298" s="18"/>
      <c r="I1298" s="21"/>
      <c r="J1298" s="21"/>
      <c r="K1298" s="216"/>
      <c r="L1298" s="216"/>
      <c r="M1298" s="216"/>
      <c r="N1298" s="216"/>
      <c r="O1298" s="216"/>
      <c r="P1298" s="216"/>
      <c r="Q1298" s="216"/>
    </row>
    <row r="1299">
      <c r="A1299" s="11"/>
      <c r="B1299" s="98"/>
      <c r="C1299" s="13"/>
      <c r="D1299" s="13"/>
      <c r="E1299" s="13"/>
      <c r="F1299" s="15"/>
      <c r="G1299" s="16"/>
      <c r="H1299" s="18"/>
      <c r="I1299" s="21"/>
      <c r="J1299" s="21"/>
      <c r="K1299" s="216"/>
      <c r="L1299" s="216"/>
      <c r="M1299" s="216"/>
      <c r="N1299" s="216"/>
      <c r="O1299" s="216"/>
      <c r="P1299" s="216"/>
      <c r="Q1299" s="216"/>
    </row>
    <row r="1300">
      <c r="A1300" s="11"/>
      <c r="B1300" s="98"/>
      <c r="C1300" s="13"/>
      <c r="D1300" s="13"/>
      <c r="E1300" s="13"/>
      <c r="F1300" s="15"/>
      <c r="G1300" s="16"/>
      <c r="H1300" s="18"/>
      <c r="I1300" s="21"/>
      <c r="J1300" s="21"/>
      <c r="K1300" s="216"/>
      <c r="L1300" s="216"/>
      <c r="M1300" s="216"/>
      <c r="N1300" s="216"/>
      <c r="O1300" s="216"/>
      <c r="P1300" s="216"/>
      <c r="Q1300" s="216"/>
    </row>
    <row r="1301">
      <c r="A1301" s="11"/>
      <c r="B1301" s="98"/>
      <c r="C1301" s="13"/>
      <c r="D1301" s="13"/>
      <c r="E1301" s="13"/>
      <c r="F1301" s="15"/>
      <c r="G1301" s="16"/>
      <c r="H1301" s="18"/>
      <c r="I1301" s="21"/>
      <c r="J1301" s="21"/>
      <c r="K1301" s="216"/>
      <c r="L1301" s="216"/>
      <c r="M1301" s="216"/>
      <c r="N1301" s="216"/>
      <c r="O1301" s="216"/>
      <c r="P1301" s="216"/>
      <c r="Q1301" s="216"/>
    </row>
    <row r="1302">
      <c r="A1302" s="11"/>
      <c r="B1302" s="98"/>
      <c r="C1302" s="13"/>
      <c r="D1302" s="13"/>
      <c r="E1302" s="13"/>
      <c r="F1302" s="15"/>
      <c r="G1302" s="16"/>
      <c r="H1302" s="18"/>
      <c r="I1302" s="21"/>
      <c r="J1302" s="21"/>
      <c r="K1302" s="216"/>
      <c r="L1302" s="216"/>
      <c r="M1302" s="216"/>
      <c r="N1302" s="216"/>
      <c r="O1302" s="216"/>
      <c r="P1302" s="216"/>
      <c r="Q1302" s="216"/>
    </row>
    <row r="1303">
      <c r="A1303" s="11"/>
      <c r="B1303" s="98"/>
      <c r="C1303" s="13"/>
      <c r="D1303" s="13"/>
      <c r="E1303" s="13"/>
      <c r="F1303" s="15"/>
      <c r="G1303" s="16"/>
      <c r="H1303" s="18"/>
      <c r="I1303" s="21"/>
      <c r="J1303" s="21"/>
      <c r="K1303" s="216"/>
      <c r="L1303" s="216"/>
      <c r="M1303" s="216"/>
      <c r="N1303" s="216"/>
      <c r="O1303" s="216"/>
      <c r="P1303" s="216"/>
      <c r="Q1303" s="216"/>
    </row>
    <row r="1304">
      <c r="A1304" s="11"/>
      <c r="B1304" s="98"/>
      <c r="C1304" s="13"/>
      <c r="D1304" s="13"/>
      <c r="E1304" s="13"/>
      <c r="F1304" s="15"/>
      <c r="G1304" s="16"/>
      <c r="H1304" s="18"/>
      <c r="I1304" s="21"/>
      <c r="J1304" s="21"/>
      <c r="K1304" s="216"/>
      <c r="L1304" s="216"/>
      <c r="M1304" s="216"/>
      <c r="N1304" s="216"/>
      <c r="O1304" s="216"/>
      <c r="P1304" s="216"/>
      <c r="Q1304" s="216"/>
    </row>
    <row r="1305">
      <c r="A1305" s="11"/>
      <c r="B1305" s="98"/>
      <c r="C1305" s="13"/>
      <c r="D1305" s="13"/>
      <c r="E1305" s="13"/>
      <c r="F1305" s="15"/>
      <c r="G1305" s="16"/>
      <c r="H1305" s="18"/>
      <c r="I1305" s="21"/>
      <c r="J1305" s="21"/>
      <c r="K1305" s="216"/>
      <c r="L1305" s="216"/>
      <c r="M1305" s="216"/>
      <c r="N1305" s="216"/>
      <c r="O1305" s="216"/>
      <c r="P1305" s="216"/>
      <c r="Q1305" s="216"/>
    </row>
    <row r="1306">
      <c r="A1306" s="11"/>
      <c r="B1306" s="98"/>
      <c r="C1306" s="13"/>
      <c r="D1306" s="13"/>
      <c r="E1306" s="13"/>
      <c r="F1306" s="15"/>
      <c r="G1306" s="16"/>
      <c r="H1306" s="18"/>
      <c r="I1306" s="21"/>
      <c r="J1306" s="21"/>
      <c r="K1306" s="216"/>
      <c r="L1306" s="216"/>
      <c r="M1306" s="216"/>
      <c r="N1306" s="216"/>
      <c r="O1306" s="216"/>
      <c r="P1306" s="216"/>
      <c r="Q1306" s="216"/>
    </row>
    <row r="1307">
      <c r="A1307" s="11"/>
      <c r="B1307" s="98"/>
      <c r="C1307" s="13"/>
      <c r="D1307" s="13"/>
      <c r="E1307" s="13"/>
      <c r="F1307" s="15"/>
      <c r="G1307" s="16"/>
      <c r="H1307" s="18"/>
      <c r="I1307" s="21"/>
      <c r="J1307" s="21"/>
      <c r="K1307" s="216"/>
      <c r="L1307" s="216"/>
      <c r="M1307" s="216"/>
      <c r="N1307" s="216"/>
      <c r="O1307" s="216"/>
      <c r="P1307" s="216"/>
      <c r="Q1307" s="216"/>
    </row>
    <row r="1308">
      <c r="A1308" s="11"/>
      <c r="B1308" s="98"/>
      <c r="C1308" s="13"/>
      <c r="D1308" s="13"/>
      <c r="E1308" s="13"/>
      <c r="F1308" s="15"/>
      <c r="G1308" s="16"/>
      <c r="H1308" s="18"/>
      <c r="I1308" s="21"/>
      <c r="J1308" s="21"/>
      <c r="K1308" s="216"/>
      <c r="L1308" s="216"/>
      <c r="M1308" s="216"/>
      <c r="N1308" s="216"/>
      <c r="O1308" s="216"/>
      <c r="P1308" s="216"/>
      <c r="Q1308" s="216"/>
    </row>
    <row r="1309">
      <c r="A1309" s="11"/>
      <c r="B1309" s="98"/>
      <c r="C1309" s="13"/>
      <c r="D1309" s="13"/>
      <c r="E1309" s="13"/>
      <c r="F1309" s="15"/>
      <c r="G1309" s="16"/>
      <c r="H1309" s="18"/>
      <c r="I1309" s="21"/>
      <c r="J1309" s="21"/>
      <c r="K1309" s="216"/>
      <c r="L1309" s="216"/>
      <c r="M1309" s="216"/>
      <c r="N1309" s="216"/>
      <c r="O1309" s="216"/>
      <c r="P1309" s="216"/>
      <c r="Q1309" s="216"/>
    </row>
    <row r="1310">
      <c r="A1310" s="11"/>
      <c r="B1310" s="98"/>
      <c r="C1310" s="13"/>
      <c r="D1310" s="13"/>
      <c r="E1310" s="13"/>
      <c r="F1310" s="15"/>
      <c r="G1310" s="16"/>
      <c r="H1310" s="18"/>
      <c r="I1310" s="21"/>
      <c r="J1310" s="21"/>
      <c r="K1310" s="216"/>
      <c r="L1310" s="216"/>
      <c r="M1310" s="216"/>
      <c r="N1310" s="216"/>
      <c r="O1310" s="216"/>
      <c r="P1310" s="216"/>
      <c r="Q1310" s="216"/>
    </row>
    <row r="1311">
      <c r="A1311" s="11"/>
      <c r="B1311" s="98"/>
      <c r="C1311" s="13"/>
      <c r="D1311" s="13"/>
      <c r="E1311" s="13"/>
      <c r="F1311" s="15"/>
      <c r="G1311" s="16"/>
      <c r="H1311" s="18"/>
      <c r="I1311" s="21"/>
      <c r="J1311" s="21"/>
      <c r="K1311" s="216"/>
      <c r="L1311" s="216"/>
      <c r="M1311" s="216"/>
      <c r="N1311" s="216"/>
      <c r="O1311" s="216"/>
      <c r="P1311" s="216"/>
      <c r="Q1311" s="216"/>
    </row>
    <row r="1312">
      <c r="A1312" s="11"/>
      <c r="B1312" s="98"/>
      <c r="C1312" s="13"/>
      <c r="D1312" s="13"/>
      <c r="E1312" s="13"/>
      <c r="F1312" s="15"/>
      <c r="G1312" s="16"/>
      <c r="H1312" s="18"/>
      <c r="I1312" s="21"/>
      <c r="J1312" s="21"/>
      <c r="K1312" s="216"/>
      <c r="L1312" s="216"/>
      <c r="M1312" s="216"/>
      <c r="N1312" s="216"/>
      <c r="O1312" s="216"/>
      <c r="P1312" s="216"/>
      <c r="Q1312" s="216"/>
    </row>
    <row r="1313">
      <c r="A1313" s="11"/>
      <c r="B1313" s="98"/>
      <c r="C1313" s="13"/>
      <c r="D1313" s="13"/>
      <c r="E1313" s="13"/>
      <c r="F1313" s="15"/>
      <c r="G1313" s="16"/>
      <c r="H1313" s="18"/>
      <c r="I1313" s="21"/>
      <c r="J1313" s="21"/>
      <c r="K1313" s="216"/>
      <c r="L1313" s="216"/>
      <c r="M1313" s="216"/>
      <c r="N1313" s="216"/>
      <c r="O1313" s="216"/>
      <c r="P1313" s="216"/>
      <c r="Q1313" s="216"/>
    </row>
    <row r="1314">
      <c r="A1314" s="11"/>
      <c r="B1314" s="98"/>
      <c r="C1314" s="13"/>
      <c r="D1314" s="13"/>
      <c r="E1314" s="13"/>
      <c r="F1314" s="15"/>
      <c r="G1314" s="16"/>
      <c r="H1314" s="18"/>
      <c r="I1314" s="21"/>
      <c r="J1314" s="21"/>
      <c r="K1314" s="216"/>
      <c r="L1314" s="216"/>
      <c r="M1314" s="216"/>
      <c r="N1314" s="216"/>
      <c r="O1314" s="216"/>
      <c r="P1314" s="216"/>
      <c r="Q1314" s="216"/>
    </row>
    <row r="1315">
      <c r="A1315" s="11"/>
      <c r="B1315" s="98"/>
      <c r="C1315" s="13"/>
      <c r="D1315" s="13"/>
      <c r="E1315" s="13"/>
      <c r="F1315" s="15"/>
      <c r="G1315" s="16"/>
      <c r="H1315" s="18"/>
      <c r="I1315" s="21"/>
      <c r="J1315" s="21"/>
      <c r="K1315" s="216"/>
      <c r="L1315" s="216"/>
      <c r="M1315" s="216"/>
      <c r="N1315" s="216"/>
      <c r="O1315" s="216"/>
      <c r="P1315" s="216"/>
      <c r="Q1315" s="216"/>
    </row>
    <row r="1316">
      <c r="A1316" s="11"/>
      <c r="B1316" s="98"/>
      <c r="C1316" s="13"/>
      <c r="D1316" s="13"/>
      <c r="E1316" s="13"/>
      <c r="F1316" s="15"/>
      <c r="G1316" s="16"/>
      <c r="H1316" s="18"/>
      <c r="I1316" s="21"/>
      <c r="J1316" s="21"/>
      <c r="K1316" s="216"/>
      <c r="L1316" s="216"/>
      <c r="M1316" s="216"/>
      <c r="N1316" s="216"/>
      <c r="O1316" s="216"/>
      <c r="P1316" s="216"/>
      <c r="Q1316" s="216"/>
    </row>
    <row r="1317">
      <c r="A1317" s="11"/>
      <c r="B1317" s="98"/>
      <c r="C1317" s="13"/>
      <c r="D1317" s="13"/>
      <c r="E1317" s="13"/>
      <c r="F1317" s="15"/>
      <c r="G1317" s="16"/>
      <c r="H1317" s="18"/>
      <c r="I1317" s="21"/>
      <c r="J1317" s="21"/>
      <c r="K1317" s="216"/>
      <c r="L1317" s="216"/>
      <c r="M1317" s="216"/>
      <c r="N1317" s="216"/>
      <c r="O1317" s="216"/>
      <c r="P1317" s="216"/>
      <c r="Q1317" s="216"/>
    </row>
    <row r="1318">
      <c r="A1318" s="11"/>
      <c r="B1318" s="98"/>
      <c r="C1318" s="13"/>
      <c r="D1318" s="13"/>
      <c r="E1318" s="13"/>
      <c r="F1318" s="15"/>
      <c r="G1318" s="16"/>
      <c r="H1318" s="18"/>
      <c r="I1318" s="21"/>
      <c r="J1318" s="21"/>
      <c r="K1318" s="216"/>
      <c r="L1318" s="216"/>
      <c r="M1318" s="216"/>
      <c r="N1318" s="216"/>
      <c r="O1318" s="216"/>
      <c r="P1318" s="216"/>
      <c r="Q1318" s="216"/>
    </row>
    <row r="1319">
      <c r="A1319" s="11"/>
      <c r="B1319" s="98"/>
      <c r="C1319" s="13"/>
      <c r="D1319" s="13"/>
      <c r="E1319" s="13"/>
      <c r="F1319" s="15"/>
      <c r="G1319" s="16"/>
      <c r="H1319" s="18"/>
      <c r="I1319" s="21"/>
      <c r="J1319" s="21"/>
      <c r="K1319" s="216"/>
      <c r="L1319" s="216"/>
      <c r="M1319" s="216"/>
      <c r="N1319" s="216"/>
      <c r="O1319" s="216"/>
      <c r="P1319" s="216"/>
      <c r="Q1319" s="216"/>
    </row>
    <row r="1320">
      <c r="A1320" s="11"/>
      <c r="B1320" s="98"/>
      <c r="C1320" s="13"/>
      <c r="D1320" s="13"/>
      <c r="E1320" s="13"/>
      <c r="F1320" s="15"/>
      <c r="G1320" s="16"/>
      <c r="H1320" s="18"/>
      <c r="I1320" s="21"/>
      <c r="J1320" s="21"/>
      <c r="K1320" s="216"/>
      <c r="L1320" s="216"/>
      <c r="M1320" s="216"/>
      <c r="N1320" s="216"/>
      <c r="O1320" s="216"/>
      <c r="P1320" s="216"/>
      <c r="Q1320" s="216"/>
    </row>
    <row r="1321">
      <c r="A1321" s="11"/>
      <c r="B1321" s="98"/>
      <c r="C1321" s="13"/>
      <c r="D1321" s="13"/>
      <c r="E1321" s="13"/>
      <c r="F1321" s="15"/>
      <c r="G1321" s="16"/>
      <c r="H1321" s="18"/>
      <c r="I1321" s="21"/>
      <c r="J1321" s="21"/>
      <c r="K1321" s="216"/>
      <c r="L1321" s="216"/>
      <c r="M1321" s="216"/>
      <c r="N1321" s="216"/>
      <c r="O1321" s="216"/>
      <c r="P1321" s="216"/>
      <c r="Q1321" s="216"/>
    </row>
    <row r="1322">
      <c r="A1322" s="11"/>
      <c r="B1322" s="98"/>
      <c r="C1322" s="13"/>
      <c r="D1322" s="13"/>
      <c r="E1322" s="13"/>
      <c r="F1322" s="15"/>
      <c r="G1322" s="16"/>
      <c r="H1322" s="18"/>
      <c r="I1322" s="21"/>
      <c r="J1322" s="21"/>
      <c r="K1322" s="216"/>
      <c r="L1322" s="216"/>
      <c r="M1322" s="216"/>
      <c r="N1322" s="216"/>
      <c r="O1322" s="216"/>
      <c r="P1322" s="216"/>
      <c r="Q1322" s="216"/>
    </row>
    <row r="1323">
      <c r="A1323" s="11"/>
      <c r="B1323" s="98"/>
      <c r="C1323" s="13"/>
      <c r="D1323" s="13"/>
      <c r="E1323" s="13"/>
      <c r="F1323" s="15"/>
      <c r="G1323" s="16"/>
      <c r="H1323" s="18"/>
      <c r="I1323" s="21"/>
      <c r="J1323" s="21"/>
      <c r="K1323" s="216"/>
      <c r="L1323" s="216"/>
      <c r="M1323" s="216"/>
      <c r="N1323" s="216"/>
      <c r="O1323" s="216"/>
      <c r="P1323" s="216"/>
      <c r="Q1323" s="216"/>
    </row>
    <row r="1324">
      <c r="A1324" s="11"/>
      <c r="B1324" s="98"/>
      <c r="C1324" s="13"/>
      <c r="D1324" s="13"/>
      <c r="E1324" s="13"/>
      <c r="F1324" s="15"/>
      <c r="G1324" s="16"/>
      <c r="H1324" s="18"/>
      <c r="I1324" s="21"/>
      <c r="J1324" s="21"/>
      <c r="K1324" s="216"/>
      <c r="L1324" s="216"/>
      <c r="M1324" s="216"/>
      <c r="N1324" s="216"/>
      <c r="O1324" s="216"/>
      <c r="P1324" s="216"/>
      <c r="Q1324" s="216"/>
    </row>
    <row r="1325">
      <c r="A1325" s="11"/>
      <c r="B1325" s="98"/>
      <c r="C1325" s="13"/>
      <c r="D1325" s="13"/>
      <c r="E1325" s="13"/>
      <c r="F1325" s="15"/>
      <c r="G1325" s="16"/>
      <c r="H1325" s="18"/>
      <c r="I1325" s="21"/>
      <c r="J1325" s="21"/>
      <c r="K1325" s="216"/>
      <c r="L1325" s="216"/>
      <c r="M1325" s="216"/>
      <c r="N1325" s="216"/>
      <c r="O1325" s="216"/>
      <c r="P1325" s="216"/>
      <c r="Q1325" s="216"/>
    </row>
    <row r="1326">
      <c r="A1326" s="11"/>
      <c r="B1326" s="98"/>
      <c r="C1326" s="13"/>
      <c r="D1326" s="13"/>
      <c r="E1326" s="13"/>
      <c r="F1326" s="15"/>
      <c r="G1326" s="16"/>
      <c r="H1326" s="18"/>
      <c r="I1326" s="21"/>
      <c r="J1326" s="21"/>
      <c r="K1326" s="216"/>
      <c r="L1326" s="216"/>
      <c r="M1326" s="216"/>
      <c r="N1326" s="216"/>
      <c r="O1326" s="216"/>
      <c r="P1326" s="216"/>
      <c r="Q1326" s="216"/>
    </row>
    <row r="1327">
      <c r="A1327" s="11"/>
      <c r="B1327" s="98"/>
      <c r="C1327" s="13"/>
      <c r="D1327" s="13"/>
      <c r="E1327" s="13"/>
      <c r="F1327" s="15"/>
      <c r="G1327" s="16"/>
      <c r="H1327" s="18"/>
      <c r="I1327" s="21"/>
      <c r="J1327" s="21"/>
      <c r="K1327" s="216"/>
      <c r="L1327" s="216"/>
      <c r="M1327" s="216"/>
      <c r="N1327" s="216"/>
      <c r="O1327" s="216"/>
      <c r="P1327" s="216"/>
      <c r="Q1327" s="216"/>
    </row>
    <row r="1328">
      <c r="A1328" s="11"/>
      <c r="B1328" s="98"/>
      <c r="C1328" s="13"/>
      <c r="D1328" s="13"/>
      <c r="E1328" s="13"/>
      <c r="F1328" s="15"/>
      <c r="G1328" s="16"/>
      <c r="H1328" s="18"/>
      <c r="I1328" s="21"/>
      <c r="J1328" s="21"/>
      <c r="K1328" s="216"/>
      <c r="L1328" s="216"/>
      <c r="M1328" s="216"/>
      <c r="N1328" s="216"/>
      <c r="O1328" s="216"/>
      <c r="P1328" s="216"/>
      <c r="Q1328" s="216"/>
    </row>
    <row r="1329">
      <c r="A1329" s="11"/>
      <c r="B1329" s="98"/>
      <c r="C1329" s="13"/>
      <c r="D1329" s="13"/>
      <c r="E1329" s="13"/>
      <c r="F1329" s="15"/>
      <c r="G1329" s="16"/>
      <c r="H1329" s="18"/>
      <c r="I1329" s="21"/>
      <c r="J1329" s="21"/>
      <c r="K1329" s="216"/>
      <c r="L1329" s="216"/>
      <c r="M1329" s="216"/>
      <c r="N1329" s="216"/>
      <c r="O1329" s="216"/>
      <c r="P1329" s="216"/>
      <c r="Q1329" s="216"/>
    </row>
    <row r="1330">
      <c r="A1330" s="11"/>
      <c r="B1330" s="98"/>
      <c r="C1330" s="13"/>
      <c r="D1330" s="13"/>
      <c r="E1330" s="13"/>
      <c r="F1330" s="15"/>
      <c r="G1330" s="16"/>
      <c r="H1330" s="18"/>
      <c r="I1330" s="21"/>
      <c r="J1330" s="21"/>
      <c r="K1330" s="216"/>
      <c r="L1330" s="216"/>
      <c r="M1330" s="216"/>
      <c r="N1330" s="216"/>
      <c r="O1330" s="216"/>
      <c r="P1330" s="216"/>
      <c r="Q1330" s="216"/>
    </row>
    <row r="1331">
      <c r="A1331" s="11"/>
      <c r="B1331" s="98"/>
      <c r="C1331" s="13"/>
      <c r="D1331" s="13"/>
      <c r="E1331" s="13"/>
      <c r="F1331" s="15"/>
      <c r="G1331" s="16"/>
      <c r="H1331" s="18"/>
      <c r="I1331" s="21"/>
      <c r="J1331" s="21"/>
      <c r="K1331" s="216"/>
      <c r="L1331" s="216"/>
      <c r="M1331" s="216"/>
      <c r="N1331" s="216"/>
      <c r="O1331" s="216"/>
      <c r="P1331" s="216"/>
      <c r="Q1331" s="216"/>
    </row>
    <row r="1332">
      <c r="A1332" s="11"/>
      <c r="B1332" s="98"/>
      <c r="C1332" s="13"/>
      <c r="D1332" s="13"/>
      <c r="E1332" s="13"/>
      <c r="F1332" s="15"/>
      <c r="G1332" s="16"/>
      <c r="H1332" s="18"/>
      <c r="I1332" s="21"/>
      <c r="J1332" s="21"/>
      <c r="K1332" s="216"/>
      <c r="L1332" s="216"/>
      <c r="M1332" s="216"/>
      <c r="N1332" s="216"/>
      <c r="O1332" s="216"/>
      <c r="P1332" s="216"/>
      <c r="Q1332" s="216"/>
    </row>
    <row r="1333">
      <c r="A1333" s="11"/>
      <c r="B1333" s="98"/>
      <c r="C1333" s="13"/>
      <c r="D1333" s="13"/>
      <c r="E1333" s="13"/>
      <c r="F1333" s="15"/>
      <c r="G1333" s="16"/>
      <c r="H1333" s="18"/>
      <c r="I1333" s="21"/>
      <c r="J1333" s="21"/>
      <c r="K1333" s="216"/>
      <c r="L1333" s="216"/>
      <c r="M1333" s="216"/>
      <c r="N1333" s="216"/>
      <c r="O1333" s="216"/>
      <c r="P1333" s="216"/>
      <c r="Q1333" s="216"/>
    </row>
    <row r="1334">
      <c r="A1334" s="11"/>
      <c r="B1334" s="98"/>
      <c r="C1334" s="13"/>
      <c r="D1334" s="13"/>
      <c r="E1334" s="13"/>
      <c r="F1334" s="15"/>
      <c r="G1334" s="16"/>
      <c r="H1334" s="18"/>
      <c r="I1334" s="21"/>
      <c r="J1334" s="21"/>
      <c r="K1334" s="216"/>
      <c r="L1334" s="216"/>
      <c r="M1334" s="216"/>
      <c r="N1334" s="216"/>
      <c r="O1334" s="216"/>
      <c r="P1334" s="216"/>
      <c r="Q1334" s="216"/>
    </row>
    <row r="1335">
      <c r="A1335" s="11"/>
      <c r="B1335" s="98"/>
      <c r="C1335" s="13"/>
      <c r="D1335" s="13"/>
      <c r="E1335" s="13"/>
      <c r="F1335" s="15"/>
      <c r="G1335" s="16"/>
      <c r="H1335" s="18"/>
      <c r="I1335" s="21"/>
      <c r="J1335" s="21"/>
      <c r="K1335" s="216"/>
      <c r="L1335" s="216"/>
      <c r="M1335" s="216"/>
      <c r="N1335" s="216"/>
      <c r="O1335" s="216"/>
      <c r="P1335" s="216"/>
      <c r="Q1335" s="216"/>
    </row>
    <row r="1336">
      <c r="A1336" s="11"/>
      <c r="B1336" s="98"/>
      <c r="C1336" s="13"/>
      <c r="D1336" s="13"/>
      <c r="E1336" s="13"/>
      <c r="F1336" s="15"/>
      <c r="G1336" s="16"/>
      <c r="H1336" s="18"/>
      <c r="I1336" s="21"/>
      <c r="J1336" s="21"/>
      <c r="K1336" s="216"/>
      <c r="L1336" s="216"/>
      <c r="M1336" s="216"/>
      <c r="N1336" s="216"/>
      <c r="O1336" s="216"/>
      <c r="P1336" s="216"/>
      <c r="Q1336" s="216"/>
    </row>
    <row r="1337">
      <c r="A1337" s="11"/>
      <c r="B1337" s="98"/>
      <c r="C1337" s="13"/>
      <c r="D1337" s="13"/>
      <c r="E1337" s="13"/>
      <c r="F1337" s="15"/>
      <c r="G1337" s="16"/>
      <c r="H1337" s="18"/>
      <c r="I1337" s="21"/>
      <c r="J1337" s="21"/>
      <c r="K1337" s="216"/>
      <c r="L1337" s="216"/>
      <c r="M1337" s="216"/>
      <c r="N1337" s="216"/>
      <c r="O1337" s="216"/>
      <c r="P1337" s="216"/>
      <c r="Q1337" s="216"/>
    </row>
    <row r="1338">
      <c r="A1338" s="11"/>
      <c r="B1338" s="98"/>
      <c r="C1338" s="13"/>
      <c r="D1338" s="13"/>
      <c r="E1338" s="13"/>
      <c r="F1338" s="15"/>
      <c r="G1338" s="16"/>
      <c r="H1338" s="18"/>
      <c r="I1338" s="21"/>
      <c r="J1338" s="21"/>
      <c r="K1338" s="216"/>
      <c r="L1338" s="216"/>
      <c r="M1338" s="216"/>
      <c r="N1338" s="216"/>
      <c r="O1338" s="216"/>
      <c r="P1338" s="216"/>
      <c r="Q1338" s="216"/>
    </row>
    <row r="1339">
      <c r="A1339" s="11"/>
      <c r="B1339" s="98"/>
      <c r="C1339" s="13"/>
      <c r="D1339" s="13"/>
      <c r="E1339" s="13"/>
      <c r="F1339" s="15"/>
      <c r="G1339" s="16"/>
      <c r="H1339" s="18"/>
      <c r="I1339" s="21"/>
      <c r="J1339" s="21"/>
      <c r="K1339" s="216"/>
      <c r="L1339" s="216"/>
      <c r="M1339" s="216"/>
      <c r="N1339" s="216"/>
      <c r="O1339" s="216"/>
      <c r="P1339" s="216"/>
      <c r="Q1339" s="216"/>
    </row>
    <row r="1340">
      <c r="A1340" s="11"/>
      <c r="B1340" s="98"/>
      <c r="C1340" s="13"/>
      <c r="D1340" s="13"/>
      <c r="E1340" s="13"/>
      <c r="F1340" s="15"/>
      <c r="G1340" s="16"/>
      <c r="H1340" s="18"/>
      <c r="I1340" s="21"/>
      <c r="J1340" s="21"/>
      <c r="K1340" s="216"/>
      <c r="L1340" s="216"/>
      <c r="M1340" s="216"/>
      <c r="N1340" s="216"/>
      <c r="O1340" s="216"/>
      <c r="P1340" s="216"/>
      <c r="Q1340" s="216"/>
    </row>
    <row r="1341">
      <c r="A1341" s="11"/>
      <c r="B1341" s="98"/>
      <c r="C1341" s="13"/>
      <c r="D1341" s="13"/>
      <c r="E1341" s="13"/>
      <c r="F1341" s="15"/>
      <c r="G1341" s="16"/>
      <c r="H1341" s="18"/>
      <c r="I1341" s="21"/>
      <c r="J1341" s="21"/>
      <c r="K1341" s="216"/>
      <c r="L1341" s="216"/>
      <c r="M1341" s="216"/>
      <c r="N1341" s="216"/>
      <c r="O1341" s="216"/>
      <c r="P1341" s="216"/>
      <c r="Q1341" s="216"/>
    </row>
    <row r="1342">
      <c r="A1342" s="11"/>
      <c r="B1342" s="98"/>
      <c r="C1342" s="13"/>
      <c r="D1342" s="13"/>
      <c r="E1342" s="13"/>
      <c r="F1342" s="15"/>
      <c r="G1342" s="16"/>
      <c r="H1342" s="18"/>
      <c r="I1342" s="21"/>
      <c r="J1342" s="21"/>
      <c r="K1342" s="216"/>
      <c r="L1342" s="216"/>
      <c r="M1342" s="216"/>
      <c r="N1342" s="216"/>
      <c r="O1342" s="216"/>
      <c r="P1342" s="216"/>
      <c r="Q1342" s="216"/>
    </row>
    <row r="1343">
      <c r="A1343" s="11"/>
      <c r="B1343" s="98"/>
      <c r="C1343" s="13"/>
      <c r="D1343" s="13"/>
      <c r="E1343" s="13"/>
      <c r="F1343" s="15"/>
      <c r="G1343" s="16"/>
      <c r="H1343" s="18"/>
      <c r="I1343" s="21"/>
      <c r="J1343" s="21"/>
      <c r="K1343" s="216"/>
      <c r="L1343" s="216"/>
      <c r="M1343" s="216"/>
      <c r="N1343" s="216"/>
      <c r="O1343" s="216"/>
      <c r="P1343" s="216"/>
      <c r="Q1343" s="216"/>
    </row>
    <row r="1344">
      <c r="A1344" s="11"/>
      <c r="B1344" s="98"/>
      <c r="C1344" s="13"/>
      <c r="D1344" s="13"/>
      <c r="E1344" s="13"/>
      <c r="F1344" s="15"/>
      <c r="G1344" s="16"/>
      <c r="H1344" s="18"/>
      <c r="I1344" s="21"/>
      <c r="J1344" s="21"/>
      <c r="K1344" s="216"/>
      <c r="L1344" s="216"/>
      <c r="M1344" s="216"/>
      <c r="N1344" s="216"/>
      <c r="O1344" s="216"/>
      <c r="P1344" s="216"/>
      <c r="Q1344" s="216"/>
    </row>
    <row r="1345">
      <c r="A1345" s="11"/>
      <c r="B1345" s="98"/>
      <c r="C1345" s="13"/>
      <c r="D1345" s="13"/>
      <c r="E1345" s="13"/>
      <c r="F1345" s="15"/>
      <c r="G1345" s="16"/>
      <c r="H1345" s="18"/>
      <c r="I1345" s="21"/>
      <c r="J1345" s="21"/>
      <c r="K1345" s="216"/>
      <c r="L1345" s="216"/>
      <c r="M1345" s="216"/>
      <c r="N1345" s="216"/>
      <c r="O1345" s="216"/>
      <c r="P1345" s="216"/>
      <c r="Q1345" s="216"/>
    </row>
    <row r="1346">
      <c r="A1346" s="11"/>
      <c r="B1346" s="98"/>
      <c r="C1346" s="13"/>
      <c r="D1346" s="13"/>
      <c r="E1346" s="13"/>
      <c r="F1346" s="15"/>
      <c r="G1346" s="16"/>
      <c r="H1346" s="18"/>
      <c r="I1346" s="21"/>
      <c r="J1346" s="21"/>
      <c r="K1346" s="216"/>
      <c r="L1346" s="216"/>
      <c r="M1346" s="216"/>
      <c r="N1346" s="216"/>
      <c r="O1346" s="216"/>
      <c r="P1346" s="216"/>
      <c r="Q1346" s="216"/>
    </row>
    <row r="1347">
      <c r="A1347" s="11"/>
      <c r="B1347" s="98"/>
      <c r="C1347" s="13"/>
      <c r="D1347" s="13"/>
      <c r="E1347" s="13"/>
      <c r="F1347" s="15"/>
      <c r="G1347" s="16"/>
      <c r="H1347" s="18"/>
      <c r="I1347" s="21"/>
      <c r="J1347" s="21"/>
      <c r="K1347" s="216"/>
      <c r="L1347" s="216"/>
      <c r="M1347" s="216"/>
      <c r="N1347" s="216"/>
      <c r="O1347" s="216"/>
      <c r="P1347" s="216"/>
      <c r="Q1347" s="216"/>
    </row>
    <row r="1348">
      <c r="A1348" s="11"/>
      <c r="B1348" s="98"/>
      <c r="C1348" s="13"/>
      <c r="D1348" s="13"/>
      <c r="E1348" s="13"/>
      <c r="F1348" s="15"/>
      <c r="G1348" s="16"/>
      <c r="H1348" s="18"/>
      <c r="I1348" s="21"/>
      <c r="J1348" s="21"/>
      <c r="K1348" s="216"/>
      <c r="L1348" s="216"/>
      <c r="M1348" s="216"/>
      <c r="N1348" s="216"/>
      <c r="O1348" s="216"/>
      <c r="P1348" s="216"/>
      <c r="Q1348" s="216"/>
    </row>
    <row r="1349">
      <c r="A1349" s="11"/>
      <c r="B1349" s="98"/>
      <c r="C1349" s="13"/>
      <c r="D1349" s="13"/>
      <c r="E1349" s="13"/>
      <c r="F1349" s="15"/>
      <c r="G1349" s="16"/>
      <c r="H1349" s="18"/>
      <c r="I1349" s="21"/>
      <c r="J1349" s="21"/>
      <c r="K1349" s="216"/>
      <c r="L1349" s="216"/>
      <c r="M1349" s="216"/>
      <c r="N1349" s="216"/>
      <c r="O1349" s="216"/>
      <c r="P1349" s="216"/>
      <c r="Q1349" s="216"/>
    </row>
    <row r="1350">
      <c r="A1350" s="11"/>
      <c r="B1350" s="98"/>
      <c r="C1350" s="13"/>
      <c r="D1350" s="13"/>
      <c r="E1350" s="13"/>
      <c r="F1350" s="15"/>
      <c r="G1350" s="16"/>
      <c r="H1350" s="18"/>
      <c r="I1350" s="21"/>
      <c r="J1350" s="21"/>
      <c r="K1350" s="216"/>
      <c r="L1350" s="216"/>
      <c r="M1350" s="216"/>
      <c r="N1350" s="216"/>
      <c r="O1350" s="216"/>
      <c r="P1350" s="216"/>
      <c r="Q1350" s="216"/>
    </row>
    <row r="1351">
      <c r="A1351" s="11"/>
      <c r="B1351" s="98"/>
      <c r="C1351" s="13"/>
      <c r="D1351" s="13"/>
      <c r="E1351" s="13"/>
      <c r="F1351" s="15"/>
      <c r="G1351" s="16"/>
      <c r="H1351" s="18"/>
      <c r="I1351" s="21"/>
      <c r="J1351" s="21"/>
      <c r="K1351" s="216"/>
      <c r="L1351" s="216"/>
      <c r="M1351" s="216"/>
      <c r="N1351" s="216"/>
      <c r="O1351" s="216"/>
      <c r="P1351" s="216"/>
      <c r="Q1351" s="216"/>
    </row>
    <row r="1352">
      <c r="A1352" s="11"/>
      <c r="B1352" s="98"/>
      <c r="C1352" s="13"/>
      <c r="D1352" s="13"/>
      <c r="E1352" s="13"/>
      <c r="F1352" s="15"/>
      <c r="G1352" s="16"/>
      <c r="H1352" s="18"/>
      <c r="I1352" s="21"/>
      <c r="J1352" s="21"/>
      <c r="K1352" s="216"/>
      <c r="L1352" s="216"/>
      <c r="M1352" s="216"/>
      <c r="N1352" s="216"/>
      <c r="O1352" s="216"/>
      <c r="P1352" s="216"/>
      <c r="Q1352" s="216"/>
    </row>
    <row r="1353">
      <c r="A1353" s="11"/>
      <c r="B1353" s="98"/>
      <c r="C1353" s="13"/>
      <c r="D1353" s="13"/>
      <c r="E1353" s="13"/>
      <c r="F1353" s="15"/>
      <c r="G1353" s="16"/>
      <c r="H1353" s="18"/>
      <c r="I1353" s="21"/>
      <c r="J1353" s="21"/>
      <c r="K1353" s="216"/>
      <c r="L1353" s="216"/>
      <c r="M1353" s="216"/>
      <c r="N1353" s="216"/>
      <c r="O1353" s="216"/>
      <c r="P1353" s="216"/>
      <c r="Q1353" s="216"/>
    </row>
    <row r="1354">
      <c r="A1354" s="11"/>
      <c r="B1354" s="98"/>
      <c r="C1354" s="13"/>
      <c r="D1354" s="13"/>
      <c r="E1354" s="13"/>
      <c r="F1354" s="15"/>
      <c r="G1354" s="16"/>
      <c r="H1354" s="18"/>
      <c r="I1354" s="21"/>
      <c r="J1354" s="21"/>
      <c r="K1354" s="216"/>
      <c r="L1354" s="216"/>
      <c r="M1354" s="216"/>
      <c r="N1354" s="216"/>
      <c r="O1354" s="216"/>
      <c r="P1354" s="216"/>
      <c r="Q1354" s="216"/>
    </row>
    <row r="1355">
      <c r="A1355" s="11"/>
      <c r="B1355" s="98"/>
      <c r="C1355" s="13"/>
      <c r="D1355" s="13"/>
      <c r="E1355" s="13"/>
      <c r="F1355" s="15"/>
      <c r="G1355" s="16"/>
      <c r="H1355" s="18"/>
      <c r="I1355" s="21"/>
      <c r="J1355" s="21"/>
      <c r="K1355" s="216"/>
      <c r="L1355" s="216"/>
      <c r="M1355" s="216"/>
      <c r="N1355" s="216"/>
      <c r="O1355" s="216"/>
      <c r="P1355" s="216"/>
      <c r="Q1355" s="216"/>
    </row>
    <row r="1356">
      <c r="A1356" s="11"/>
      <c r="B1356" s="98"/>
      <c r="C1356" s="13"/>
      <c r="D1356" s="13"/>
      <c r="E1356" s="13"/>
      <c r="F1356" s="15"/>
      <c r="G1356" s="16"/>
      <c r="H1356" s="18"/>
      <c r="I1356" s="21"/>
      <c r="J1356" s="21"/>
      <c r="K1356" s="216"/>
      <c r="L1356" s="216"/>
      <c r="M1356" s="216"/>
      <c r="N1356" s="216"/>
      <c r="O1356" s="216"/>
      <c r="P1356" s="216"/>
      <c r="Q1356" s="216"/>
    </row>
    <row r="1357">
      <c r="A1357" s="11"/>
      <c r="B1357" s="98"/>
      <c r="C1357" s="13"/>
      <c r="D1357" s="13"/>
      <c r="E1357" s="13"/>
      <c r="F1357" s="15"/>
      <c r="G1357" s="16"/>
      <c r="H1357" s="18"/>
      <c r="I1357" s="21"/>
      <c r="J1357" s="21"/>
      <c r="K1357" s="216"/>
      <c r="L1357" s="216"/>
      <c r="M1357" s="216"/>
      <c r="N1357" s="216"/>
      <c r="O1357" s="216"/>
      <c r="P1357" s="216"/>
      <c r="Q1357" s="216"/>
    </row>
    <row r="1358">
      <c r="A1358" s="11"/>
      <c r="B1358" s="98"/>
      <c r="C1358" s="13"/>
      <c r="D1358" s="13"/>
      <c r="E1358" s="13"/>
      <c r="F1358" s="15"/>
      <c r="G1358" s="16"/>
      <c r="H1358" s="18"/>
      <c r="I1358" s="21"/>
      <c r="J1358" s="21"/>
      <c r="K1358" s="216"/>
      <c r="L1358" s="216"/>
      <c r="M1358" s="216"/>
      <c r="N1358" s="216"/>
      <c r="O1358" s="216"/>
      <c r="P1358" s="216"/>
      <c r="Q1358" s="216"/>
    </row>
    <row r="1359">
      <c r="A1359" s="11"/>
      <c r="B1359" s="98"/>
      <c r="C1359" s="13"/>
      <c r="D1359" s="13"/>
      <c r="E1359" s="13"/>
      <c r="F1359" s="15"/>
      <c r="G1359" s="16"/>
      <c r="H1359" s="18"/>
      <c r="I1359" s="21"/>
      <c r="J1359" s="21"/>
      <c r="K1359" s="216"/>
      <c r="L1359" s="216"/>
      <c r="M1359" s="216"/>
      <c r="N1359" s="216"/>
      <c r="O1359" s="216"/>
      <c r="P1359" s="216"/>
      <c r="Q1359" s="216"/>
    </row>
    <row r="1360">
      <c r="A1360" s="11"/>
      <c r="B1360" s="98"/>
      <c r="C1360" s="13"/>
      <c r="D1360" s="13"/>
      <c r="E1360" s="13"/>
      <c r="F1360" s="15"/>
      <c r="G1360" s="16"/>
      <c r="H1360" s="18"/>
      <c r="I1360" s="21"/>
      <c r="J1360" s="21"/>
      <c r="K1360" s="216"/>
      <c r="L1360" s="216"/>
      <c r="M1360" s="216"/>
      <c r="N1360" s="216"/>
      <c r="O1360" s="216"/>
      <c r="P1360" s="216"/>
      <c r="Q1360" s="216"/>
    </row>
    <row r="1361">
      <c r="A1361" s="11"/>
      <c r="B1361" s="98"/>
      <c r="C1361" s="13"/>
      <c r="D1361" s="13"/>
      <c r="E1361" s="13"/>
      <c r="F1361" s="15"/>
      <c r="G1361" s="16"/>
      <c r="H1361" s="18"/>
      <c r="I1361" s="21"/>
      <c r="J1361" s="21"/>
      <c r="K1361" s="216"/>
      <c r="L1361" s="216"/>
      <c r="M1361" s="216"/>
      <c r="N1361" s="216"/>
      <c r="O1361" s="216"/>
      <c r="P1361" s="216"/>
      <c r="Q1361" s="216"/>
    </row>
    <row r="1362">
      <c r="A1362" s="11"/>
      <c r="B1362" s="98"/>
      <c r="C1362" s="13"/>
      <c r="D1362" s="13"/>
      <c r="E1362" s="13"/>
      <c r="F1362" s="15"/>
      <c r="G1362" s="16"/>
      <c r="H1362" s="18"/>
      <c r="I1362" s="21"/>
      <c r="J1362" s="21"/>
      <c r="K1362" s="216"/>
      <c r="L1362" s="216"/>
      <c r="M1362" s="216"/>
      <c r="N1362" s="216"/>
      <c r="O1362" s="216"/>
      <c r="P1362" s="216"/>
      <c r="Q1362" s="216"/>
    </row>
    <row r="1363">
      <c r="A1363" s="11"/>
      <c r="B1363" s="98"/>
      <c r="C1363" s="13"/>
      <c r="D1363" s="13"/>
      <c r="E1363" s="13"/>
      <c r="F1363" s="15"/>
      <c r="G1363" s="16"/>
      <c r="H1363" s="18"/>
      <c r="I1363" s="21"/>
      <c r="J1363" s="21"/>
      <c r="K1363" s="216"/>
      <c r="L1363" s="216"/>
      <c r="M1363" s="216"/>
      <c r="N1363" s="216"/>
      <c r="O1363" s="216"/>
      <c r="P1363" s="216"/>
      <c r="Q1363" s="216"/>
    </row>
    <row r="1364">
      <c r="A1364" s="11"/>
      <c r="B1364" s="98"/>
      <c r="C1364" s="13"/>
      <c r="D1364" s="13"/>
      <c r="E1364" s="13"/>
      <c r="F1364" s="15"/>
      <c r="G1364" s="16"/>
      <c r="H1364" s="18"/>
      <c r="I1364" s="21"/>
      <c r="J1364" s="21"/>
      <c r="K1364" s="216"/>
      <c r="L1364" s="216"/>
      <c r="M1364" s="216"/>
      <c r="N1364" s="216"/>
      <c r="O1364" s="216"/>
      <c r="P1364" s="216"/>
      <c r="Q1364" s="216"/>
    </row>
    <row r="1365">
      <c r="A1365" s="11"/>
      <c r="B1365" s="98"/>
      <c r="C1365" s="13"/>
      <c r="D1365" s="13"/>
      <c r="E1365" s="13"/>
      <c r="F1365" s="15"/>
      <c r="G1365" s="16"/>
      <c r="H1365" s="18"/>
      <c r="I1365" s="21"/>
      <c r="J1365" s="21"/>
      <c r="K1365" s="216"/>
      <c r="L1365" s="216"/>
      <c r="M1365" s="216"/>
      <c r="N1365" s="216"/>
      <c r="O1365" s="216"/>
      <c r="P1365" s="216"/>
      <c r="Q1365" s="216"/>
    </row>
    <row r="1366">
      <c r="A1366" s="11"/>
      <c r="B1366" s="98"/>
      <c r="C1366" s="13"/>
      <c r="D1366" s="13"/>
      <c r="E1366" s="13"/>
      <c r="F1366" s="15"/>
      <c r="G1366" s="16"/>
      <c r="H1366" s="18"/>
      <c r="I1366" s="21"/>
      <c r="J1366" s="21"/>
      <c r="K1366" s="216"/>
      <c r="L1366" s="216"/>
      <c r="M1366" s="216"/>
      <c r="N1366" s="216"/>
      <c r="O1366" s="216"/>
      <c r="P1366" s="216"/>
      <c r="Q1366" s="216"/>
    </row>
    <row r="1367">
      <c r="A1367" s="11"/>
      <c r="B1367" s="98"/>
      <c r="C1367" s="13"/>
      <c r="D1367" s="13"/>
      <c r="E1367" s="13"/>
      <c r="F1367" s="15"/>
      <c r="G1367" s="16"/>
      <c r="H1367" s="18"/>
      <c r="I1367" s="21"/>
      <c r="J1367" s="21"/>
      <c r="K1367" s="216"/>
      <c r="L1367" s="216"/>
      <c r="M1367" s="216"/>
      <c r="N1367" s="216"/>
      <c r="O1367" s="216"/>
      <c r="P1367" s="216"/>
      <c r="Q1367" s="216"/>
    </row>
    <row r="1368">
      <c r="A1368" s="11"/>
      <c r="B1368" s="98"/>
      <c r="C1368" s="13"/>
      <c r="D1368" s="13"/>
      <c r="E1368" s="13"/>
      <c r="F1368" s="15"/>
      <c r="G1368" s="16"/>
      <c r="H1368" s="18"/>
      <c r="I1368" s="21"/>
      <c r="J1368" s="21"/>
      <c r="K1368" s="216"/>
      <c r="L1368" s="216"/>
      <c r="M1368" s="216"/>
      <c r="N1368" s="216"/>
      <c r="O1368" s="216"/>
      <c r="P1368" s="216"/>
      <c r="Q1368" s="216"/>
    </row>
    <row r="1369">
      <c r="A1369" s="11"/>
      <c r="B1369" s="98"/>
      <c r="C1369" s="13"/>
      <c r="D1369" s="13"/>
      <c r="E1369" s="13"/>
      <c r="F1369" s="15"/>
      <c r="G1369" s="16"/>
      <c r="H1369" s="18"/>
      <c r="I1369" s="21"/>
      <c r="J1369" s="21"/>
      <c r="K1369" s="216"/>
      <c r="L1369" s="216"/>
      <c r="M1369" s="216"/>
      <c r="N1369" s="216"/>
      <c r="O1369" s="216"/>
      <c r="P1369" s="216"/>
      <c r="Q1369" s="216"/>
    </row>
    <row r="1370">
      <c r="A1370" s="11"/>
      <c r="B1370" s="98"/>
      <c r="C1370" s="13"/>
      <c r="D1370" s="13"/>
      <c r="E1370" s="13"/>
      <c r="F1370" s="15"/>
      <c r="G1370" s="16"/>
      <c r="H1370" s="18"/>
      <c r="I1370" s="21"/>
      <c r="J1370" s="21"/>
      <c r="K1370" s="216"/>
      <c r="L1370" s="216"/>
      <c r="M1370" s="216"/>
      <c r="N1370" s="216"/>
      <c r="O1370" s="216"/>
      <c r="P1370" s="216"/>
      <c r="Q1370" s="216"/>
    </row>
    <row r="1371">
      <c r="A1371" s="11"/>
      <c r="B1371" s="98"/>
      <c r="C1371" s="13"/>
      <c r="D1371" s="13"/>
      <c r="E1371" s="13"/>
      <c r="F1371" s="15"/>
      <c r="G1371" s="16"/>
      <c r="H1371" s="18"/>
      <c r="I1371" s="21"/>
      <c r="J1371" s="21"/>
      <c r="K1371" s="216"/>
      <c r="L1371" s="216"/>
      <c r="M1371" s="216"/>
      <c r="N1371" s="216"/>
      <c r="O1371" s="216"/>
      <c r="P1371" s="216"/>
      <c r="Q1371" s="216"/>
    </row>
    <row r="1372">
      <c r="A1372" s="11"/>
      <c r="B1372" s="98"/>
      <c r="C1372" s="13"/>
      <c r="D1372" s="13"/>
      <c r="E1372" s="13"/>
      <c r="F1372" s="15"/>
      <c r="G1372" s="16"/>
      <c r="H1372" s="18"/>
      <c r="I1372" s="21"/>
      <c r="J1372" s="21"/>
      <c r="K1372" s="216"/>
      <c r="L1372" s="216"/>
      <c r="M1372" s="216"/>
      <c r="N1372" s="216"/>
      <c r="O1372" s="216"/>
      <c r="P1372" s="216"/>
      <c r="Q1372" s="216"/>
    </row>
    <row r="1373">
      <c r="A1373" s="11"/>
      <c r="B1373" s="98"/>
      <c r="C1373" s="13"/>
      <c r="D1373" s="13"/>
      <c r="E1373" s="13"/>
      <c r="F1373" s="15"/>
      <c r="G1373" s="16"/>
      <c r="H1373" s="18"/>
      <c r="I1373" s="21"/>
      <c r="J1373" s="21"/>
      <c r="K1373" s="216"/>
      <c r="L1373" s="216"/>
      <c r="M1373" s="216"/>
      <c r="N1373" s="216"/>
      <c r="O1373" s="216"/>
      <c r="P1373" s="216"/>
      <c r="Q1373" s="216"/>
    </row>
    <row r="1374">
      <c r="A1374" s="11"/>
      <c r="B1374" s="98"/>
      <c r="C1374" s="13"/>
      <c r="D1374" s="13"/>
      <c r="E1374" s="13"/>
      <c r="F1374" s="15"/>
      <c r="G1374" s="16"/>
      <c r="H1374" s="18"/>
      <c r="I1374" s="21"/>
      <c r="J1374" s="21"/>
      <c r="K1374" s="216"/>
      <c r="L1374" s="216"/>
      <c r="M1374" s="216"/>
      <c r="N1374" s="216"/>
      <c r="O1374" s="216"/>
      <c r="P1374" s="216"/>
      <c r="Q1374" s="216"/>
    </row>
    <row r="1375">
      <c r="A1375" s="11"/>
      <c r="B1375" s="98"/>
      <c r="C1375" s="13"/>
      <c r="D1375" s="13"/>
      <c r="E1375" s="13"/>
      <c r="F1375" s="15"/>
      <c r="G1375" s="16"/>
      <c r="H1375" s="18"/>
      <c r="I1375" s="21"/>
      <c r="J1375" s="21"/>
      <c r="K1375" s="216"/>
      <c r="L1375" s="216"/>
      <c r="M1375" s="216"/>
      <c r="N1375" s="216"/>
      <c r="O1375" s="216"/>
      <c r="P1375" s="216"/>
      <c r="Q1375" s="216"/>
    </row>
    <row r="1376">
      <c r="A1376" s="11"/>
      <c r="B1376" s="98"/>
      <c r="C1376" s="13"/>
      <c r="D1376" s="13"/>
      <c r="E1376" s="13"/>
      <c r="F1376" s="15"/>
      <c r="G1376" s="16"/>
      <c r="H1376" s="18"/>
      <c r="I1376" s="21"/>
      <c r="J1376" s="21"/>
      <c r="K1376" s="216"/>
      <c r="L1376" s="216"/>
      <c r="M1376" s="216"/>
      <c r="N1376" s="216"/>
      <c r="O1376" s="216"/>
      <c r="P1376" s="216"/>
      <c r="Q1376" s="216"/>
    </row>
    <row r="1377">
      <c r="A1377" s="11"/>
      <c r="B1377" s="98"/>
      <c r="C1377" s="13"/>
      <c r="D1377" s="13"/>
      <c r="E1377" s="13"/>
      <c r="F1377" s="15"/>
      <c r="G1377" s="16"/>
      <c r="H1377" s="18"/>
      <c r="I1377" s="21"/>
      <c r="J1377" s="21"/>
      <c r="K1377" s="216"/>
      <c r="L1377" s="216"/>
      <c r="M1377" s="216"/>
      <c r="N1377" s="216"/>
      <c r="O1377" s="216"/>
      <c r="P1377" s="216"/>
      <c r="Q1377" s="216"/>
    </row>
    <row r="1378">
      <c r="A1378" s="11"/>
      <c r="B1378" s="98"/>
      <c r="C1378" s="13"/>
      <c r="D1378" s="13"/>
      <c r="E1378" s="13"/>
      <c r="F1378" s="15"/>
      <c r="G1378" s="16"/>
      <c r="H1378" s="18"/>
      <c r="I1378" s="21"/>
      <c r="J1378" s="21"/>
      <c r="K1378" s="216"/>
      <c r="L1378" s="216"/>
      <c r="M1378" s="216"/>
      <c r="N1378" s="216"/>
      <c r="O1378" s="216"/>
      <c r="P1378" s="216"/>
      <c r="Q1378" s="216"/>
    </row>
    <row r="1379">
      <c r="A1379" s="11"/>
      <c r="B1379" s="98"/>
      <c r="C1379" s="13"/>
      <c r="D1379" s="13"/>
      <c r="E1379" s="13"/>
      <c r="F1379" s="15"/>
      <c r="G1379" s="16"/>
      <c r="H1379" s="18"/>
      <c r="I1379" s="21"/>
      <c r="J1379" s="21"/>
      <c r="K1379" s="216"/>
      <c r="L1379" s="216"/>
      <c r="M1379" s="216"/>
      <c r="N1379" s="216"/>
      <c r="O1379" s="216"/>
      <c r="P1379" s="216"/>
      <c r="Q1379" s="216"/>
    </row>
    <row r="1380">
      <c r="A1380" s="11"/>
      <c r="B1380" s="98"/>
      <c r="C1380" s="13"/>
      <c r="D1380" s="13"/>
      <c r="E1380" s="13"/>
      <c r="F1380" s="15"/>
      <c r="G1380" s="16"/>
      <c r="H1380" s="18"/>
      <c r="I1380" s="21"/>
      <c r="J1380" s="21"/>
      <c r="K1380" s="216"/>
      <c r="L1380" s="216"/>
      <c r="M1380" s="216"/>
      <c r="N1380" s="216"/>
      <c r="O1380" s="216"/>
      <c r="P1380" s="216"/>
      <c r="Q1380" s="216"/>
    </row>
    <row r="1381">
      <c r="A1381" s="11"/>
      <c r="B1381" s="98"/>
      <c r="C1381" s="13"/>
      <c r="D1381" s="13"/>
      <c r="E1381" s="13"/>
      <c r="F1381" s="15"/>
      <c r="G1381" s="16"/>
      <c r="H1381" s="18"/>
      <c r="I1381" s="21"/>
      <c r="J1381" s="21"/>
      <c r="K1381" s="216"/>
      <c r="L1381" s="216"/>
      <c r="M1381" s="216"/>
      <c r="N1381" s="216"/>
      <c r="O1381" s="216"/>
      <c r="P1381" s="216"/>
      <c r="Q1381" s="216"/>
    </row>
    <row r="1382">
      <c r="A1382" s="11"/>
      <c r="B1382" s="98"/>
      <c r="C1382" s="13"/>
      <c r="D1382" s="13"/>
      <c r="E1382" s="13"/>
      <c r="F1382" s="15"/>
      <c r="G1382" s="16"/>
      <c r="H1382" s="18"/>
      <c r="I1382" s="21"/>
      <c r="J1382" s="21"/>
      <c r="K1382" s="216"/>
      <c r="L1382" s="216"/>
      <c r="M1382" s="216"/>
      <c r="N1382" s="216"/>
      <c r="O1382" s="216"/>
      <c r="P1382" s="216"/>
      <c r="Q1382" s="216"/>
    </row>
    <row r="1383">
      <c r="A1383" s="11"/>
      <c r="B1383" s="98"/>
      <c r="C1383" s="13"/>
      <c r="D1383" s="13"/>
      <c r="E1383" s="13"/>
      <c r="F1383" s="15"/>
      <c r="G1383" s="16"/>
      <c r="H1383" s="18"/>
      <c r="I1383" s="21"/>
      <c r="J1383" s="21"/>
      <c r="K1383" s="216"/>
      <c r="L1383" s="216"/>
      <c r="M1383" s="216"/>
      <c r="N1383" s="216"/>
      <c r="O1383" s="216"/>
      <c r="P1383" s="216"/>
      <c r="Q1383" s="216"/>
    </row>
    <row r="1384">
      <c r="A1384" s="11"/>
      <c r="B1384" s="98"/>
      <c r="C1384" s="13"/>
      <c r="D1384" s="13"/>
      <c r="E1384" s="13"/>
      <c r="F1384" s="15"/>
      <c r="G1384" s="16"/>
      <c r="H1384" s="18"/>
      <c r="I1384" s="21"/>
      <c r="J1384" s="21"/>
      <c r="K1384" s="216"/>
      <c r="L1384" s="216"/>
      <c r="M1384" s="216"/>
      <c r="N1384" s="216"/>
      <c r="O1384" s="216"/>
      <c r="P1384" s="216"/>
      <c r="Q1384" s="216"/>
    </row>
    <row r="1385">
      <c r="A1385" s="11"/>
      <c r="B1385" s="98"/>
      <c r="C1385" s="13"/>
      <c r="D1385" s="13"/>
      <c r="E1385" s="13"/>
      <c r="F1385" s="15"/>
      <c r="G1385" s="16"/>
      <c r="H1385" s="18"/>
      <c r="I1385" s="21"/>
      <c r="J1385" s="21"/>
      <c r="K1385" s="216"/>
      <c r="L1385" s="216"/>
      <c r="M1385" s="216"/>
      <c r="N1385" s="216"/>
      <c r="O1385" s="216"/>
      <c r="P1385" s="216"/>
      <c r="Q1385" s="216"/>
    </row>
    <row r="1386">
      <c r="A1386" s="11"/>
      <c r="B1386" s="98"/>
      <c r="C1386" s="13"/>
      <c r="D1386" s="13"/>
      <c r="E1386" s="13"/>
      <c r="F1386" s="15"/>
      <c r="G1386" s="16"/>
      <c r="H1386" s="18"/>
      <c r="I1386" s="21"/>
      <c r="J1386" s="21"/>
      <c r="K1386" s="216"/>
      <c r="L1386" s="216"/>
      <c r="M1386" s="216"/>
      <c r="N1386" s="216"/>
      <c r="O1386" s="216"/>
      <c r="P1386" s="216"/>
      <c r="Q1386" s="216"/>
    </row>
    <row r="1387">
      <c r="A1387" s="11"/>
      <c r="B1387" s="98"/>
      <c r="C1387" s="13"/>
      <c r="D1387" s="13"/>
      <c r="E1387" s="13"/>
      <c r="F1387" s="15"/>
      <c r="G1387" s="16"/>
      <c r="H1387" s="18"/>
      <c r="I1387" s="21"/>
      <c r="J1387" s="21"/>
      <c r="K1387" s="216"/>
      <c r="L1387" s="216"/>
      <c r="M1387" s="216"/>
      <c r="N1387" s="216"/>
      <c r="O1387" s="216"/>
      <c r="P1387" s="216"/>
      <c r="Q1387" s="216"/>
    </row>
    <row r="1388">
      <c r="A1388" s="11"/>
      <c r="B1388" s="98"/>
      <c r="C1388" s="13"/>
      <c r="D1388" s="13"/>
      <c r="E1388" s="13"/>
      <c r="F1388" s="15"/>
      <c r="G1388" s="16"/>
      <c r="H1388" s="18"/>
      <c r="I1388" s="21"/>
      <c r="J1388" s="21"/>
      <c r="K1388" s="216"/>
      <c r="L1388" s="216"/>
      <c r="M1388" s="216"/>
      <c r="N1388" s="216"/>
      <c r="O1388" s="216"/>
      <c r="P1388" s="216"/>
      <c r="Q1388" s="216"/>
    </row>
    <row r="1389">
      <c r="A1389" s="11"/>
      <c r="B1389" s="98"/>
      <c r="C1389" s="13"/>
      <c r="D1389" s="13"/>
      <c r="E1389" s="13"/>
      <c r="F1389" s="15"/>
      <c r="G1389" s="16"/>
      <c r="H1389" s="18"/>
      <c r="I1389" s="21"/>
      <c r="J1389" s="21"/>
      <c r="K1389" s="216"/>
      <c r="L1389" s="216"/>
      <c r="M1389" s="216"/>
      <c r="N1389" s="216"/>
      <c r="O1389" s="216"/>
      <c r="P1389" s="216"/>
      <c r="Q1389" s="216"/>
    </row>
    <row r="1390">
      <c r="A1390" s="11"/>
      <c r="B1390" s="98"/>
      <c r="C1390" s="13"/>
      <c r="D1390" s="13"/>
      <c r="E1390" s="13"/>
      <c r="F1390" s="15"/>
      <c r="G1390" s="16"/>
      <c r="H1390" s="18"/>
      <c r="I1390" s="21"/>
      <c r="J1390" s="21"/>
      <c r="K1390" s="216"/>
      <c r="L1390" s="216"/>
      <c r="M1390" s="216"/>
      <c r="N1390" s="216"/>
      <c r="O1390" s="216"/>
      <c r="P1390" s="216"/>
      <c r="Q1390" s="216"/>
    </row>
    <row r="1391">
      <c r="A1391" s="11"/>
      <c r="B1391" s="98"/>
      <c r="C1391" s="13"/>
      <c r="D1391" s="13"/>
      <c r="E1391" s="13"/>
      <c r="F1391" s="15"/>
      <c r="G1391" s="16"/>
      <c r="H1391" s="18"/>
      <c r="I1391" s="21"/>
      <c r="J1391" s="21"/>
      <c r="K1391" s="216"/>
      <c r="L1391" s="216"/>
      <c r="M1391" s="216"/>
      <c r="N1391" s="216"/>
      <c r="O1391" s="216"/>
      <c r="P1391" s="216"/>
      <c r="Q1391" s="216"/>
    </row>
    <row r="1392">
      <c r="A1392" s="11"/>
      <c r="B1392" s="98"/>
      <c r="C1392" s="13"/>
      <c r="D1392" s="13"/>
      <c r="E1392" s="13"/>
      <c r="F1392" s="15"/>
      <c r="G1392" s="16"/>
      <c r="H1392" s="18"/>
      <c r="I1392" s="21"/>
      <c r="J1392" s="21"/>
      <c r="K1392" s="216"/>
      <c r="L1392" s="216"/>
      <c r="M1392" s="216"/>
      <c r="N1392" s="216"/>
      <c r="O1392" s="216"/>
      <c r="P1392" s="216"/>
      <c r="Q1392" s="216"/>
    </row>
    <row r="1393">
      <c r="A1393" s="11"/>
      <c r="B1393" s="98"/>
      <c r="C1393" s="13"/>
      <c r="D1393" s="13"/>
      <c r="E1393" s="13"/>
      <c r="F1393" s="15"/>
      <c r="G1393" s="16"/>
      <c r="H1393" s="18"/>
      <c r="I1393" s="21"/>
      <c r="J1393" s="21"/>
      <c r="K1393" s="216"/>
      <c r="L1393" s="216"/>
      <c r="M1393" s="216"/>
      <c r="N1393" s="216"/>
      <c r="O1393" s="216"/>
      <c r="P1393" s="216"/>
      <c r="Q1393" s="216"/>
    </row>
    <row r="1394">
      <c r="A1394" s="11"/>
      <c r="B1394" s="98"/>
      <c r="C1394" s="13"/>
      <c r="D1394" s="13"/>
      <c r="E1394" s="13"/>
      <c r="F1394" s="15"/>
      <c r="G1394" s="16"/>
      <c r="H1394" s="18"/>
      <c r="I1394" s="21"/>
      <c r="J1394" s="21"/>
      <c r="K1394" s="216"/>
      <c r="L1394" s="216"/>
      <c r="M1394" s="216"/>
      <c r="N1394" s="216"/>
      <c r="O1394" s="216"/>
      <c r="P1394" s="216"/>
      <c r="Q1394" s="216"/>
    </row>
    <row r="1395">
      <c r="A1395" s="11"/>
      <c r="B1395" s="98"/>
      <c r="C1395" s="13"/>
      <c r="D1395" s="13"/>
      <c r="E1395" s="13"/>
      <c r="F1395" s="15"/>
      <c r="G1395" s="16"/>
      <c r="H1395" s="18"/>
      <c r="I1395" s="21"/>
      <c r="J1395" s="21"/>
      <c r="K1395" s="216"/>
      <c r="L1395" s="216"/>
      <c r="M1395" s="216"/>
      <c r="N1395" s="216"/>
      <c r="O1395" s="216"/>
      <c r="P1395" s="216"/>
      <c r="Q1395" s="216"/>
    </row>
    <row r="1396">
      <c r="A1396" s="11"/>
      <c r="B1396" s="98"/>
      <c r="C1396" s="13"/>
      <c r="D1396" s="13"/>
      <c r="E1396" s="13"/>
      <c r="F1396" s="15"/>
      <c r="G1396" s="16"/>
      <c r="H1396" s="18"/>
      <c r="I1396" s="21"/>
      <c r="J1396" s="21"/>
      <c r="K1396" s="216"/>
      <c r="L1396" s="216"/>
      <c r="M1396" s="216"/>
      <c r="N1396" s="216"/>
      <c r="O1396" s="216"/>
      <c r="P1396" s="216"/>
      <c r="Q1396" s="216"/>
    </row>
    <row r="1397">
      <c r="A1397" s="11"/>
      <c r="B1397" s="98"/>
      <c r="C1397" s="13"/>
      <c r="D1397" s="13"/>
      <c r="E1397" s="13"/>
      <c r="F1397" s="15"/>
      <c r="G1397" s="16"/>
      <c r="H1397" s="18"/>
      <c r="I1397" s="21"/>
      <c r="J1397" s="21"/>
      <c r="K1397" s="216"/>
      <c r="L1397" s="216"/>
      <c r="M1397" s="216"/>
      <c r="N1397" s="216"/>
      <c r="O1397" s="216"/>
      <c r="P1397" s="216"/>
      <c r="Q1397" s="216"/>
    </row>
    <row r="1398">
      <c r="A1398" s="11"/>
      <c r="B1398" s="98"/>
      <c r="C1398" s="13"/>
      <c r="D1398" s="13"/>
      <c r="E1398" s="13"/>
      <c r="F1398" s="15"/>
      <c r="G1398" s="16"/>
      <c r="H1398" s="18"/>
      <c r="I1398" s="21"/>
      <c r="J1398" s="21"/>
      <c r="K1398" s="216"/>
      <c r="L1398" s="216"/>
      <c r="M1398" s="216"/>
      <c r="N1398" s="216"/>
      <c r="O1398" s="216"/>
      <c r="P1398" s="216"/>
      <c r="Q1398" s="216"/>
    </row>
    <row r="1399">
      <c r="A1399" s="11"/>
      <c r="B1399" s="98"/>
      <c r="C1399" s="13"/>
      <c r="D1399" s="13"/>
      <c r="E1399" s="13"/>
      <c r="F1399" s="15"/>
      <c r="G1399" s="16"/>
      <c r="H1399" s="18"/>
      <c r="I1399" s="21"/>
      <c r="J1399" s="21"/>
      <c r="K1399" s="216"/>
      <c r="L1399" s="216"/>
      <c r="M1399" s="216"/>
      <c r="N1399" s="216"/>
      <c r="O1399" s="216"/>
      <c r="P1399" s="216"/>
      <c r="Q1399" s="216"/>
    </row>
    <row r="1400">
      <c r="A1400" s="11"/>
      <c r="B1400" s="98"/>
      <c r="C1400" s="13"/>
      <c r="D1400" s="13"/>
      <c r="E1400" s="13"/>
      <c r="F1400" s="15"/>
      <c r="G1400" s="16"/>
      <c r="H1400" s="18"/>
      <c r="I1400" s="21"/>
      <c r="J1400" s="21"/>
      <c r="K1400" s="216"/>
      <c r="L1400" s="216"/>
      <c r="M1400" s="216"/>
      <c r="N1400" s="216"/>
      <c r="O1400" s="216"/>
      <c r="P1400" s="216"/>
      <c r="Q1400" s="216"/>
    </row>
    <row r="1401">
      <c r="A1401" s="11"/>
      <c r="B1401" s="98"/>
      <c r="C1401" s="13"/>
      <c r="D1401" s="13"/>
      <c r="E1401" s="13"/>
      <c r="F1401" s="15"/>
      <c r="G1401" s="16"/>
      <c r="H1401" s="18"/>
      <c r="I1401" s="21"/>
      <c r="J1401" s="21"/>
      <c r="K1401" s="216"/>
      <c r="L1401" s="216"/>
      <c r="M1401" s="216"/>
      <c r="N1401" s="216"/>
      <c r="O1401" s="216"/>
      <c r="P1401" s="216"/>
      <c r="Q1401" s="216"/>
    </row>
    <row r="1402">
      <c r="A1402" s="11"/>
      <c r="B1402" s="98"/>
      <c r="C1402" s="13"/>
      <c r="D1402" s="13"/>
      <c r="E1402" s="13"/>
      <c r="F1402" s="15"/>
      <c r="G1402" s="16"/>
      <c r="H1402" s="18"/>
      <c r="I1402" s="21"/>
      <c r="J1402" s="21"/>
      <c r="K1402" s="216"/>
      <c r="L1402" s="216"/>
      <c r="M1402" s="216"/>
      <c r="N1402" s="216"/>
      <c r="O1402" s="216"/>
      <c r="P1402" s="216"/>
      <c r="Q1402" s="216"/>
    </row>
    <row r="1403">
      <c r="A1403" s="11"/>
      <c r="B1403" s="98"/>
      <c r="C1403" s="13"/>
      <c r="D1403" s="13"/>
      <c r="E1403" s="13"/>
      <c r="F1403" s="15"/>
      <c r="G1403" s="16"/>
      <c r="H1403" s="18"/>
      <c r="I1403" s="21"/>
      <c r="J1403" s="21"/>
      <c r="K1403" s="216"/>
      <c r="L1403" s="216"/>
      <c r="M1403" s="216"/>
      <c r="N1403" s="216"/>
      <c r="O1403" s="216"/>
      <c r="P1403" s="216"/>
      <c r="Q1403" s="216"/>
    </row>
    <row r="1404">
      <c r="A1404" s="11"/>
      <c r="B1404" s="98"/>
      <c r="C1404" s="13"/>
      <c r="D1404" s="13"/>
      <c r="E1404" s="13"/>
      <c r="F1404" s="15"/>
      <c r="G1404" s="16"/>
      <c r="H1404" s="18"/>
      <c r="I1404" s="21"/>
      <c r="J1404" s="21"/>
      <c r="K1404" s="216"/>
      <c r="L1404" s="216"/>
      <c r="M1404" s="216"/>
      <c r="N1404" s="216"/>
      <c r="O1404" s="216"/>
      <c r="P1404" s="216"/>
      <c r="Q1404" s="216"/>
    </row>
    <row r="1405">
      <c r="A1405" s="11"/>
      <c r="B1405" s="98"/>
      <c r="C1405" s="13"/>
      <c r="D1405" s="13"/>
      <c r="E1405" s="13"/>
      <c r="F1405" s="15"/>
      <c r="G1405" s="16"/>
      <c r="H1405" s="18"/>
      <c r="I1405" s="21"/>
      <c r="J1405" s="21"/>
      <c r="K1405" s="216"/>
      <c r="L1405" s="216"/>
      <c r="M1405" s="216"/>
      <c r="N1405" s="216"/>
      <c r="O1405" s="216"/>
      <c r="P1405" s="216"/>
      <c r="Q1405" s="216"/>
    </row>
    <row r="1406">
      <c r="A1406" s="11"/>
      <c r="B1406" s="98"/>
      <c r="C1406" s="13"/>
      <c r="D1406" s="13"/>
      <c r="E1406" s="13"/>
      <c r="F1406" s="15"/>
      <c r="G1406" s="16"/>
      <c r="H1406" s="18"/>
      <c r="I1406" s="21"/>
      <c r="J1406" s="21"/>
      <c r="K1406" s="216"/>
      <c r="L1406" s="216"/>
      <c r="M1406" s="216"/>
      <c r="N1406" s="216"/>
      <c r="O1406" s="216"/>
      <c r="P1406" s="216"/>
      <c r="Q1406" s="216"/>
    </row>
    <row r="1407">
      <c r="A1407" s="11"/>
      <c r="B1407" s="98"/>
      <c r="C1407" s="13"/>
      <c r="D1407" s="13"/>
      <c r="E1407" s="13"/>
      <c r="F1407" s="15"/>
      <c r="G1407" s="16"/>
      <c r="H1407" s="18"/>
      <c r="I1407" s="21"/>
      <c r="J1407" s="21"/>
      <c r="K1407" s="216"/>
      <c r="L1407" s="216"/>
      <c r="M1407" s="216"/>
      <c r="N1407" s="216"/>
      <c r="O1407" s="216"/>
      <c r="P1407" s="216"/>
      <c r="Q1407" s="216"/>
    </row>
    <row r="1408">
      <c r="A1408" s="11"/>
      <c r="B1408" s="98"/>
      <c r="C1408" s="13"/>
      <c r="D1408" s="13"/>
      <c r="E1408" s="13"/>
      <c r="F1408" s="15"/>
      <c r="G1408" s="16"/>
      <c r="H1408" s="18"/>
      <c r="I1408" s="21"/>
      <c r="J1408" s="21"/>
      <c r="K1408" s="216"/>
      <c r="L1408" s="216"/>
      <c r="M1408" s="216"/>
      <c r="N1408" s="216"/>
      <c r="O1408" s="216"/>
      <c r="P1408" s="216"/>
      <c r="Q1408" s="216"/>
    </row>
    <row r="1409">
      <c r="A1409" s="11"/>
      <c r="B1409" s="98"/>
      <c r="C1409" s="13"/>
      <c r="D1409" s="13"/>
      <c r="E1409" s="13"/>
      <c r="F1409" s="15"/>
      <c r="G1409" s="16"/>
      <c r="H1409" s="18"/>
      <c r="I1409" s="21"/>
      <c r="J1409" s="21"/>
      <c r="K1409" s="216"/>
      <c r="L1409" s="216"/>
      <c r="M1409" s="216"/>
      <c r="N1409" s="216"/>
      <c r="O1409" s="216"/>
      <c r="P1409" s="216"/>
      <c r="Q1409" s="216"/>
    </row>
    <row r="1410">
      <c r="A1410" s="11"/>
      <c r="B1410" s="98"/>
      <c r="C1410" s="13"/>
      <c r="D1410" s="13"/>
      <c r="E1410" s="13"/>
      <c r="F1410" s="15"/>
      <c r="G1410" s="16"/>
      <c r="H1410" s="18"/>
      <c r="I1410" s="21"/>
      <c r="J1410" s="21"/>
      <c r="K1410" s="216"/>
      <c r="L1410" s="216"/>
      <c r="M1410" s="216"/>
      <c r="N1410" s="216"/>
      <c r="O1410" s="216"/>
      <c r="P1410" s="216"/>
      <c r="Q1410" s="216"/>
    </row>
    <row r="1411">
      <c r="A1411" s="11"/>
      <c r="B1411" s="98"/>
      <c r="C1411" s="13"/>
      <c r="D1411" s="13"/>
      <c r="E1411" s="13"/>
      <c r="F1411" s="15"/>
      <c r="G1411" s="16"/>
      <c r="H1411" s="18"/>
      <c r="I1411" s="21"/>
      <c r="J1411" s="21"/>
      <c r="K1411" s="216"/>
      <c r="L1411" s="216"/>
      <c r="M1411" s="216"/>
      <c r="N1411" s="216"/>
      <c r="O1411" s="216"/>
      <c r="P1411" s="216"/>
      <c r="Q1411" s="216"/>
    </row>
    <row r="1412">
      <c r="A1412" s="11"/>
      <c r="B1412" s="98"/>
      <c r="C1412" s="13"/>
      <c r="D1412" s="13"/>
      <c r="E1412" s="13"/>
      <c r="F1412" s="15"/>
      <c r="G1412" s="16"/>
      <c r="H1412" s="18"/>
      <c r="I1412" s="21"/>
      <c r="J1412" s="21"/>
      <c r="K1412" s="216"/>
      <c r="L1412" s="216"/>
      <c r="M1412" s="216"/>
      <c r="N1412" s="216"/>
      <c r="O1412" s="216"/>
      <c r="P1412" s="216"/>
      <c r="Q1412" s="216"/>
    </row>
    <row r="1413">
      <c r="A1413" s="11"/>
      <c r="B1413" s="98"/>
      <c r="C1413" s="13"/>
      <c r="D1413" s="13"/>
      <c r="E1413" s="13"/>
      <c r="F1413" s="15"/>
      <c r="G1413" s="16"/>
      <c r="H1413" s="18"/>
      <c r="I1413" s="21"/>
      <c r="J1413" s="21"/>
      <c r="K1413" s="216"/>
      <c r="L1413" s="216"/>
      <c r="M1413" s="216"/>
      <c r="N1413" s="216"/>
      <c r="O1413" s="216"/>
      <c r="P1413" s="216"/>
      <c r="Q1413" s="216"/>
    </row>
    <row r="1414">
      <c r="A1414" s="11"/>
      <c r="B1414" s="98"/>
      <c r="C1414" s="13"/>
      <c r="D1414" s="13"/>
      <c r="E1414" s="13"/>
      <c r="F1414" s="15"/>
      <c r="G1414" s="16"/>
      <c r="H1414" s="18"/>
      <c r="I1414" s="21"/>
      <c r="J1414" s="21"/>
      <c r="K1414" s="216"/>
      <c r="L1414" s="216"/>
      <c r="M1414" s="216"/>
      <c r="N1414" s="216"/>
      <c r="O1414" s="216"/>
      <c r="P1414" s="216"/>
      <c r="Q1414" s="216"/>
    </row>
    <row r="1415">
      <c r="A1415" s="11"/>
      <c r="B1415" s="98"/>
      <c r="C1415" s="13"/>
      <c r="D1415" s="13"/>
      <c r="E1415" s="13"/>
      <c r="F1415" s="15"/>
      <c r="G1415" s="16"/>
      <c r="H1415" s="18"/>
      <c r="I1415" s="21"/>
      <c r="J1415" s="21"/>
      <c r="K1415" s="216"/>
      <c r="L1415" s="216"/>
      <c r="M1415" s="216"/>
      <c r="N1415" s="216"/>
      <c r="O1415" s="216"/>
      <c r="P1415" s="216"/>
      <c r="Q1415" s="216"/>
    </row>
    <row r="1416">
      <c r="A1416" s="11"/>
      <c r="B1416" s="98"/>
      <c r="C1416" s="13"/>
      <c r="D1416" s="13"/>
      <c r="E1416" s="13"/>
      <c r="F1416" s="15"/>
      <c r="G1416" s="16"/>
      <c r="H1416" s="18"/>
      <c r="I1416" s="21"/>
      <c r="J1416" s="21"/>
      <c r="K1416" s="216"/>
      <c r="L1416" s="216"/>
      <c r="M1416" s="216"/>
      <c r="N1416" s="216"/>
      <c r="O1416" s="216"/>
      <c r="P1416" s="216"/>
      <c r="Q1416" s="216"/>
    </row>
    <row r="1417">
      <c r="A1417" s="11"/>
      <c r="B1417" s="98"/>
      <c r="C1417" s="13"/>
      <c r="D1417" s="13"/>
      <c r="E1417" s="13"/>
      <c r="F1417" s="15"/>
      <c r="G1417" s="16"/>
      <c r="H1417" s="18"/>
      <c r="I1417" s="21"/>
      <c r="J1417" s="21"/>
      <c r="K1417" s="216"/>
      <c r="L1417" s="216"/>
      <c r="M1417" s="216"/>
      <c r="N1417" s="216"/>
      <c r="O1417" s="216"/>
      <c r="P1417" s="216"/>
      <c r="Q1417" s="216"/>
    </row>
    <row r="1418">
      <c r="A1418" s="11"/>
      <c r="B1418" s="98"/>
      <c r="C1418" s="13"/>
      <c r="D1418" s="13"/>
      <c r="E1418" s="13"/>
      <c r="F1418" s="15"/>
      <c r="G1418" s="16"/>
      <c r="H1418" s="18"/>
      <c r="I1418" s="21"/>
      <c r="J1418" s="21"/>
      <c r="K1418" s="216"/>
      <c r="L1418" s="216"/>
      <c r="M1418" s="216"/>
      <c r="N1418" s="216"/>
      <c r="O1418" s="216"/>
      <c r="P1418" s="216"/>
      <c r="Q1418" s="216"/>
    </row>
    <row r="1419">
      <c r="A1419" s="11"/>
      <c r="B1419" s="98"/>
      <c r="C1419" s="13"/>
      <c r="D1419" s="13"/>
      <c r="E1419" s="13"/>
      <c r="F1419" s="15"/>
      <c r="G1419" s="16"/>
      <c r="H1419" s="18"/>
      <c r="I1419" s="21"/>
      <c r="J1419" s="21"/>
      <c r="K1419" s="216"/>
      <c r="L1419" s="216"/>
      <c r="M1419" s="216"/>
      <c r="N1419" s="216"/>
      <c r="O1419" s="216"/>
      <c r="P1419" s="216"/>
      <c r="Q1419" s="216"/>
    </row>
    <row r="1420">
      <c r="A1420" s="11"/>
      <c r="B1420" s="98"/>
      <c r="C1420" s="13"/>
      <c r="D1420" s="13"/>
      <c r="E1420" s="13"/>
      <c r="F1420" s="15"/>
      <c r="G1420" s="16"/>
      <c r="H1420" s="18"/>
      <c r="I1420" s="21"/>
      <c r="J1420" s="21"/>
      <c r="K1420" s="216"/>
      <c r="L1420" s="216"/>
      <c r="M1420" s="216"/>
      <c r="N1420" s="216"/>
      <c r="O1420" s="216"/>
      <c r="P1420" s="216"/>
      <c r="Q1420" s="216"/>
    </row>
    <row r="1421">
      <c r="A1421" s="11"/>
      <c r="B1421" s="98"/>
      <c r="C1421" s="13"/>
      <c r="D1421" s="13"/>
      <c r="E1421" s="13"/>
      <c r="F1421" s="15"/>
      <c r="G1421" s="16"/>
      <c r="H1421" s="18"/>
      <c r="I1421" s="21"/>
      <c r="J1421" s="21"/>
      <c r="K1421" s="216"/>
      <c r="L1421" s="216"/>
      <c r="M1421" s="216"/>
      <c r="N1421" s="216"/>
      <c r="O1421" s="216"/>
      <c r="P1421" s="216"/>
      <c r="Q1421" s="216"/>
    </row>
    <row r="1422">
      <c r="A1422" s="11"/>
      <c r="B1422" s="98"/>
      <c r="C1422" s="13"/>
      <c r="D1422" s="13"/>
      <c r="E1422" s="13"/>
      <c r="F1422" s="15"/>
      <c r="G1422" s="16"/>
      <c r="H1422" s="18"/>
      <c r="I1422" s="21"/>
      <c r="J1422" s="21"/>
      <c r="K1422" s="216"/>
      <c r="L1422" s="216"/>
      <c r="M1422" s="216"/>
      <c r="N1422" s="216"/>
      <c r="O1422" s="216"/>
      <c r="P1422" s="216"/>
      <c r="Q1422" s="216"/>
    </row>
    <row r="1423">
      <c r="A1423" s="11"/>
      <c r="B1423" s="98"/>
      <c r="C1423" s="13"/>
      <c r="D1423" s="13"/>
      <c r="E1423" s="13"/>
      <c r="F1423" s="15"/>
      <c r="G1423" s="16"/>
      <c r="H1423" s="18"/>
      <c r="I1423" s="21"/>
      <c r="J1423" s="21"/>
      <c r="K1423" s="216"/>
      <c r="L1423" s="216"/>
      <c r="M1423" s="216"/>
      <c r="N1423" s="216"/>
      <c r="O1423" s="216"/>
      <c r="P1423" s="216"/>
      <c r="Q1423" s="216"/>
    </row>
    <row r="1424">
      <c r="A1424" s="11"/>
      <c r="B1424" s="98"/>
      <c r="C1424" s="13"/>
      <c r="D1424" s="13"/>
      <c r="E1424" s="13"/>
      <c r="F1424" s="15"/>
      <c r="G1424" s="16"/>
      <c r="H1424" s="18"/>
      <c r="I1424" s="21"/>
      <c r="J1424" s="21"/>
      <c r="K1424" s="216"/>
      <c r="L1424" s="216"/>
      <c r="M1424" s="216"/>
      <c r="N1424" s="216"/>
      <c r="O1424" s="216"/>
      <c r="P1424" s="216"/>
      <c r="Q1424" s="216"/>
    </row>
    <row r="1425">
      <c r="A1425" s="11"/>
      <c r="B1425" s="98"/>
      <c r="C1425" s="13"/>
      <c r="D1425" s="13"/>
      <c r="E1425" s="13"/>
      <c r="F1425" s="15"/>
      <c r="G1425" s="16"/>
      <c r="H1425" s="18"/>
      <c r="I1425" s="21"/>
      <c r="J1425" s="21"/>
      <c r="K1425" s="216"/>
      <c r="L1425" s="216"/>
      <c r="M1425" s="216"/>
      <c r="N1425" s="216"/>
      <c r="O1425" s="216"/>
      <c r="P1425" s="216"/>
      <c r="Q1425" s="216"/>
    </row>
    <row r="1426">
      <c r="A1426" s="11"/>
      <c r="B1426" s="98"/>
      <c r="C1426" s="13"/>
      <c r="D1426" s="13"/>
      <c r="E1426" s="13"/>
      <c r="F1426" s="15"/>
      <c r="G1426" s="16"/>
      <c r="H1426" s="18"/>
      <c r="I1426" s="21"/>
      <c r="J1426" s="21"/>
      <c r="K1426" s="216"/>
      <c r="L1426" s="216"/>
      <c r="M1426" s="216"/>
      <c r="N1426" s="216"/>
      <c r="O1426" s="216"/>
      <c r="P1426" s="216"/>
      <c r="Q1426" s="216"/>
    </row>
    <row r="1427">
      <c r="A1427" s="11"/>
      <c r="B1427" s="98"/>
      <c r="C1427" s="13"/>
      <c r="D1427" s="13"/>
      <c r="E1427" s="13"/>
      <c r="F1427" s="15"/>
      <c r="G1427" s="16"/>
      <c r="H1427" s="18"/>
      <c r="I1427" s="21"/>
      <c r="J1427" s="21"/>
      <c r="K1427" s="216"/>
      <c r="L1427" s="216"/>
      <c r="M1427" s="216"/>
      <c r="N1427" s="216"/>
      <c r="O1427" s="216"/>
      <c r="P1427" s="216"/>
      <c r="Q1427" s="216"/>
    </row>
    <row r="1428">
      <c r="A1428" s="11"/>
      <c r="B1428" s="98"/>
      <c r="C1428" s="13"/>
      <c r="D1428" s="13"/>
      <c r="E1428" s="13"/>
      <c r="F1428" s="15"/>
      <c r="G1428" s="16"/>
      <c r="H1428" s="18"/>
      <c r="I1428" s="21"/>
      <c r="J1428" s="21"/>
      <c r="K1428" s="216"/>
      <c r="L1428" s="216"/>
      <c r="M1428" s="216"/>
      <c r="N1428" s="216"/>
      <c r="O1428" s="216"/>
      <c r="P1428" s="216"/>
      <c r="Q1428" s="216"/>
    </row>
    <row r="1429">
      <c r="A1429" s="11"/>
      <c r="B1429" s="98"/>
      <c r="C1429" s="13"/>
      <c r="D1429" s="13"/>
      <c r="E1429" s="13"/>
      <c r="F1429" s="15"/>
      <c r="G1429" s="16"/>
      <c r="H1429" s="18"/>
      <c r="I1429" s="21"/>
      <c r="J1429" s="21"/>
      <c r="K1429" s="216"/>
      <c r="L1429" s="216"/>
      <c r="M1429" s="216"/>
      <c r="N1429" s="216"/>
      <c r="O1429" s="216"/>
      <c r="P1429" s="216"/>
      <c r="Q1429" s="216"/>
    </row>
    <row r="1430">
      <c r="A1430" s="11"/>
      <c r="B1430" s="98"/>
      <c r="C1430" s="13"/>
      <c r="D1430" s="13"/>
      <c r="E1430" s="13"/>
      <c r="F1430" s="15"/>
      <c r="G1430" s="16"/>
      <c r="H1430" s="18"/>
      <c r="I1430" s="21"/>
      <c r="J1430" s="21"/>
      <c r="K1430" s="216"/>
      <c r="L1430" s="216"/>
      <c r="M1430" s="216"/>
      <c r="N1430" s="216"/>
      <c r="O1430" s="216"/>
      <c r="P1430" s="216"/>
      <c r="Q1430" s="216"/>
    </row>
    <row r="1431">
      <c r="A1431" s="11"/>
      <c r="B1431" s="98"/>
      <c r="C1431" s="13"/>
      <c r="D1431" s="13"/>
      <c r="E1431" s="13"/>
      <c r="F1431" s="15"/>
      <c r="G1431" s="16"/>
      <c r="H1431" s="18"/>
      <c r="I1431" s="21"/>
      <c r="J1431" s="21"/>
      <c r="K1431" s="216"/>
      <c r="L1431" s="216"/>
      <c r="M1431" s="216"/>
      <c r="N1431" s="216"/>
      <c r="O1431" s="216"/>
      <c r="P1431" s="216"/>
      <c r="Q1431" s="216"/>
    </row>
    <row r="1432">
      <c r="A1432" s="11"/>
      <c r="B1432" s="98"/>
      <c r="C1432" s="13"/>
      <c r="D1432" s="13"/>
      <c r="E1432" s="13"/>
      <c r="F1432" s="15"/>
      <c r="G1432" s="16"/>
      <c r="H1432" s="18"/>
      <c r="I1432" s="21"/>
      <c r="J1432" s="21"/>
      <c r="K1432" s="216"/>
      <c r="L1432" s="216"/>
      <c r="M1432" s="216"/>
      <c r="N1432" s="216"/>
      <c r="O1432" s="216"/>
      <c r="P1432" s="216"/>
      <c r="Q1432" s="216"/>
    </row>
    <row r="1433">
      <c r="A1433" s="11"/>
      <c r="B1433" s="98"/>
      <c r="C1433" s="13"/>
      <c r="D1433" s="13"/>
      <c r="E1433" s="13"/>
      <c r="F1433" s="15"/>
      <c r="G1433" s="16"/>
      <c r="H1433" s="18"/>
      <c r="I1433" s="21"/>
      <c r="J1433" s="21"/>
      <c r="K1433" s="216"/>
      <c r="L1433" s="216"/>
      <c r="M1433" s="216"/>
      <c r="N1433" s="216"/>
      <c r="O1433" s="216"/>
      <c r="P1433" s="216"/>
      <c r="Q1433" s="216"/>
    </row>
    <row r="1434">
      <c r="A1434" s="11"/>
      <c r="B1434" s="98"/>
      <c r="C1434" s="13"/>
      <c r="D1434" s="13"/>
      <c r="E1434" s="13"/>
      <c r="F1434" s="15"/>
      <c r="G1434" s="16"/>
      <c r="H1434" s="18"/>
      <c r="I1434" s="21"/>
      <c r="J1434" s="21"/>
      <c r="K1434" s="216"/>
      <c r="L1434" s="216"/>
      <c r="M1434" s="216"/>
      <c r="N1434" s="216"/>
      <c r="O1434" s="216"/>
      <c r="P1434" s="216"/>
      <c r="Q1434" s="216"/>
    </row>
    <row r="1435">
      <c r="A1435" s="11"/>
      <c r="B1435" s="98"/>
      <c r="C1435" s="13"/>
      <c r="D1435" s="13"/>
      <c r="E1435" s="13"/>
      <c r="F1435" s="15"/>
      <c r="G1435" s="16"/>
      <c r="H1435" s="18"/>
      <c r="I1435" s="21"/>
      <c r="J1435" s="21"/>
      <c r="K1435" s="216"/>
      <c r="L1435" s="216"/>
      <c r="M1435" s="216"/>
      <c r="N1435" s="216"/>
      <c r="O1435" s="216"/>
      <c r="P1435" s="216"/>
      <c r="Q1435" s="216"/>
    </row>
    <row r="1436">
      <c r="A1436" s="11"/>
      <c r="B1436" s="98"/>
      <c r="C1436" s="13"/>
      <c r="D1436" s="13"/>
      <c r="E1436" s="13"/>
      <c r="F1436" s="15"/>
      <c r="G1436" s="16"/>
      <c r="H1436" s="18"/>
      <c r="I1436" s="21"/>
      <c r="J1436" s="21"/>
      <c r="K1436" s="216"/>
      <c r="L1436" s="216"/>
      <c r="M1436" s="216"/>
      <c r="N1436" s="216"/>
      <c r="O1436" s="216"/>
      <c r="P1436" s="216"/>
      <c r="Q1436" s="216"/>
    </row>
    <row r="1437">
      <c r="A1437" s="11"/>
      <c r="B1437" s="98"/>
      <c r="C1437" s="13"/>
      <c r="D1437" s="13"/>
      <c r="E1437" s="13"/>
      <c r="F1437" s="15"/>
      <c r="G1437" s="16"/>
      <c r="H1437" s="18"/>
      <c r="I1437" s="21"/>
      <c r="J1437" s="21"/>
      <c r="K1437" s="216"/>
      <c r="L1437" s="216"/>
      <c r="M1437" s="216"/>
      <c r="N1437" s="216"/>
      <c r="O1437" s="216"/>
      <c r="P1437" s="216"/>
      <c r="Q1437" s="216"/>
    </row>
    <row r="1438">
      <c r="A1438" s="11"/>
      <c r="B1438" s="98"/>
      <c r="C1438" s="13"/>
      <c r="D1438" s="13"/>
      <c r="E1438" s="13"/>
      <c r="F1438" s="15"/>
      <c r="G1438" s="16"/>
      <c r="H1438" s="18"/>
      <c r="I1438" s="21"/>
      <c r="J1438" s="21"/>
      <c r="K1438" s="216"/>
      <c r="L1438" s="216"/>
      <c r="M1438" s="216"/>
      <c r="N1438" s="216"/>
      <c r="O1438" s="216"/>
      <c r="P1438" s="216"/>
      <c r="Q1438" s="216"/>
    </row>
    <row r="1439">
      <c r="A1439" s="11"/>
      <c r="B1439" s="98"/>
      <c r="C1439" s="13"/>
      <c r="D1439" s="13"/>
      <c r="E1439" s="13"/>
      <c r="F1439" s="15"/>
      <c r="G1439" s="16"/>
      <c r="H1439" s="18"/>
      <c r="I1439" s="21"/>
      <c r="J1439" s="21"/>
      <c r="K1439" s="216"/>
      <c r="L1439" s="216"/>
      <c r="M1439" s="216"/>
      <c r="N1439" s="216"/>
      <c r="O1439" s="216"/>
      <c r="P1439" s="216"/>
      <c r="Q1439" s="216"/>
    </row>
    <row r="1440">
      <c r="A1440" s="11"/>
      <c r="B1440" s="98"/>
      <c r="C1440" s="13"/>
      <c r="D1440" s="13"/>
      <c r="E1440" s="13"/>
      <c r="F1440" s="15"/>
      <c r="G1440" s="16"/>
      <c r="H1440" s="18"/>
      <c r="I1440" s="21"/>
      <c r="J1440" s="21"/>
      <c r="K1440" s="216"/>
      <c r="L1440" s="216"/>
      <c r="M1440" s="216"/>
      <c r="N1440" s="216"/>
      <c r="O1440" s="216"/>
      <c r="P1440" s="216"/>
      <c r="Q1440" s="216"/>
    </row>
    <row r="1441">
      <c r="A1441" s="11"/>
      <c r="B1441" s="98"/>
      <c r="C1441" s="13"/>
      <c r="D1441" s="13"/>
      <c r="E1441" s="13"/>
      <c r="F1441" s="15"/>
      <c r="G1441" s="16"/>
      <c r="H1441" s="18"/>
      <c r="I1441" s="21"/>
      <c r="J1441" s="21"/>
      <c r="K1441" s="216"/>
      <c r="L1441" s="216"/>
      <c r="M1441" s="216"/>
      <c r="N1441" s="216"/>
      <c r="O1441" s="216"/>
      <c r="P1441" s="216"/>
      <c r="Q1441" s="216"/>
    </row>
    <row r="1442">
      <c r="A1442" s="11"/>
      <c r="B1442" s="98"/>
      <c r="C1442" s="13"/>
      <c r="D1442" s="13"/>
      <c r="E1442" s="13"/>
      <c r="F1442" s="15"/>
      <c r="G1442" s="16"/>
      <c r="H1442" s="18"/>
      <c r="I1442" s="21"/>
      <c r="J1442" s="21"/>
      <c r="K1442" s="216"/>
      <c r="L1442" s="216"/>
      <c r="M1442" s="216"/>
      <c r="N1442" s="216"/>
      <c r="O1442" s="216"/>
      <c r="P1442" s="216"/>
      <c r="Q1442" s="216"/>
    </row>
    <row r="1443">
      <c r="A1443" s="11"/>
      <c r="B1443" s="98"/>
      <c r="C1443" s="13"/>
      <c r="D1443" s="13"/>
      <c r="E1443" s="13"/>
      <c r="F1443" s="15"/>
      <c r="G1443" s="16"/>
      <c r="H1443" s="18"/>
      <c r="I1443" s="21"/>
      <c r="J1443" s="21"/>
      <c r="K1443" s="216"/>
      <c r="L1443" s="216"/>
      <c r="M1443" s="216"/>
      <c r="N1443" s="216"/>
      <c r="O1443" s="216"/>
      <c r="P1443" s="216"/>
      <c r="Q1443" s="216"/>
    </row>
    <row r="1444">
      <c r="A1444" s="11"/>
      <c r="B1444" s="98"/>
      <c r="C1444" s="13"/>
      <c r="D1444" s="13"/>
      <c r="E1444" s="13"/>
      <c r="F1444" s="15"/>
      <c r="G1444" s="16"/>
      <c r="H1444" s="18"/>
      <c r="I1444" s="21"/>
      <c r="J1444" s="21"/>
      <c r="K1444" s="216"/>
      <c r="L1444" s="216"/>
      <c r="M1444" s="216"/>
      <c r="N1444" s="216"/>
      <c r="O1444" s="216"/>
      <c r="P1444" s="216"/>
      <c r="Q1444" s="216"/>
    </row>
    <row r="1445">
      <c r="A1445" s="11"/>
      <c r="B1445" s="98"/>
      <c r="C1445" s="13"/>
      <c r="D1445" s="13"/>
      <c r="E1445" s="13"/>
      <c r="F1445" s="15"/>
      <c r="G1445" s="16"/>
      <c r="H1445" s="18"/>
      <c r="I1445" s="21"/>
      <c r="J1445" s="21"/>
      <c r="K1445" s="216"/>
      <c r="L1445" s="216"/>
      <c r="M1445" s="216"/>
      <c r="N1445" s="216"/>
      <c r="O1445" s="216"/>
      <c r="P1445" s="216"/>
      <c r="Q1445" s="216"/>
    </row>
    <row r="1446">
      <c r="A1446" s="11"/>
      <c r="B1446" s="98"/>
      <c r="C1446" s="13"/>
      <c r="D1446" s="13"/>
      <c r="E1446" s="13"/>
      <c r="F1446" s="15"/>
      <c r="G1446" s="16"/>
      <c r="H1446" s="18"/>
      <c r="I1446" s="21"/>
      <c r="J1446" s="21"/>
      <c r="K1446" s="216"/>
      <c r="L1446" s="216"/>
      <c r="M1446" s="216"/>
      <c r="N1446" s="216"/>
      <c r="O1446" s="216"/>
      <c r="P1446" s="216"/>
      <c r="Q1446" s="216"/>
    </row>
    <row r="1447">
      <c r="A1447" s="11"/>
      <c r="B1447" s="98"/>
      <c r="C1447" s="13"/>
      <c r="D1447" s="13"/>
      <c r="E1447" s="13"/>
      <c r="F1447" s="15"/>
      <c r="G1447" s="16"/>
      <c r="H1447" s="18"/>
      <c r="I1447" s="21"/>
      <c r="J1447" s="21"/>
      <c r="K1447" s="216"/>
      <c r="L1447" s="216"/>
      <c r="M1447" s="216"/>
      <c r="N1447" s="216"/>
      <c r="O1447" s="216"/>
      <c r="P1447" s="216"/>
      <c r="Q1447" s="216"/>
    </row>
    <row r="1448">
      <c r="A1448" s="11"/>
      <c r="B1448" s="98"/>
      <c r="C1448" s="13"/>
      <c r="D1448" s="13"/>
      <c r="E1448" s="13"/>
      <c r="F1448" s="15"/>
      <c r="G1448" s="16"/>
      <c r="H1448" s="18"/>
      <c r="I1448" s="21"/>
      <c r="J1448" s="21"/>
      <c r="K1448" s="216"/>
      <c r="L1448" s="216"/>
      <c r="M1448" s="216"/>
      <c r="N1448" s="216"/>
      <c r="O1448" s="216"/>
      <c r="P1448" s="216"/>
      <c r="Q1448" s="216"/>
    </row>
    <row r="1449">
      <c r="A1449" s="11"/>
      <c r="B1449" s="98"/>
      <c r="C1449" s="13"/>
      <c r="D1449" s="13"/>
      <c r="E1449" s="13"/>
      <c r="F1449" s="15"/>
      <c r="G1449" s="16"/>
      <c r="H1449" s="18"/>
      <c r="I1449" s="21"/>
      <c r="J1449" s="21"/>
      <c r="K1449" s="216"/>
      <c r="L1449" s="216"/>
      <c r="M1449" s="216"/>
      <c r="N1449" s="216"/>
      <c r="O1449" s="216"/>
      <c r="P1449" s="216"/>
      <c r="Q1449" s="216"/>
    </row>
    <row r="1450">
      <c r="A1450" s="11"/>
      <c r="B1450" s="98"/>
      <c r="C1450" s="13"/>
      <c r="D1450" s="13"/>
      <c r="E1450" s="13"/>
      <c r="F1450" s="15"/>
      <c r="G1450" s="16"/>
      <c r="H1450" s="18"/>
      <c r="I1450" s="21"/>
      <c r="J1450" s="21"/>
      <c r="K1450" s="216"/>
      <c r="L1450" s="216"/>
      <c r="M1450" s="216"/>
      <c r="N1450" s="216"/>
      <c r="O1450" s="216"/>
      <c r="P1450" s="216"/>
      <c r="Q1450" s="216"/>
    </row>
    <row r="1451">
      <c r="A1451" s="11"/>
      <c r="B1451" s="98"/>
      <c r="C1451" s="13"/>
      <c r="D1451" s="13"/>
      <c r="E1451" s="13"/>
      <c r="F1451" s="15"/>
      <c r="G1451" s="16"/>
      <c r="H1451" s="18"/>
      <c r="I1451" s="21"/>
      <c r="J1451" s="21"/>
      <c r="K1451" s="216"/>
      <c r="L1451" s="216"/>
      <c r="M1451" s="216"/>
      <c r="N1451" s="216"/>
      <c r="O1451" s="216"/>
      <c r="P1451" s="216"/>
      <c r="Q1451" s="216"/>
    </row>
    <row r="1452">
      <c r="A1452" s="11"/>
      <c r="B1452" s="98"/>
      <c r="C1452" s="13"/>
      <c r="D1452" s="13"/>
      <c r="E1452" s="13"/>
      <c r="F1452" s="15"/>
      <c r="G1452" s="16"/>
      <c r="H1452" s="18"/>
      <c r="I1452" s="21"/>
      <c r="J1452" s="21"/>
      <c r="K1452" s="216"/>
      <c r="L1452" s="216"/>
      <c r="M1452" s="216"/>
      <c r="N1452" s="216"/>
      <c r="O1452" s="216"/>
      <c r="P1452" s="216"/>
      <c r="Q1452" s="216"/>
    </row>
    <row r="1453">
      <c r="A1453" s="11"/>
      <c r="B1453" s="98"/>
      <c r="C1453" s="13"/>
      <c r="D1453" s="13"/>
      <c r="E1453" s="13"/>
      <c r="F1453" s="15"/>
      <c r="G1453" s="16"/>
      <c r="H1453" s="18"/>
      <c r="I1453" s="21"/>
      <c r="J1453" s="21"/>
      <c r="K1453" s="216"/>
      <c r="L1453" s="216"/>
      <c r="M1453" s="216"/>
      <c r="N1453" s="216"/>
      <c r="O1453" s="216"/>
      <c r="P1453" s="216"/>
      <c r="Q1453" s="216"/>
    </row>
    <row r="1454">
      <c r="A1454" s="11"/>
      <c r="B1454" s="98"/>
      <c r="C1454" s="13"/>
      <c r="D1454" s="13"/>
      <c r="E1454" s="13"/>
      <c r="F1454" s="15"/>
      <c r="G1454" s="16"/>
      <c r="H1454" s="18"/>
      <c r="I1454" s="21"/>
      <c r="J1454" s="21"/>
      <c r="K1454" s="216"/>
      <c r="L1454" s="216"/>
      <c r="M1454" s="216"/>
      <c r="N1454" s="216"/>
      <c r="O1454" s="216"/>
      <c r="P1454" s="216"/>
      <c r="Q1454" s="216"/>
    </row>
    <row r="1455">
      <c r="A1455" s="11"/>
      <c r="B1455" s="98"/>
      <c r="C1455" s="13"/>
      <c r="D1455" s="13"/>
      <c r="E1455" s="13"/>
      <c r="F1455" s="15"/>
      <c r="G1455" s="16"/>
      <c r="H1455" s="18"/>
      <c r="I1455" s="21"/>
      <c r="J1455" s="21"/>
      <c r="K1455" s="216"/>
      <c r="L1455" s="216"/>
      <c r="M1455" s="216"/>
      <c r="N1455" s="216"/>
      <c r="O1455" s="216"/>
      <c r="P1455" s="216"/>
      <c r="Q1455" s="216"/>
    </row>
    <row r="1456">
      <c r="A1456" s="11"/>
      <c r="B1456" s="98"/>
      <c r="C1456" s="13"/>
      <c r="D1456" s="13"/>
      <c r="E1456" s="13"/>
      <c r="F1456" s="15"/>
      <c r="G1456" s="16"/>
      <c r="H1456" s="18"/>
      <c r="I1456" s="21"/>
      <c r="J1456" s="21"/>
      <c r="K1456" s="216"/>
      <c r="L1456" s="216"/>
      <c r="M1456" s="216"/>
      <c r="N1456" s="216"/>
      <c r="O1456" s="216"/>
      <c r="P1456" s="216"/>
      <c r="Q1456" s="216"/>
    </row>
    <row r="1457">
      <c r="A1457" s="11"/>
      <c r="B1457" s="98"/>
      <c r="C1457" s="13"/>
      <c r="D1457" s="13"/>
      <c r="E1457" s="13"/>
      <c r="F1457" s="15"/>
      <c r="G1457" s="16"/>
      <c r="H1457" s="18"/>
      <c r="I1457" s="21"/>
      <c r="J1457" s="21"/>
      <c r="K1457" s="216"/>
      <c r="L1457" s="216"/>
      <c r="M1457" s="216"/>
      <c r="N1457" s="216"/>
      <c r="O1457" s="216"/>
      <c r="P1457" s="216"/>
      <c r="Q1457" s="216"/>
    </row>
    <row r="1458">
      <c r="A1458" s="11"/>
      <c r="B1458" s="98"/>
      <c r="C1458" s="13"/>
      <c r="D1458" s="13"/>
      <c r="E1458" s="13"/>
      <c r="F1458" s="15"/>
      <c r="G1458" s="16"/>
      <c r="H1458" s="18"/>
      <c r="I1458" s="21"/>
      <c r="J1458" s="21"/>
      <c r="K1458" s="216"/>
      <c r="L1458" s="216"/>
      <c r="M1458" s="216"/>
      <c r="N1458" s="216"/>
      <c r="O1458" s="216"/>
      <c r="P1458" s="216"/>
      <c r="Q1458" s="216"/>
    </row>
    <row r="1459">
      <c r="A1459" s="11"/>
      <c r="B1459" s="98"/>
      <c r="C1459" s="13"/>
      <c r="D1459" s="13"/>
      <c r="E1459" s="13"/>
      <c r="F1459" s="15"/>
      <c r="G1459" s="16"/>
      <c r="H1459" s="18"/>
      <c r="I1459" s="21"/>
      <c r="J1459" s="21"/>
      <c r="K1459" s="216"/>
      <c r="L1459" s="216"/>
      <c r="M1459" s="216"/>
      <c r="N1459" s="216"/>
      <c r="O1459" s="216"/>
      <c r="P1459" s="216"/>
      <c r="Q1459" s="216"/>
    </row>
    <row r="1460">
      <c r="A1460" s="11"/>
      <c r="B1460" s="98"/>
      <c r="C1460" s="13"/>
      <c r="D1460" s="13"/>
      <c r="E1460" s="13"/>
      <c r="F1460" s="15"/>
      <c r="G1460" s="16"/>
      <c r="H1460" s="18"/>
      <c r="I1460" s="21"/>
      <c r="J1460" s="21"/>
      <c r="K1460" s="216"/>
      <c r="L1460" s="216"/>
      <c r="M1460" s="216"/>
      <c r="N1460" s="216"/>
      <c r="O1460" s="216"/>
      <c r="P1460" s="216"/>
      <c r="Q1460" s="216"/>
    </row>
    <row r="1461">
      <c r="A1461" s="11"/>
      <c r="B1461" s="98"/>
      <c r="C1461" s="13"/>
      <c r="D1461" s="13"/>
      <c r="E1461" s="13"/>
      <c r="F1461" s="15"/>
      <c r="G1461" s="16"/>
      <c r="H1461" s="18"/>
      <c r="I1461" s="21"/>
      <c r="J1461" s="21"/>
      <c r="K1461" s="216"/>
      <c r="L1461" s="216"/>
      <c r="M1461" s="216"/>
      <c r="N1461" s="216"/>
      <c r="O1461" s="216"/>
      <c r="P1461" s="216"/>
      <c r="Q1461" s="216"/>
    </row>
    <row r="1462">
      <c r="A1462" s="11"/>
      <c r="B1462" s="98"/>
      <c r="C1462" s="13"/>
      <c r="D1462" s="13"/>
      <c r="E1462" s="13"/>
      <c r="F1462" s="15"/>
      <c r="G1462" s="16"/>
      <c r="H1462" s="18"/>
      <c r="I1462" s="21"/>
      <c r="J1462" s="21"/>
      <c r="K1462" s="216"/>
      <c r="L1462" s="216"/>
      <c r="M1462" s="216"/>
      <c r="N1462" s="216"/>
      <c r="O1462" s="216"/>
      <c r="P1462" s="216"/>
      <c r="Q1462" s="216"/>
    </row>
    <row r="1463">
      <c r="A1463" s="11"/>
      <c r="B1463" s="98"/>
      <c r="C1463" s="13"/>
      <c r="D1463" s="13"/>
      <c r="E1463" s="13"/>
      <c r="F1463" s="15"/>
      <c r="G1463" s="16"/>
      <c r="H1463" s="18"/>
      <c r="I1463" s="21"/>
      <c r="J1463" s="21"/>
      <c r="K1463" s="216"/>
      <c r="L1463" s="216"/>
      <c r="M1463" s="216"/>
      <c r="N1463" s="216"/>
      <c r="O1463" s="216"/>
      <c r="P1463" s="216"/>
      <c r="Q1463" s="216"/>
    </row>
    <row r="1464">
      <c r="A1464" s="11"/>
      <c r="B1464" s="98"/>
      <c r="C1464" s="13"/>
      <c r="D1464" s="13"/>
      <c r="E1464" s="13"/>
      <c r="F1464" s="15"/>
      <c r="G1464" s="16"/>
      <c r="H1464" s="18"/>
      <c r="I1464" s="21"/>
      <c r="J1464" s="21"/>
      <c r="K1464" s="216"/>
      <c r="L1464" s="216"/>
      <c r="M1464" s="216"/>
      <c r="N1464" s="216"/>
      <c r="O1464" s="216"/>
      <c r="P1464" s="216"/>
      <c r="Q1464" s="216"/>
    </row>
    <row r="1465">
      <c r="A1465" s="11"/>
      <c r="B1465" s="98"/>
      <c r="C1465" s="13"/>
      <c r="D1465" s="13"/>
      <c r="E1465" s="13"/>
      <c r="F1465" s="15"/>
      <c r="G1465" s="16"/>
      <c r="H1465" s="18"/>
      <c r="I1465" s="21"/>
      <c r="J1465" s="21"/>
      <c r="K1465" s="216"/>
      <c r="L1465" s="216"/>
      <c r="M1465" s="216"/>
      <c r="N1465" s="216"/>
      <c r="O1465" s="216"/>
      <c r="P1465" s="216"/>
      <c r="Q1465" s="216"/>
    </row>
    <row r="1466">
      <c r="A1466" s="11"/>
      <c r="B1466" s="98"/>
      <c r="C1466" s="13"/>
      <c r="D1466" s="13"/>
      <c r="E1466" s="13"/>
      <c r="F1466" s="15"/>
      <c r="G1466" s="16"/>
      <c r="H1466" s="18"/>
      <c r="I1466" s="21"/>
      <c r="J1466" s="21"/>
      <c r="K1466" s="216"/>
      <c r="L1466" s="216"/>
      <c r="M1466" s="216"/>
      <c r="N1466" s="216"/>
      <c r="O1466" s="216"/>
      <c r="P1466" s="216"/>
      <c r="Q1466" s="216"/>
    </row>
    <row r="1467">
      <c r="A1467" s="11"/>
      <c r="B1467" s="98"/>
      <c r="C1467" s="13"/>
      <c r="D1467" s="13"/>
      <c r="E1467" s="13"/>
      <c r="F1467" s="15"/>
      <c r="G1467" s="16"/>
      <c r="H1467" s="18"/>
      <c r="I1467" s="21"/>
      <c r="J1467" s="21"/>
      <c r="K1467" s="216"/>
      <c r="L1467" s="216"/>
      <c r="M1467" s="216"/>
      <c r="N1467" s="216"/>
      <c r="O1467" s="216"/>
      <c r="P1467" s="216"/>
      <c r="Q1467" s="216"/>
    </row>
    <row r="1468">
      <c r="A1468" s="11"/>
      <c r="B1468" s="98"/>
      <c r="C1468" s="13"/>
      <c r="D1468" s="13"/>
      <c r="E1468" s="13"/>
      <c r="F1468" s="15"/>
      <c r="G1468" s="16"/>
      <c r="H1468" s="18"/>
      <c r="I1468" s="21"/>
      <c r="J1468" s="21"/>
      <c r="K1468" s="216"/>
      <c r="L1468" s="216"/>
      <c r="M1468" s="216"/>
      <c r="N1468" s="216"/>
      <c r="O1468" s="216"/>
      <c r="P1468" s="216"/>
      <c r="Q1468" s="216"/>
    </row>
    <row r="1469">
      <c r="A1469" s="11"/>
      <c r="B1469" s="98"/>
      <c r="C1469" s="13"/>
      <c r="D1469" s="13"/>
      <c r="E1469" s="13"/>
      <c r="F1469" s="15"/>
      <c r="G1469" s="16"/>
      <c r="H1469" s="18"/>
      <c r="I1469" s="21"/>
      <c r="J1469" s="21"/>
      <c r="K1469" s="216"/>
      <c r="L1469" s="216"/>
      <c r="M1469" s="216"/>
      <c r="N1469" s="216"/>
      <c r="O1469" s="216"/>
      <c r="P1469" s="216"/>
      <c r="Q1469" s="216"/>
    </row>
    <row r="1470">
      <c r="A1470" s="11"/>
      <c r="B1470" s="98"/>
      <c r="C1470" s="13"/>
      <c r="D1470" s="13"/>
      <c r="E1470" s="13"/>
      <c r="F1470" s="15"/>
      <c r="G1470" s="16"/>
      <c r="H1470" s="18"/>
      <c r="I1470" s="21"/>
      <c r="J1470" s="21"/>
      <c r="K1470" s="216"/>
      <c r="L1470" s="216"/>
      <c r="M1470" s="216"/>
      <c r="N1470" s="216"/>
      <c r="O1470" s="216"/>
      <c r="P1470" s="216"/>
      <c r="Q1470" s="216"/>
    </row>
    <row r="1471">
      <c r="A1471" s="11"/>
      <c r="B1471" s="98"/>
      <c r="C1471" s="13"/>
      <c r="D1471" s="13"/>
      <c r="E1471" s="13"/>
      <c r="F1471" s="15"/>
      <c r="G1471" s="16"/>
      <c r="H1471" s="18"/>
      <c r="I1471" s="21"/>
      <c r="J1471" s="21"/>
      <c r="K1471" s="216"/>
      <c r="L1471" s="216"/>
      <c r="M1471" s="216"/>
      <c r="N1471" s="216"/>
      <c r="O1471" s="216"/>
      <c r="P1471" s="216"/>
      <c r="Q1471" s="216"/>
    </row>
    <row r="1472">
      <c r="A1472" s="11"/>
      <c r="B1472" s="98"/>
      <c r="C1472" s="13"/>
      <c r="D1472" s="13"/>
      <c r="E1472" s="13"/>
      <c r="F1472" s="15"/>
      <c r="G1472" s="16"/>
      <c r="H1472" s="18"/>
      <c r="I1472" s="21"/>
      <c r="J1472" s="21"/>
      <c r="K1472" s="216"/>
      <c r="L1472" s="216"/>
      <c r="M1472" s="216"/>
      <c r="N1472" s="216"/>
      <c r="O1472" s="216"/>
      <c r="P1472" s="216"/>
      <c r="Q1472" s="216"/>
    </row>
    <row r="1473">
      <c r="A1473" s="11"/>
      <c r="B1473" s="98"/>
      <c r="C1473" s="13"/>
      <c r="D1473" s="13"/>
      <c r="E1473" s="13"/>
      <c r="F1473" s="15"/>
      <c r="G1473" s="16"/>
      <c r="H1473" s="18"/>
      <c r="I1473" s="21"/>
      <c r="J1473" s="21"/>
      <c r="K1473" s="216"/>
      <c r="L1473" s="216"/>
      <c r="M1473" s="216"/>
      <c r="N1473" s="216"/>
      <c r="O1473" s="216"/>
      <c r="P1473" s="216"/>
      <c r="Q1473" s="216"/>
    </row>
    <row r="1474">
      <c r="A1474" s="11"/>
      <c r="B1474" s="98"/>
      <c r="C1474" s="13"/>
      <c r="D1474" s="13"/>
      <c r="E1474" s="13"/>
      <c r="F1474" s="15"/>
      <c r="G1474" s="16"/>
      <c r="H1474" s="18"/>
      <c r="I1474" s="21"/>
      <c r="J1474" s="21"/>
      <c r="K1474" s="216"/>
      <c r="L1474" s="216"/>
      <c r="M1474" s="216"/>
      <c r="N1474" s="216"/>
      <c r="O1474" s="216"/>
      <c r="P1474" s="216"/>
      <c r="Q1474" s="216"/>
    </row>
    <row r="1475">
      <c r="A1475" s="11"/>
      <c r="B1475" s="98"/>
      <c r="C1475" s="13"/>
      <c r="D1475" s="13"/>
      <c r="E1475" s="13"/>
      <c r="F1475" s="15"/>
      <c r="G1475" s="16"/>
      <c r="H1475" s="18"/>
      <c r="I1475" s="21"/>
      <c r="J1475" s="21"/>
      <c r="K1475" s="216"/>
      <c r="L1475" s="216"/>
      <c r="M1475" s="216"/>
      <c r="N1475" s="216"/>
      <c r="O1475" s="216"/>
      <c r="P1475" s="216"/>
      <c r="Q1475" s="216"/>
    </row>
    <row r="1476">
      <c r="A1476" s="11"/>
      <c r="B1476" s="98"/>
      <c r="C1476" s="13"/>
      <c r="D1476" s="13"/>
      <c r="E1476" s="13"/>
      <c r="F1476" s="15"/>
      <c r="G1476" s="16"/>
      <c r="H1476" s="18"/>
      <c r="I1476" s="21"/>
      <c r="J1476" s="21"/>
      <c r="K1476" s="216"/>
      <c r="L1476" s="216"/>
      <c r="M1476" s="216"/>
      <c r="N1476" s="216"/>
      <c r="O1476" s="216"/>
      <c r="P1476" s="216"/>
      <c r="Q1476" s="216"/>
    </row>
    <row r="1477">
      <c r="A1477" s="11"/>
      <c r="B1477" s="98"/>
      <c r="C1477" s="13"/>
      <c r="D1477" s="13"/>
      <c r="E1477" s="13"/>
      <c r="F1477" s="15"/>
      <c r="G1477" s="16"/>
      <c r="H1477" s="18"/>
      <c r="I1477" s="21"/>
      <c r="J1477" s="21"/>
      <c r="K1477" s="216"/>
      <c r="L1477" s="216"/>
      <c r="M1477" s="216"/>
      <c r="N1477" s="216"/>
      <c r="O1477" s="216"/>
      <c r="P1477" s="216"/>
      <c r="Q1477" s="216"/>
    </row>
    <row r="1478">
      <c r="A1478" s="11"/>
      <c r="B1478" s="98"/>
      <c r="C1478" s="13"/>
      <c r="D1478" s="13"/>
      <c r="E1478" s="13"/>
      <c r="F1478" s="15"/>
      <c r="G1478" s="16"/>
      <c r="H1478" s="18"/>
      <c r="I1478" s="21"/>
      <c r="J1478" s="21"/>
      <c r="K1478" s="216"/>
      <c r="L1478" s="216"/>
      <c r="M1478" s="216"/>
      <c r="N1478" s="216"/>
      <c r="O1478" s="216"/>
      <c r="P1478" s="216"/>
      <c r="Q1478" s="216"/>
    </row>
    <row r="1479">
      <c r="A1479" s="11"/>
      <c r="B1479" s="98"/>
      <c r="C1479" s="13"/>
      <c r="D1479" s="13"/>
      <c r="E1479" s="13"/>
      <c r="F1479" s="15"/>
      <c r="G1479" s="16"/>
      <c r="H1479" s="18"/>
      <c r="I1479" s="21"/>
      <c r="J1479" s="21"/>
      <c r="K1479" s="216"/>
      <c r="L1479" s="216"/>
      <c r="M1479" s="216"/>
      <c r="N1479" s="216"/>
      <c r="O1479" s="216"/>
      <c r="P1479" s="216"/>
      <c r="Q1479" s="216"/>
    </row>
    <row r="1480">
      <c r="A1480" s="11"/>
      <c r="B1480" s="98"/>
      <c r="C1480" s="13"/>
      <c r="D1480" s="13"/>
      <c r="E1480" s="13"/>
      <c r="F1480" s="15"/>
      <c r="G1480" s="16"/>
      <c r="H1480" s="18"/>
      <c r="I1480" s="21"/>
      <c r="J1480" s="21"/>
      <c r="K1480" s="216"/>
      <c r="L1480" s="216"/>
      <c r="M1480" s="216"/>
      <c r="N1480" s="216"/>
      <c r="O1480" s="216"/>
      <c r="P1480" s="216"/>
      <c r="Q1480" s="216"/>
    </row>
    <row r="1481">
      <c r="A1481" s="11"/>
      <c r="B1481" s="98"/>
      <c r="C1481" s="13"/>
      <c r="D1481" s="13"/>
      <c r="E1481" s="13"/>
      <c r="F1481" s="15"/>
      <c r="G1481" s="16"/>
      <c r="H1481" s="18"/>
      <c r="I1481" s="21"/>
      <c r="J1481" s="21"/>
      <c r="K1481" s="216"/>
      <c r="L1481" s="216"/>
      <c r="M1481" s="216"/>
      <c r="N1481" s="216"/>
      <c r="O1481" s="216"/>
      <c r="P1481" s="216"/>
      <c r="Q1481" s="216"/>
    </row>
    <row r="1482">
      <c r="A1482" s="11"/>
      <c r="B1482" s="98"/>
      <c r="C1482" s="13"/>
      <c r="D1482" s="13"/>
      <c r="E1482" s="13"/>
      <c r="F1482" s="15"/>
      <c r="G1482" s="16"/>
      <c r="H1482" s="18"/>
      <c r="I1482" s="21"/>
      <c r="J1482" s="21"/>
      <c r="K1482" s="216"/>
      <c r="L1482" s="216"/>
      <c r="M1482" s="216"/>
      <c r="N1482" s="216"/>
      <c r="O1482" s="216"/>
      <c r="P1482" s="216"/>
      <c r="Q1482" s="216"/>
    </row>
    <row r="1483">
      <c r="A1483" s="11"/>
      <c r="B1483" s="98"/>
      <c r="C1483" s="13"/>
      <c r="D1483" s="13"/>
      <c r="E1483" s="13"/>
      <c r="F1483" s="15"/>
      <c r="G1483" s="16"/>
      <c r="H1483" s="18"/>
      <c r="I1483" s="21"/>
      <c r="J1483" s="21"/>
      <c r="K1483" s="216"/>
      <c r="L1483" s="216"/>
      <c r="M1483" s="216"/>
      <c r="N1483" s="216"/>
      <c r="O1483" s="216"/>
      <c r="P1483" s="216"/>
      <c r="Q1483" s="216"/>
    </row>
    <row r="1484">
      <c r="A1484" s="11"/>
      <c r="B1484" s="98"/>
      <c r="C1484" s="13"/>
      <c r="D1484" s="13"/>
      <c r="E1484" s="13"/>
      <c r="F1484" s="15"/>
      <c r="G1484" s="16"/>
      <c r="H1484" s="18"/>
      <c r="I1484" s="21"/>
      <c r="J1484" s="21"/>
      <c r="K1484" s="216"/>
      <c r="L1484" s="216"/>
      <c r="M1484" s="216"/>
      <c r="N1484" s="216"/>
      <c r="O1484" s="216"/>
      <c r="P1484" s="216"/>
      <c r="Q1484" s="216"/>
    </row>
    <row r="1485">
      <c r="A1485" s="11"/>
      <c r="B1485" s="98"/>
      <c r="C1485" s="13"/>
      <c r="D1485" s="13"/>
      <c r="E1485" s="13"/>
      <c r="F1485" s="15"/>
      <c r="G1485" s="16"/>
      <c r="H1485" s="18"/>
      <c r="I1485" s="21"/>
      <c r="J1485" s="21"/>
      <c r="K1485" s="216"/>
      <c r="L1485" s="216"/>
      <c r="M1485" s="216"/>
      <c r="N1485" s="216"/>
      <c r="O1485" s="216"/>
      <c r="P1485" s="216"/>
      <c r="Q1485" s="216"/>
    </row>
    <row r="1486">
      <c r="A1486" s="11"/>
      <c r="B1486" s="98"/>
      <c r="C1486" s="13"/>
      <c r="D1486" s="13"/>
      <c r="E1486" s="13"/>
      <c r="F1486" s="15"/>
      <c r="G1486" s="16"/>
      <c r="H1486" s="18"/>
      <c r="I1486" s="21"/>
      <c r="J1486" s="21"/>
      <c r="K1486" s="216"/>
      <c r="L1486" s="216"/>
      <c r="M1486" s="216"/>
      <c r="N1486" s="216"/>
      <c r="O1486" s="216"/>
      <c r="P1486" s="216"/>
      <c r="Q1486" s="216"/>
    </row>
    <row r="1487">
      <c r="A1487" s="11"/>
      <c r="B1487" s="98"/>
      <c r="C1487" s="13"/>
      <c r="D1487" s="13"/>
      <c r="E1487" s="13"/>
      <c r="F1487" s="15"/>
      <c r="G1487" s="16"/>
      <c r="H1487" s="18"/>
      <c r="I1487" s="21"/>
      <c r="J1487" s="21"/>
      <c r="K1487" s="216"/>
      <c r="L1487" s="216"/>
      <c r="M1487" s="216"/>
      <c r="N1487" s="216"/>
      <c r="O1487" s="216"/>
      <c r="P1487" s="216"/>
      <c r="Q1487" s="216"/>
    </row>
    <row r="1488">
      <c r="A1488" s="11"/>
      <c r="B1488" s="98"/>
      <c r="C1488" s="13"/>
      <c r="D1488" s="13"/>
      <c r="E1488" s="13"/>
      <c r="F1488" s="15"/>
      <c r="G1488" s="16"/>
      <c r="H1488" s="18"/>
      <c r="I1488" s="21"/>
      <c r="J1488" s="21"/>
      <c r="K1488" s="216"/>
      <c r="L1488" s="216"/>
      <c r="M1488" s="216"/>
      <c r="N1488" s="216"/>
      <c r="O1488" s="216"/>
      <c r="P1488" s="216"/>
      <c r="Q1488" s="216"/>
    </row>
    <row r="1489">
      <c r="A1489" s="11"/>
      <c r="B1489" s="98"/>
      <c r="C1489" s="13"/>
      <c r="D1489" s="13"/>
      <c r="E1489" s="13"/>
      <c r="F1489" s="15"/>
      <c r="G1489" s="16"/>
      <c r="H1489" s="18"/>
      <c r="I1489" s="21"/>
      <c r="J1489" s="21"/>
      <c r="K1489" s="216"/>
      <c r="L1489" s="216"/>
      <c r="M1489" s="216"/>
      <c r="N1489" s="216"/>
      <c r="O1489" s="216"/>
      <c r="P1489" s="216"/>
      <c r="Q1489" s="216"/>
    </row>
    <row r="1490">
      <c r="A1490" s="11"/>
      <c r="B1490" s="98"/>
      <c r="C1490" s="13"/>
      <c r="D1490" s="13"/>
      <c r="E1490" s="13"/>
      <c r="F1490" s="15"/>
      <c r="G1490" s="16"/>
      <c r="H1490" s="18"/>
      <c r="I1490" s="21"/>
      <c r="J1490" s="21"/>
      <c r="K1490" s="216"/>
      <c r="L1490" s="216"/>
      <c r="M1490" s="216"/>
      <c r="N1490" s="216"/>
      <c r="O1490" s="216"/>
      <c r="P1490" s="216"/>
      <c r="Q1490" s="216"/>
    </row>
    <row r="1491">
      <c r="A1491" s="11"/>
      <c r="B1491" s="98"/>
      <c r="C1491" s="13"/>
      <c r="D1491" s="13"/>
      <c r="E1491" s="13"/>
      <c r="F1491" s="15"/>
      <c r="G1491" s="16"/>
      <c r="H1491" s="18"/>
      <c r="I1491" s="21"/>
      <c r="J1491" s="21"/>
      <c r="K1491" s="216"/>
      <c r="L1491" s="216"/>
      <c r="M1491" s="216"/>
      <c r="N1491" s="216"/>
      <c r="O1491" s="216"/>
      <c r="P1491" s="216"/>
      <c r="Q1491" s="216"/>
    </row>
    <row r="1492">
      <c r="A1492" s="11"/>
      <c r="B1492" s="98"/>
      <c r="C1492" s="13"/>
      <c r="D1492" s="13"/>
      <c r="E1492" s="13"/>
      <c r="F1492" s="15"/>
      <c r="G1492" s="16"/>
      <c r="H1492" s="18"/>
      <c r="I1492" s="21"/>
      <c r="J1492" s="21"/>
      <c r="K1492" s="216"/>
      <c r="L1492" s="216"/>
      <c r="M1492" s="216"/>
      <c r="N1492" s="216"/>
      <c r="O1492" s="216"/>
      <c r="P1492" s="216"/>
      <c r="Q1492" s="216"/>
    </row>
    <row r="1493">
      <c r="A1493" s="11"/>
      <c r="B1493" s="98"/>
      <c r="C1493" s="13"/>
      <c r="D1493" s="13"/>
      <c r="E1493" s="13"/>
      <c r="F1493" s="15"/>
      <c r="G1493" s="16"/>
      <c r="H1493" s="18"/>
      <c r="I1493" s="21"/>
      <c r="J1493" s="21"/>
      <c r="K1493" s="216"/>
      <c r="L1493" s="216"/>
      <c r="M1493" s="216"/>
      <c r="N1493" s="216"/>
      <c r="O1493" s="216"/>
      <c r="P1493" s="216"/>
      <c r="Q1493" s="216"/>
    </row>
    <row r="1494">
      <c r="A1494" s="11"/>
      <c r="B1494" s="98"/>
      <c r="C1494" s="13"/>
      <c r="D1494" s="13"/>
      <c r="E1494" s="13"/>
      <c r="F1494" s="15"/>
      <c r="G1494" s="16"/>
      <c r="H1494" s="18"/>
      <c r="I1494" s="21"/>
      <c r="J1494" s="21"/>
      <c r="K1494" s="216"/>
      <c r="L1494" s="216"/>
      <c r="M1494" s="216"/>
      <c r="N1494" s="216"/>
      <c r="O1494" s="216"/>
      <c r="P1494" s="216"/>
      <c r="Q1494" s="216"/>
    </row>
    <row r="1495">
      <c r="A1495" s="11"/>
      <c r="B1495" s="98"/>
      <c r="C1495" s="13"/>
      <c r="D1495" s="13"/>
      <c r="E1495" s="13"/>
      <c r="F1495" s="15"/>
      <c r="G1495" s="16"/>
      <c r="H1495" s="18"/>
      <c r="I1495" s="21"/>
      <c r="J1495" s="21"/>
      <c r="K1495" s="216"/>
      <c r="L1495" s="216"/>
      <c r="M1495" s="216"/>
      <c r="N1495" s="216"/>
      <c r="O1495" s="216"/>
      <c r="P1495" s="216"/>
      <c r="Q1495" s="216"/>
    </row>
    <row r="1496">
      <c r="A1496" s="11"/>
      <c r="B1496" s="98"/>
      <c r="C1496" s="13"/>
      <c r="D1496" s="13"/>
      <c r="E1496" s="13"/>
      <c r="F1496" s="15"/>
      <c r="G1496" s="16"/>
      <c r="H1496" s="18"/>
      <c r="I1496" s="21"/>
      <c r="J1496" s="21"/>
      <c r="K1496" s="216"/>
      <c r="L1496" s="216"/>
      <c r="M1496" s="216"/>
      <c r="N1496" s="216"/>
      <c r="O1496" s="216"/>
      <c r="P1496" s="216"/>
      <c r="Q1496" s="216"/>
    </row>
    <row r="1497">
      <c r="A1497" s="11"/>
      <c r="B1497" s="98"/>
      <c r="C1497" s="13"/>
      <c r="D1497" s="13"/>
      <c r="E1497" s="13"/>
      <c r="F1497" s="15"/>
      <c r="G1497" s="16"/>
      <c r="H1497" s="18"/>
      <c r="I1497" s="21"/>
      <c r="J1497" s="21"/>
      <c r="K1497" s="216"/>
      <c r="L1497" s="216"/>
      <c r="M1497" s="216"/>
      <c r="N1497" s="216"/>
      <c r="O1497" s="216"/>
      <c r="P1497" s="216"/>
      <c r="Q1497" s="216"/>
    </row>
    <row r="1498">
      <c r="A1498" s="11"/>
      <c r="B1498" s="98"/>
      <c r="C1498" s="13"/>
      <c r="D1498" s="13"/>
      <c r="E1498" s="13"/>
      <c r="F1498" s="15"/>
      <c r="G1498" s="16"/>
      <c r="H1498" s="18"/>
      <c r="I1498" s="21"/>
      <c r="J1498" s="21"/>
      <c r="K1498" s="216"/>
      <c r="L1498" s="216"/>
      <c r="M1498" s="216"/>
      <c r="N1498" s="216"/>
      <c r="O1498" s="216"/>
      <c r="P1498" s="216"/>
      <c r="Q1498" s="216"/>
    </row>
    <row r="1499">
      <c r="A1499" s="11"/>
      <c r="B1499" s="98"/>
      <c r="C1499" s="13"/>
      <c r="D1499" s="13"/>
      <c r="E1499" s="13"/>
      <c r="F1499" s="15"/>
      <c r="G1499" s="16"/>
      <c r="H1499" s="18"/>
      <c r="I1499" s="21"/>
      <c r="J1499" s="21"/>
      <c r="K1499" s="216"/>
      <c r="L1499" s="216"/>
      <c r="M1499" s="216"/>
      <c r="N1499" s="216"/>
      <c r="O1499" s="216"/>
      <c r="P1499" s="216"/>
      <c r="Q1499" s="216"/>
    </row>
    <row r="1500">
      <c r="A1500" s="11"/>
      <c r="B1500" s="98"/>
      <c r="C1500" s="13"/>
      <c r="D1500" s="13"/>
      <c r="E1500" s="13"/>
      <c r="F1500" s="15"/>
      <c r="G1500" s="16"/>
      <c r="H1500" s="18"/>
      <c r="I1500" s="21"/>
      <c r="J1500" s="21"/>
      <c r="K1500" s="216"/>
      <c r="L1500" s="216"/>
      <c r="M1500" s="216"/>
      <c r="N1500" s="216"/>
      <c r="O1500" s="216"/>
      <c r="P1500" s="216"/>
      <c r="Q1500" s="216"/>
    </row>
    <row r="1501">
      <c r="A1501" s="11"/>
      <c r="B1501" s="98"/>
      <c r="C1501" s="13"/>
      <c r="D1501" s="13"/>
      <c r="E1501" s="13"/>
      <c r="F1501" s="15"/>
      <c r="G1501" s="16"/>
      <c r="H1501" s="18"/>
      <c r="I1501" s="21"/>
      <c r="J1501" s="21"/>
      <c r="K1501" s="216"/>
      <c r="L1501" s="216"/>
      <c r="M1501" s="216"/>
      <c r="N1501" s="216"/>
      <c r="O1501" s="216"/>
      <c r="P1501" s="216"/>
      <c r="Q1501" s="216"/>
    </row>
    <row r="1502">
      <c r="A1502" s="11"/>
      <c r="B1502" s="98"/>
      <c r="C1502" s="13"/>
      <c r="D1502" s="13"/>
      <c r="E1502" s="13"/>
      <c r="F1502" s="15"/>
      <c r="G1502" s="16"/>
      <c r="H1502" s="18"/>
      <c r="I1502" s="21"/>
      <c r="J1502" s="21"/>
      <c r="K1502" s="216"/>
      <c r="L1502" s="216"/>
      <c r="M1502" s="216"/>
      <c r="N1502" s="216"/>
      <c r="O1502" s="216"/>
      <c r="P1502" s="216"/>
      <c r="Q1502" s="216"/>
    </row>
    <row r="1503">
      <c r="A1503" s="11"/>
      <c r="B1503" s="98"/>
      <c r="C1503" s="13"/>
      <c r="D1503" s="13"/>
      <c r="E1503" s="13"/>
      <c r="F1503" s="15"/>
      <c r="G1503" s="16"/>
      <c r="H1503" s="18"/>
      <c r="I1503" s="21"/>
      <c r="J1503" s="21"/>
      <c r="K1503" s="216"/>
      <c r="L1503" s="216"/>
      <c r="M1503" s="216"/>
      <c r="N1503" s="216"/>
      <c r="O1503" s="216"/>
      <c r="P1503" s="216"/>
      <c r="Q1503" s="216"/>
    </row>
    <row r="1504">
      <c r="A1504" s="11"/>
      <c r="B1504" s="98"/>
      <c r="C1504" s="13"/>
      <c r="D1504" s="13"/>
      <c r="E1504" s="13"/>
      <c r="F1504" s="15"/>
      <c r="G1504" s="16"/>
      <c r="H1504" s="18"/>
      <c r="I1504" s="21"/>
      <c r="J1504" s="21"/>
      <c r="K1504" s="216"/>
      <c r="L1504" s="216"/>
      <c r="M1504" s="216"/>
      <c r="N1504" s="216"/>
      <c r="O1504" s="216"/>
      <c r="P1504" s="216"/>
      <c r="Q1504" s="216"/>
    </row>
    <row r="1505">
      <c r="A1505" s="11"/>
      <c r="B1505" s="98"/>
      <c r="C1505" s="13"/>
      <c r="D1505" s="13"/>
      <c r="E1505" s="13"/>
      <c r="F1505" s="15"/>
      <c r="G1505" s="16"/>
      <c r="H1505" s="18"/>
      <c r="I1505" s="21"/>
      <c r="J1505" s="21"/>
      <c r="K1505" s="216"/>
      <c r="L1505" s="216"/>
      <c r="M1505" s="216"/>
      <c r="N1505" s="216"/>
      <c r="O1505" s="216"/>
      <c r="P1505" s="216"/>
      <c r="Q1505" s="216"/>
    </row>
    <row r="1506">
      <c r="A1506" s="11"/>
      <c r="B1506" s="98"/>
      <c r="C1506" s="13"/>
      <c r="D1506" s="13"/>
      <c r="E1506" s="13"/>
      <c r="F1506" s="15"/>
      <c r="G1506" s="16"/>
      <c r="H1506" s="18"/>
      <c r="I1506" s="21"/>
      <c r="J1506" s="21"/>
      <c r="K1506" s="216"/>
      <c r="L1506" s="216"/>
      <c r="M1506" s="216"/>
      <c r="N1506" s="216"/>
      <c r="O1506" s="216"/>
      <c r="P1506" s="216"/>
      <c r="Q1506" s="216"/>
    </row>
    <row r="1507">
      <c r="A1507" s="11"/>
      <c r="B1507" s="98"/>
      <c r="C1507" s="13"/>
      <c r="D1507" s="13"/>
      <c r="E1507" s="13"/>
      <c r="F1507" s="15"/>
      <c r="G1507" s="16"/>
      <c r="H1507" s="18"/>
      <c r="I1507" s="21"/>
      <c r="J1507" s="21"/>
      <c r="K1507" s="216"/>
      <c r="L1507" s="216"/>
      <c r="M1507" s="216"/>
      <c r="N1507" s="216"/>
      <c r="O1507" s="216"/>
      <c r="P1507" s="216"/>
      <c r="Q1507" s="216"/>
    </row>
    <row r="1508">
      <c r="A1508" s="11"/>
      <c r="B1508" s="98"/>
      <c r="C1508" s="13"/>
      <c r="D1508" s="13"/>
      <c r="E1508" s="13"/>
      <c r="F1508" s="15"/>
      <c r="G1508" s="16"/>
      <c r="H1508" s="18"/>
      <c r="I1508" s="21"/>
      <c r="J1508" s="21"/>
      <c r="K1508" s="216"/>
      <c r="L1508" s="216"/>
      <c r="M1508" s="216"/>
      <c r="N1508" s="216"/>
      <c r="O1508" s="216"/>
      <c r="P1508" s="216"/>
      <c r="Q1508" s="216"/>
    </row>
    <row r="1509">
      <c r="A1509" s="11"/>
      <c r="B1509" s="98"/>
      <c r="C1509" s="13"/>
      <c r="D1509" s="13"/>
      <c r="E1509" s="13"/>
      <c r="F1509" s="15"/>
      <c r="G1509" s="16"/>
      <c r="H1509" s="18"/>
      <c r="I1509" s="21"/>
      <c r="J1509" s="21"/>
      <c r="K1509" s="216"/>
      <c r="L1509" s="216"/>
      <c r="M1509" s="216"/>
      <c r="N1509" s="216"/>
      <c r="O1509" s="216"/>
      <c r="P1509" s="216"/>
      <c r="Q1509" s="216"/>
    </row>
    <row r="1510">
      <c r="A1510" s="11"/>
      <c r="B1510" s="98"/>
      <c r="C1510" s="13"/>
      <c r="D1510" s="13"/>
      <c r="E1510" s="13"/>
      <c r="F1510" s="15"/>
      <c r="G1510" s="16"/>
      <c r="H1510" s="18"/>
      <c r="I1510" s="21"/>
      <c r="J1510" s="21"/>
      <c r="K1510" s="216"/>
      <c r="L1510" s="216"/>
      <c r="M1510" s="216"/>
      <c r="N1510" s="216"/>
      <c r="O1510" s="216"/>
      <c r="P1510" s="216"/>
      <c r="Q1510" s="216"/>
    </row>
    <row r="1511">
      <c r="A1511" s="11"/>
      <c r="B1511" s="98"/>
      <c r="C1511" s="13"/>
      <c r="D1511" s="13"/>
      <c r="E1511" s="13"/>
      <c r="F1511" s="15"/>
      <c r="G1511" s="16"/>
      <c r="H1511" s="18"/>
      <c r="I1511" s="21"/>
      <c r="J1511" s="21"/>
      <c r="K1511" s="216"/>
      <c r="L1511" s="216"/>
      <c r="M1511" s="216"/>
      <c r="N1511" s="216"/>
      <c r="O1511" s="216"/>
      <c r="P1511" s="216"/>
      <c r="Q1511" s="216"/>
    </row>
    <row r="1512">
      <c r="A1512" s="11"/>
      <c r="B1512" s="98"/>
      <c r="C1512" s="13"/>
      <c r="D1512" s="13"/>
      <c r="E1512" s="13"/>
      <c r="F1512" s="15"/>
      <c r="G1512" s="16"/>
      <c r="H1512" s="18"/>
      <c r="I1512" s="21"/>
      <c r="J1512" s="21"/>
      <c r="K1512" s="216"/>
      <c r="L1512" s="216"/>
      <c r="M1512" s="216"/>
      <c r="N1512" s="216"/>
      <c r="O1512" s="216"/>
      <c r="P1512" s="216"/>
      <c r="Q1512" s="216"/>
    </row>
    <row r="1513">
      <c r="A1513" s="11"/>
      <c r="B1513" s="98"/>
      <c r="C1513" s="13"/>
      <c r="D1513" s="13"/>
      <c r="E1513" s="13"/>
      <c r="F1513" s="15"/>
      <c r="G1513" s="16"/>
      <c r="H1513" s="18"/>
      <c r="I1513" s="21"/>
      <c r="J1513" s="21"/>
      <c r="K1513" s="216"/>
      <c r="L1513" s="216"/>
      <c r="M1513" s="216"/>
      <c r="N1513" s="216"/>
      <c r="O1513" s="216"/>
      <c r="P1513" s="216"/>
      <c r="Q1513" s="216"/>
    </row>
    <row r="1514">
      <c r="A1514" s="11"/>
      <c r="B1514" s="98"/>
      <c r="C1514" s="13"/>
      <c r="D1514" s="13"/>
      <c r="E1514" s="13"/>
      <c r="F1514" s="15"/>
      <c r="G1514" s="16"/>
      <c r="H1514" s="18"/>
      <c r="I1514" s="21"/>
      <c r="J1514" s="21"/>
      <c r="K1514" s="216"/>
      <c r="L1514" s="216"/>
      <c r="M1514" s="216"/>
      <c r="N1514" s="216"/>
      <c r="O1514" s="216"/>
      <c r="P1514" s="216"/>
      <c r="Q1514" s="216"/>
    </row>
    <row r="1515">
      <c r="A1515" s="11"/>
      <c r="B1515" s="98"/>
      <c r="C1515" s="13"/>
      <c r="D1515" s="13"/>
      <c r="E1515" s="13"/>
      <c r="F1515" s="15"/>
      <c r="G1515" s="16"/>
      <c r="H1515" s="18"/>
      <c r="I1515" s="21"/>
      <c r="J1515" s="21"/>
      <c r="K1515" s="216"/>
      <c r="L1515" s="216"/>
      <c r="M1515" s="216"/>
      <c r="N1515" s="216"/>
      <c r="O1515" s="216"/>
      <c r="P1515" s="216"/>
      <c r="Q1515" s="216"/>
    </row>
    <row r="1516">
      <c r="A1516" s="11"/>
      <c r="B1516" s="98"/>
      <c r="C1516" s="13"/>
      <c r="D1516" s="13"/>
      <c r="E1516" s="13"/>
      <c r="F1516" s="15"/>
      <c r="G1516" s="16"/>
      <c r="H1516" s="18"/>
      <c r="I1516" s="21"/>
      <c r="J1516" s="21"/>
      <c r="K1516" s="216"/>
      <c r="L1516" s="216"/>
      <c r="M1516" s="216"/>
      <c r="N1516" s="216"/>
      <c r="O1516" s="216"/>
      <c r="P1516" s="216"/>
      <c r="Q1516" s="216"/>
    </row>
    <row r="1517">
      <c r="A1517" s="11"/>
      <c r="B1517" s="98"/>
      <c r="C1517" s="13"/>
      <c r="D1517" s="13"/>
      <c r="E1517" s="13"/>
      <c r="F1517" s="15"/>
      <c r="G1517" s="16"/>
      <c r="H1517" s="18"/>
      <c r="I1517" s="21"/>
      <c r="J1517" s="21"/>
      <c r="K1517" s="216"/>
      <c r="L1517" s="216"/>
      <c r="M1517" s="216"/>
      <c r="N1517" s="216"/>
      <c r="O1517" s="216"/>
      <c r="P1517" s="216"/>
      <c r="Q1517" s="216"/>
    </row>
    <row r="1518">
      <c r="A1518" s="11"/>
      <c r="B1518" s="98"/>
      <c r="C1518" s="13"/>
      <c r="D1518" s="13"/>
      <c r="E1518" s="13"/>
      <c r="F1518" s="15"/>
      <c r="G1518" s="16"/>
      <c r="H1518" s="18"/>
      <c r="I1518" s="21"/>
      <c r="J1518" s="21"/>
      <c r="K1518" s="216"/>
      <c r="L1518" s="216"/>
      <c r="M1518" s="216"/>
      <c r="N1518" s="216"/>
      <c r="O1518" s="216"/>
      <c r="P1518" s="216"/>
      <c r="Q1518" s="216"/>
    </row>
    <row r="1519">
      <c r="A1519" s="11"/>
      <c r="B1519" s="98"/>
      <c r="C1519" s="13"/>
      <c r="D1519" s="13"/>
      <c r="E1519" s="13"/>
      <c r="F1519" s="15"/>
      <c r="G1519" s="16"/>
      <c r="H1519" s="18"/>
      <c r="I1519" s="21"/>
      <c r="J1519" s="21"/>
      <c r="K1519" s="216"/>
      <c r="L1519" s="216"/>
      <c r="M1519" s="216"/>
      <c r="N1519" s="216"/>
      <c r="O1519" s="216"/>
      <c r="P1519" s="216"/>
      <c r="Q1519" s="216"/>
    </row>
    <row r="1520">
      <c r="A1520" s="11"/>
      <c r="B1520" s="98"/>
      <c r="C1520" s="13"/>
      <c r="D1520" s="13"/>
      <c r="E1520" s="13"/>
      <c r="F1520" s="15"/>
      <c r="G1520" s="16"/>
      <c r="H1520" s="18"/>
      <c r="I1520" s="21"/>
      <c r="J1520" s="21"/>
      <c r="K1520" s="216"/>
      <c r="L1520" s="216"/>
      <c r="M1520" s="216"/>
      <c r="N1520" s="216"/>
      <c r="O1520" s="216"/>
      <c r="P1520" s="216"/>
      <c r="Q1520" s="216"/>
    </row>
    <row r="1521">
      <c r="A1521" s="11"/>
      <c r="B1521" s="98"/>
      <c r="C1521" s="13"/>
      <c r="D1521" s="13"/>
      <c r="E1521" s="13"/>
      <c r="F1521" s="15"/>
      <c r="G1521" s="16"/>
      <c r="H1521" s="18"/>
      <c r="I1521" s="21"/>
      <c r="J1521" s="21"/>
      <c r="K1521" s="216"/>
      <c r="L1521" s="216"/>
      <c r="M1521" s="216"/>
      <c r="N1521" s="216"/>
      <c r="O1521" s="216"/>
      <c r="P1521" s="216"/>
      <c r="Q1521" s="216"/>
    </row>
    <row r="1522">
      <c r="A1522" s="11"/>
      <c r="B1522" s="98"/>
      <c r="C1522" s="13"/>
      <c r="D1522" s="13"/>
      <c r="E1522" s="13"/>
      <c r="F1522" s="15"/>
      <c r="G1522" s="16"/>
      <c r="H1522" s="18"/>
      <c r="I1522" s="21"/>
      <c r="J1522" s="21"/>
      <c r="K1522" s="216"/>
      <c r="L1522" s="216"/>
      <c r="M1522" s="216"/>
      <c r="N1522" s="216"/>
      <c r="O1522" s="216"/>
      <c r="P1522" s="216"/>
      <c r="Q1522" s="216"/>
    </row>
    <row r="1523">
      <c r="A1523" s="11"/>
      <c r="B1523" s="98"/>
      <c r="C1523" s="13"/>
      <c r="D1523" s="13"/>
      <c r="E1523" s="13"/>
      <c r="F1523" s="15"/>
      <c r="G1523" s="16"/>
      <c r="H1523" s="18"/>
      <c r="I1523" s="21"/>
      <c r="J1523" s="21"/>
      <c r="K1523" s="216"/>
      <c r="L1523" s="216"/>
      <c r="M1523" s="216"/>
      <c r="N1523" s="216"/>
      <c r="O1523" s="216"/>
      <c r="P1523" s="216"/>
      <c r="Q1523" s="216"/>
    </row>
    <row r="1524">
      <c r="A1524" s="11"/>
      <c r="B1524" s="98"/>
      <c r="C1524" s="13"/>
      <c r="D1524" s="13"/>
      <c r="E1524" s="13"/>
      <c r="F1524" s="15"/>
      <c r="G1524" s="16"/>
      <c r="H1524" s="18"/>
      <c r="I1524" s="21"/>
      <c r="J1524" s="21"/>
      <c r="K1524" s="216"/>
      <c r="L1524" s="216"/>
      <c r="M1524" s="216"/>
      <c r="N1524" s="216"/>
      <c r="O1524" s="216"/>
      <c r="P1524" s="216"/>
      <c r="Q1524" s="216"/>
    </row>
    <row r="1525">
      <c r="A1525" s="11"/>
      <c r="B1525" s="98"/>
      <c r="C1525" s="13"/>
      <c r="D1525" s="13"/>
      <c r="E1525" s="13"/>
      <c r="F1525" s="15"/>
      <c r="G1525" s="16"/>
      <c r="H1525" s="18"/>
      <c r="I1525" s="21"/>
      <c r="J1525" s="21"/>
      <c r="K1525" s="216"/>
      <c r="L1525" s="216"/>
      <c r="M1525" s="216"/>
      <c r="N1525" s="216"/>
      <c r="O1525" s="216"/>
      <c r="P1525" s="216"/>
      <c r="Q1525" s="216"/>
    </row>
    <row r="1526">
      <c r="A1526" s="11"/>
      <c r="B1526" s="98"/>
      <c r="C1526" s="13"/>
      <c r="D1526" s="13"/>
      <c r="E1526" s="13"/>
      <c r="F1526" s="15"/>
      <c r="G1526" s="16"/>
      <c r="H1526" s="18"/>
      <c r="I1526" s="21"/>
      <c r="J1526" s="21"/>
      <c r="K1526" s="216"/>
      <c r="L1526" s="216"/>
      <c r="M1526" s="216"/>
      <c r="N1526" s="216"/>
      <c r="O1526" s="216"/>
      <c r="P1526" s="216"/>
      <c r="Q1526" s="216"/>
    </row>
    <row r="1527">
      <c r="A1527" s="11"/>
      <c r="B1527" s="98"/>
      <c r="C1527" s="13"/>
      <c r="D1527" s="13"/>
      <c r="E1527" s="13"/>
      <c r="F1527" s="15"/>
      <c r="G1527" s="16"/>
      <c r="H1527" s="18"/>
      <c r="I1527" s="21"/>
      <c r="J1527" s="21"/>
      <c r="K1527" s="216"/>
      <c r="L1527" s="216"/>
      <c r="M1527" s="216"/>
      <c r="N1527" s="216"/>
      <c r="O1527" s="216"/>
      <c r="P1527" s="216"/>
      <c r="Q1527" s="216"/>
    </row>
    <row r="1528">
      <c r="A1528" s="11"/>
      <c r="B1528" s="98"/>
      <c r="C1528" s="13"/>
      <c r="D1528" s="13"/>
      <c r="E1528" s="13"/>
      <c r="F1528" s="15"/>
      <c r="G1528" s="16"/>
      <c r="H1528" s="18"/>
      <c r="I1528" s="21"/>
      <c r="J1528" s="21"/>
      <c r="K1528" s="216"/>
      <c r="L1528" s="216"/>
      <c r="M1528" s="216"/>
      <c r="N1528" s="216"/>
      <c r="O1528" s="216"/>
      <c r="P1528" s="216"/>
      <c r="Q1528" s="216"/>
    </row>
    <row r="1529">
      <c r="A1529" s="11"/>
      <c r="B1529" s="98"/>
      <c r="C1529" s="13"/>
      <c r="D1529" s="13"/>
      <c r="E1529" s="13"/>
      <c r="F1529" s="15"/>
      <c r="G1529" s="16"/>
      <c r="H1529" s="18"/>
      <c r="I1529" s="21"/>
      <c r="J1529" s="21"/>
      <c r="K1529" s="216"/>
      <c r="L1529" s="216"/>
      <c r="M1529" s="216"/>
      <c r="N1529" s="216"/>
      <c r="O1529" s="216"/>
      <c r="P1529" s="216"/>
      <c r="Q1529" s="216"/>
    </row>
    <row r="1530">
      <c r="A1530" s="11"/>
      <c r="B1530" s="98"/>
      <c r="C1530" s="13"/>
      <c r="D1530" s="13"/>
      <c r="E1530" s="13"/>
      <c r="F1530" s="15"/>
      <c r="G1530" s="16"/>
      <c r="H1530" s="18"/>
      <c r="I1530" s="21"/>
      <c r="J1530" s="21"/>
      <c r="K1530" s="216"/>
      <c r="L1530" s="216"/>
      <c r="M1530" s="216"/>
      <c r="N1530" s="216"/>
      <c r="O1530" s="216"/>
      <c r="P1530" s="216"/>
      <c r="Q1530" s="216"/>
    </row>
    <row r="1531">
      <c r="A1531" s="11"/>
      <c r="B1531" s="98"/>
      <c r="C1531" s="13"/>
      <c r="D1531" s="13"/>
      <c r="E1531" s="13"/>
      <c r="F1531" s="15"/>
      <c r="G1531" s="16"/>
      <c r="H1531" s="18"/>
      <c r="I1531" s="21"/>
      <c r="J1531" s="21"/>
      <c r="K1531" s="216"/>
      <c r="L1531" s="216"/>
      <c r="M1531" s="216"/>
      <c r="N1531" s="216"/>
      <c r="O1531" s="216"/>
      <c r="P1531" s="216"/>
      <c r="Q1531" s="216"/>
    </row>
    <row r="1532">
      <c r="A1532" s="11"/>
      <c r="B1532" s="98"/>
      <c r="C1532" s="13"/>
      <c r="D1532" s="13"/>
      <c r="E1532" s="13"/>
      <c r="F1532" s="15"/>
      <c r="G1532" s="16"/>
      <c r="H1532" s="18"/>
      <c r="I1532" s="21"/>
      <c r="J1532" s="21"/>
      <c r="K1532" s="216"/>
      <c r="L1532" s="216"/>
      <c r="M1532" s="216"/>
      <c r="N1532" s="216"/>
      <c r="O1532" s="216"/>
      <c r="P1532" s="216"/>
      <c r="Q1532" s="216"/>
    </row>
    <row r="1533">
      <c r="A1533" s="11"/>
      <c r="B1533" s="98"/>
      <c r="C1533" s="13"/>
      <c r="D1533" s="13"/>
      <c r="E1533" s="13"/>
      <c r="F1533" s="15"/>
      <c r="G1533" s="16"/>
      <c r="H1533" s="18"/>
      <c r="I1533" s="21"/>
      <c r="J1533" s="21"/>
      <c r="K1533" s="216"/>
      <c r="L1533" s="216"/>
      <c r="M1533" s="216"/>
      <c r="N1533" s="216"/>
      <c r="O1533" s="216"/>
      <c r="P1533" s="216"/>
      <c r="Q1533" s="216"/>
    </row>
    <row r="1534">
      <c r="A1534" s="11"/>
      <c r="B1534" s="98"/>
      <c r="C1534" s="13"/>
      <c r="D1534" s="13"/>
      <c r="E1534" s="13"/>
      <c r="F1534" s="15"/>
      <c r="G1534" s="16"/>
      <c r="H1534" s="18"/>
      <c r="I1534" s="21"/>
      <c r="J1534" s="21"/>
      <c r="K1534" s="216"/>
      <c r="L1534" s="216"/>
      <c r="M1534" s="216"/>
      <c r="N1534" s="216"/>
      <c r="O1534" s="216"/>
      <c r="P1534" s="216"/>
      <c r="Q1534" s="216"/>
    </row>
    <row r="1535">
      <c r="A1535" s="11"/>
      <c r="B1535" s="98"/>
      <c r="C1535" s="13"/>
      <c r="D1535" s="13"/>
      <c r="E1535" s="13"/>
      <c r="F1535" s="15"/>
      <c r="G1535" s="16"/>
      <c r="H1535" s="18"/>
      <c r="I1535" s="21"/>
      <c r="J1535" s="21"/>
      <c r="K1535" s="216"/>
      <c r="L1535" s="216"/>
      <c r="M1535" s="216"/>
      <c r="N1535" s="216"/>
      <c r="O1535" s="216"/>
      <c r="P1535" s="216"/>
      <c r="Q1535" s="216"/>
    </row>
    <row r="1536">
      <c r="A1536" s="11"/>
      <c r="B1536" s="98"/>
      <c r="C1536" s="13"/>
      <c r="D1536" s="13"/>
      <c r="E1536" s="13"/>
      <c r="F1536" s="15"/>
      <c r="G1536" s="16"/>
      <c r="H1536" s="18"/>
      <c r="I1536" s="21"/>
      <c r="J1536" s="21"/>
      <c r="K1536" s="216"/>
      <c r="L1536" s="216"/>
      <c r="M1536" s="216"/>
      <c r="N1536" s="216"/>
      <c r="O1536" s="216"/>
      <c r="P1536" s="216"/>
      <c r="Q1536" s="216"/>
    </row>
    <row r="1537">
      <c r="A1537" s="11"/>
      <c r="B1537" s="98"/>
      <c r="C1537" s="13"/>
      <c r="D1537" s="13"/>
      <c r="E1537" s="13"/>
      <c r="F1537" s="15"/>
      <c r="G1537" s="16"/>
      <c r="H1537" s="18"/>
      <c r="I1537" s="21"/>
      <c r="J1537" s="21"/>
      <c r="K1537" s="216"/>
      <c r="L1537" s="216"/>
      <c r="M1537" s="216"/>
      <c r="N1537" s="216"/>
      <c r="O1537" s="216"/>
      <c r="P1537" s="216"/>
      <c r="Q1537" s="216"/>
    </row>
    <row r="1538">
      <c r="A1538" s="11"/>
      <c r="B1538" s="98"/>
      <c r="C1538" s="13"/>
      <c r="D1538" s="13"/>
      <c r="E1538" s="13"/>
      <c r="F1538" s="15"/>
      <c r="G1538" s="16"/>
      <c r="H1538" s="18"/>
      <c r="I1538" s="21"/>
      <c r="J1538" s="21"/>
      <c r="K1538" s="216"/>
      <c r="L1538" s="216"/>
      <c r="M1538" s="216"/>
      <c r="N1538" s="216"/>
      <c r="O1538" s="216"/>
      <c r="P1538" s="216"/>
      <c r="Q1538" s="216"/>
    </row>
    <row r="1539">
      <c r="A1539" s="11"/>
      <c r="B1539" s="98"/>
      <c r="C1539" s="13"/>
      <c r="D1539" s="13"/>
      <c r="E1539" s="13"/>
      <c r="F1539" s="15"/>
      <c r="G1539" s="16"/>
      <c r="H1539" s="18"/>
      <c r="I1539" s="21"/>
      <c r="J1539" s="21"/>
      <c r="K1539" s="216"/>
      <c r="L1539" s="216"/>
      <c r="M1539" s="216"/>
      <c r="N1539" s="216"/>
      <c r="O1539" s="216"/>
      <c r="P1539" s="216"/>
      <c r="Q1539" s="216"/>
    </row>
    <row r="1540">
      <c r="A1540" s="11"/>
      <c r="B1540" s="98"/>
      <c r="C1540" s="13"/>
      <c r="D1540" s="13"/>
      <c r="E1540" s="13"/>
      <c r="F1540" s="15"/>
      <c r="G1540" s="16"/>
      <c r="H1540" s="18"/>
      <c r="I1540" s="21"/>
      <c r="J1540" s="21"/>
      <c r="K1540" s="216"/>
      <c r="L1540" s="216"/>
      <c r="M1540" s="216"/>
      <c r="N1540" s="216"/>
      <c r="O1540" s="216"/>
      <c r="P1540" s="216"/>
      <c r="Q1540" s="216"/>
    </row>
    <row r="1541">
      <c r="A1541" s="11"/>
      <c r="B1541" s="98"/>
      <c r="C1541" s="13"/>
      <c r="D1541" s="13"/>
      <c r="E1541" s="13"/>
      <c r="F1541" s="15"/>
      <c r="G1541" s="16"/>
      <c r="H1541" s="18"/>
      <c r="I1541" s="21"/>
      <c r="J1541" s="21"/>
      <c r="K1541" s="216"/>
      <c r="L1541" s="216"/>
      <c r="M1541" s="216"/>
      <c r="N1541" s="216"/>
      <c r="O1541" s="216"/>
      <c r="P1541" s="216"/>
      <c r="Q1541" s="216"/>
    </row>
    <row r="1542">
      <c r="A1542" s="11"/>
      <c r="B1542" s="98"/>
      <c r="C1542" s="13"/>
      <c r="D1542" s="13"/>
      <c r="E1542" s="13"/>
      <c r="F1542" s="15"/>
      <c r="G1542" s="16"/>
      <c r="H1542" s="18"/>
      <c r="I1542" s="21"/>
      <c r="J1542" s="21"/>
      <c r="K1542" s="216"/>
      <c r="L1542" s="216"/>
      <c r="M1542" s="216"/>
      <c r="N1542" s="216"/>
      <c r="O1542" s="216"/>
      <c r="P1542" s="216"/>
      <c r="Q1542" s="216"/>
    </row>
    <row r="1543">
      <c r="A1543" s="11"/>
      <c r="B1543" s="98"/>
      <c r="C1543" s="13"/>
      <c r="D1543" s="13"/>
      <c r="E1543" s="13"/>
      <c r="F1543" s="15"/>
      <c r="G1543" s="16"/>
      <c r="H1543" s="18"/>
      <c r="I1543" s="21"/>
      <c r="J1543" s="21"/>
      <c r="K1543" s="216"/>
      <c r="L1543" s="216"/>
      <c r="M1543" s="216"/>
      <c r="N1543" s="216"/>
      <c r="O1543" s="216"/>
      <c r="P1543" s="216"/>
      <c r="Q1543" s="216"/>
    </row>
    <row r="1544">
      <c r="A1544" s="11"/>
      <c r="B1544" s="98"/>
      <c r="C1544" s="13"/>
      <c r="D1544" s="13"/>
      <c r="E1544" s="13"/>
      <c r="F1544" s="15"/>
      <c r="G1544" s="16"/>
      <c r="H1544" s="18"/>
      <c r="I1544" s="21"/>
      <c r="J1544" s="21"/>
      <c r="K1544" s="216"/>
      <c r="L1544" s="216"/>
      <c r="M1544" s="216"/>
      <c r="N1544" s="216"/>
      <c r="O1544" s="216"/>
      <c r="P1544" s="216"/>
      <c r="Q1544" s="216"/>
    </row>
    <row r="1545">
      <c r="A1545" s="11"/>
      <c r="B1545" s="98"/>
      <c r="C1545" s="13"/>
      <c r="D1545" s="13"/>
      <c r="E1545" s="13"/>
      <c r="F1545" s="15"/>
      <c r="G1545" s="16"/>
      <c r="H1545" s="18"/>
      <c r="I1545" s="21"/>
      <c r="J1545" s="21"/>
      <c r="K1545" s="216"/>
      <c r="L1545" s="216"/>
      <c r="M1545" s="216"/>
      <c r="N1545" s="216"/>
      <c r="O1545" s="216"/>
      <c r="P1545" s="216"/>
      <c r="Q1545" s="216"/>
    </row>
    <row r="1546">
      <c r="A1546" s="11"/>
      <c r="B1546" s="98"/>
      <c r="C1546" s="13"/>
      <c r="D1546" s="13"/>
      <c r="E1546" s="13"/>
      <c r="F1546" s="15"/>
      <c r="G1546" s="16"/>
      <c r="H1546" s="18"/>
      <c r="I1546" s="21"/>
      <c r="J1546" s="21"/>
      <c r="K1546" s="216"/>
      <c r="L1546" s="216"/>
      <c r="M1546" s="216"/>
      <c r="N1546" s="216"/>
      <c r="O1546" s="216"/>
      <c r="P1546" s="216"/>
      <c r="Q1546" s="216"/>
    </row>
    <row r="1547">
      <c r="A1547" s="11"/>
      <c r="B1547" s="98"/>
      <c r="C1547" s="13"/>
      <c r="D1547" s="13"/>
      <c r="E1547" s="13"/>
      <c r="F1547" s="15"/>
      <c r="G1547" s="16"/>
      <c r="H1547" s="18"/>
      <c r="I1547" s="21"/>
      <c r="J1547" s="21"/>
      <c r="K1547" s="216"/>
      <c r="L1547" s="216"/>
      <c r="M1547" s="216"/>
      <c r="N1547" s="216"/>
      <c r="O1547" s="216"/>
      <c r="P1547" s="216"/>
      <c r="Q1547" s="216"/>
    </row>
    <row r="1548">
      <c r="A1548" s="11"/>
      <c r="B1548" s="98"/>
      <c r="C1548" s="13"/>
      <c r="D1548" s="13"/>
      <c r="E1548" s="13"/>
      <c r="F1548" s="15"/>
      <c r="G1548" s="16"/>
      <c r="H1548" s="18"/>
      <c r="I1548" s="21"/>
      <c r="J1548" s="21"/>
      <c r="K1548" s="216"/>
      <c r="L1548" s="216"/>
      <c r="M1548" s="216"/>
      <c r="N1548" s="216"/>
      <c r="O1548" s="216"/>
      <c r="P1548" s="216"/>
      <c r="Q1548" s="216"/>
    </row>
    <row r="1549">
      <c r="A1549" s="11"/>
      <c r="B1549" s="98"/>
      <c r="C1549" s="13"/>
      <c r="D1549" s="13"/>
      <c r="E1549" s="13"/>
      <c r="F1549" s="15"/>
      <c r="G1549" s="16"/>
      <c r="H1549" s="18"/>
      <c r="I1549" s="21"/>
      <c r="J1549" s="21"/>
      <c r="K1549" s="216"/>
      <c r="L1549" s="216"/>
      <c r="M1549" s="216"/>
      <c r="N1549" s="216"/>
      <c r="O1549" s="216"/>
      <c r="P1549" s="216"/>
      <c r="Q1549" s="216"/>
    </row>
    <row r="1550">
      <c r="A1550" s="11"/>
      <c r="B1550" s="98"/>
      <c r="C1550" s="13"/>
      <c r="D1550" s="13"/>
      <c r="E1550" s="13"/>
      <c r="F1550" s="15"/>
      <c r="G1550" s="16"/>
      <c r="H1550" s="18"/>
      <c r="I1550" s="21"/>
      <c r="J1550" s="21"/>
      <c r="K1550" s="216"/>
      <c r="L1550" s="216"/>
      <c r="M1550" s="216"/>
      <c r="N1550" s="216"/>
      <c r="O1550" s="216"/>
      <c r="P1550" s="216"/>
      <c r="Q1550" s="216"/>
    </row>
    <row r="1551">
      <c r="A1551" s="11"/>
      <c r="B1551" s="98"/>
      <c r="C1551" s="13"/>
      <c r="D1551" s="13"/>
      <c r="E1551" s="13"/>
      <c r="F1551" s="15"/>
      <c r="G1551" s="16"/>
      <c r="H1551" s="18"/>
      <c r="I1551" s="21"/>
      <c r="J1551" s="21"/>
      <c r="K1551" s="216"/>
      <c r="L1551" s="216"/>
      <c r="M1551" s="216"/>
      <c r="N1551" s="216"/>
      <c r="O1551" s="216"/>
      <c r="P1551" s="216"/>
      <c r="Q1551" s="216"/>
    </row>
    <row r="1552">
      <c r="A1552" s="11"/>
      <c r="B1552" s="98"/>
      <c r="C1552" s="13"/>
      <c r="D1552" s="13"/>
      <c r="E1552" s="13"/>
      <c r="F1552" s="15"/>
      <c r="G1552" s="16"/>
      <c r="H1552" s="18"/>
      <c r="I1552" s="21"/>
      <c r="J1552" s="21"/>
      <c r="K1552" s="216"/>
      <c r="L1552" s="216"/>
      <c r="M1552" s="216"/>
      <c r="N1552" s="216"/>
      <c r="O1552" s="216"/>
      <c r="P1552" s="216"/>
      <c r="Q1552" s="216"/>
    </row>
    <row r="1553">
      <c r="A1553" s="11"/>
      <c r="B1553" s="98"/>
      <c r="C1553" s="13"/>
      <c r="D1553" s="13"/>
      <c r="E1553" s="13"/>
      <c r="F1553" s="15"/>
      <c r="G1553" s="16"/>
      <c r="H1553" s="18"/>
      <c r="I1553" s="21"/>
      <c r="J1553" s="21"/>
      <c r="K1553" s="216"/>
      <c r="L1553" s="216"/>
      <c r="M1553" s="216"/>
      <c r="N1553" s="216"/>
      <c r="O1553" s="216"/>
      <c r="P1553" s="216"/>
      <c r="Q1553" s="216"/>
    </row>
    <row r="1554">
      <c r="A1554" s="11"/>
      <c r="B1554" s="98"/>
      <c r="C1554" s="13"/>
      <c r="D1554" s="13"/>
      <c r="E1554" s="13"/>
      <c r="F1554" s="15"/>
      <c r="G1554" s="16"/>
      <c r="H1554" s="18"/>
      <c r="I1554" s="21"/>
      <c r="J1554" s="21"/>
      <c r="K1554" s="216"/>
      <c r="L1554" s="216"/>
      <c r="M1554" s="216"/>
      <c r="N1554" s="216"/>
      <c r="O1554" s="216"/>
      <c r="P1554" s="216"/>
      <c r="Q1554" s="216"/>
    </row>
    <row r="1555">
      <c r="A1555" s="11"/>
      <c r="B1555" s="98"/>
      <c r="C1555" s="13"/>
      <c r="D1555" s="13"/>
      <c r="E1555" s="13"/>
      <c r="F1555" s="15"/>
      <c r="G1555" s="16"/>
      <c r="H1555" s="18"/>
      <c r="I1555" s="21"/>
      <c r="J1555" s="21"/>
      <c r="K1555" s="216"/>
      <c r="L1555" s="216"/>
      <c r="M1555" s="216"/>
      <c r="N1555" s="216"/>
      <c r="O1555" s="216"/>
      <c r="P1555" s="216"/>
      <c r="Q1555" s="216"/>
    </row>
    <row r="1556">
      <c r="A1556" s="11"/>
      <c r="B1556" s="98"/>
      <c r="C1556" s="13"/>
      <c r="D1556" s="13"/>
      <c r="E1556" s="13"/>
      <c r="F1556" s="15"/>
      <c r="G1556" s="16"/>
      <c r="H1556" s="18"/>
      <c r="I1556" s="21"/>
      <c r="J1556" s="21"/>
      <c r="K1556" s="216"/>
      <c r="L1556" s="216"/>
      <c r="M1556" s="216"/>
      <c r="N1556" s="216"/>
      <c r="O1556" s="216"/>
      <c r="P1556" s="216"/>
      <c r="Q1556" s="216"/>
    </row>
    <row r="1557">
      <c r="A1557" s="11"/>
      <c r="B1557" s="98"/>
      <c r="C1557" s="13"/>
      <c r="D1557" s="13"/>
      <c r="E1557" s="13"/>
      <c r="F1557" s="15"/>
      <c r="G1557" s="16"/>
      <c r="H1557" s="18"/>
      <c r="I1557" s="21"/>
      <c r="J1557" s="21"/>
      <c r="K1557" s="216"/>
      <c r="L1557" s="216"/>
      <c r="M1557" s="216"/>
      <c r="N1557" s="216"/>
      <c r="O1557" s="216"/>
      <c r="P1557" s="216"/>
      <c r="Q1557" s="216"/>
    </row>
    <row r="1558">
      <c r="A1558" s="11"/>
      <c r="B1558" s="98"/>
      <c r="C1558" s="13"/>
      <c r="D1558" s="13"/>
      <c r="E1558" s="13"/>
      <c r="F1558" s="15"/>
      <c r="G1558" s="16"/>
      <c r="H1558" s="18"/>
      <c r="I1558" s="21"/>
      <c r="J1558" s="21"/>
      <c r="K1558" s="216"/>
      <c r="L1558" s="216"/>
      <c r="M1558" s="216"/>
      <c r="N1558" s="216"/>
      <c r="O1558" s="216"/>
      <c r="P1558" s="216"/>
      <c r="Q1558" s="216"/>
    </row>
    <row r="1559">
      <c r="A1559" s="11"/>
      <c r="B1559" s="98"/>
      <c r="C1559" s="13"/>
      <c r="D1559" s="13"/>
      <c r="E1559" s="13"/>
      <c r="F1559" s="15"/>
      <c r="G1559" s="16"/>
      <c r="H1559" s="18"/>
      <c r="I1559" s="21"/>
      <c r="J1559" s="21"/>
      <c r="K1559" s="216"/>
      <c r="L1559" s="216"/>
      <c r="M1559" s="216"/>
      <c r="N1559" s="216"/>
      <c r="O1559" s="216"/>
      <c r="P1559" s="216"/>
      <c r="Q1559" s="216"/>
    </row>
    <row r="1560">
      <c r="A1560" s="11"/>
      <c r="B1560" s="98"/>
      <c r="C1560" s="13"/>
      <c r="D1560" s="13"/>
      <c r="E1560" s="13"/>
      <c r="F1560" s="15"/>
      <c r="G1560" s="16"/>
      <c r="H1560" s="18"/>
      <c r="I1560" s="21"/>
      <c r="J1560" s="21"/>
      <c r="K1560" s="216"/>
      <c r="L1560" s="216"/>
      <c r="M1560" s="216"/>
      <c r="N1560" s="216"/>
      <c r="O1560" s="216"/>
      <c r="P1560" s="216"/>
      <c r="Q1560" s="216"/>
    </row>
    <row r="1561">
      <c r="A1561" s="11"/>
      <c r="B1561" s="98"/>
      <c r="C1561" s="13"/>
      <c r="D1561" s="13"/>
      <c r="E1561" s="13"/>
      <c r="F1561" s="15"/>
      <c r="G1561" s="16"/>
      <c r="H1561" s="18"/>
      <c r="I1561" s="21"/>
      <c r="J1561" s="21"/>
      <c r="K1561" s="216"/>
      <c r="L1561" s="216"/>
      <c r="M1561" s="216"/>
      <c r="N1561" s="216"/>
      <c r="O1561" s="216"/>
      <c r="P1561" s="216"/>
      <c r="Q1561" s="216"/>
    </row>
    <row r="1562">
      <c r="A1562" s="11"/>
      <c r="B1562" s="98"/>
      <c r="C1562" s="13"/>
      <c r="D1562" s="13"/>
      <c r="E1562" s="13"/>
      <c r="F1562" s="15"/>
      <c r="G1562" s="16"/>
      <c r="H1562" s="18"/>
      <c r="I1562" s="21"/>
      <c r="J1562" s="21"/>
      <c r="K1562" s="216"/>
      <c r="L1562" s="216"/>
      <c r="M1562" s="216"/>
      <c r="N1562" s="216"/>
      <c r="O1562" s="216"/>
      <c r="P1562" s="216"/>
      <c r="Q1562" s="216"/>
    </row>
    <row r="1563">
      <c r="A1563" s="11"/>
      <c r="B1563" s="98"/>
      <c r="C1563" s="13"/>
      <c r="D1563" s="13"/>
      <c r="E1563" s="13"/>
      <c r="F1563" s="15"/>
      <c r="G1563" s="16"/>
      <c r="H1563" s="18"/>
      <c r="I1563" s="21"/>
      <c r="J1563" s="21"/>
      <c r="K1563" s="216"/>
      <c r="L1563" s="216"/>
      <c r="M1563" s="216"/>
      <c r="N1563" s="216"/>
      <c r="O1563" s="216"/>
      <c r="P1563" s="216"/>
      <c r="Q1563" s="216"/>
    </row>
    <row r="1564">
      <c r="A1564" s="11"/>
      <c r="B1564" s="98"/>
      <c r="C1564" s="13"/>
      <c r="D1564" s="13"/>
      <c r="E1564" s="13"/>
      <c r="F1564" s="15"/>
      <c r="G1564" s="16"/>
      <c r="H1564" s="18"/>
      <c r="I1564" s="21"/>
      <c r="J1564" s="21"/>
      <c r="K1564" s="216"/>
      <c r="L1564" s="216"/>
      <c r="M1564" s="216"/>
      <c r="N1564" s="216"/>
      <c r="O1564" s="216"/>
      <c r="P1564" s="216"/>
      <c r="Q1564" s="216"/>
    </row>
    <row r="1565">
      <c r="A1565" s="11"/>
      <c r="B1565" s="98"/>
      <c r="C1565" s="13"/>
      <c r="D1565" s="13"/>
      <c r="E1565" s="13"/>
      <c r="F1565" s="15"/>
      <c r="G1565" s="16"/>
      <c r="H1565" s="18"/>
      <c r="I1565" s="21"/>
      <c r="J1565" s="21"/>
      <c r="K1565" s="216"/>
      <c r="L1565" s="216"/>
      <c r="M1565" s="216"/>
      <c r="N1565" s="216"/>
      <c r="O1565" s="216"/>
      <c r="P1565" s="216"/>
      <c r="Q1565" s="216"/>
    </row>
    <row r="1566">
      <c r="A1566" s="11"/>
      <c r="B1566" s="98"/>
      <c r="C1566" s="13"/>
      <c r="D1566" s="13"/>
      <c r="E1566" s="13"/>
      <c r="F1566" s="15"/>
      <c r="G1566" s="16"/>
      <c r="H1566" s="18"/>
      <c r="I1566" s="21"/>
      <c r="J1566" s="21"/>
      <c r="K1566" s="216"/>
      <c r="L1566" s="216"/>
      <c r="M1566" s="216"/>
      <c r="N1566" s="216"/>
      <c r="O1566" s="216"/>
      <c r="P1566" s="216"/>
      <c r="Q1566" s="216"/>
    </row>
    <row r="1567">
      <c r="A1567" s="11"/>
      <c r="B1567" s="98"/>
      <c r="C1567" s="13"/>
      <c r="D1567" s="13"/>
      <c r="E1567" s="13"/>
      <c r="F1567" s="15"/>
      <c r="G1567" s="16"/>
      <c r="H1567" s="18"/>
      <c r="I1567" s="21"/>
      <c r="J1567" s="21"/>
      <c r="K1567" s="216"/>
      <c r="L1567" s="216"/>
      <c r="M1567" s="216"/>
      <c r="N1567" s="216"/>
      <c r="O1567" s="216"/>
      <c r="P1567" s="216"/>
      <c r="Q1567" s="216"/>
    </row>
    <row r="1568">
      <c r="A1568" s="11"/>
      <c r="B1568" s="98"/>
      <c r="C1568" s="13"/>
      <c r="D1568" s="13"/>
      <c r="E1568" s="13"/>
      <c r="F1568" s="15"/>
      <c r="G1568" s="16"/>
      <c r="H1568" s="18"/>
      <c r="I1568" s="21"/>
      <c r="J1568" s="21"/>
      <c r="K1568" s="216"/>
      <c r="L1568" s="216"/>
      <c r="M1568" s="216"/>
      <c r="N1568" s="216"/>
      <c r="O1568" s="216"/>
      <c r="P1568" s="216"/>
      <c r="Q1568" s="216"/>
    </row>
    <row r="1569">
      <c r="A1569" s="11"/>
      <c r="B1569" s="98"/>
      <c r="C1569" s="13"/>
      <c r="D1569" s="13"/>
      <c r="E1569" s="13"/>
      <c r="F1569" s="15"/>
      <c r="G1569" s="16"/>
      <c r="H1569" s="18"/>
      <c r="I1569" s="21"/>
      <c r="J1569" s="21"/>
      <c r="K1569" s="216"/>
      <c r="L1569" s="216"/>
      <c r="M1569" s="216"/>
      <c r="N1569" s="216"/>
      <c r="O1569" s="216"/>
      <c r="P1569" s="216"/>
      <c r="Q1569" s="216"/>
    </row>
    <row r="1570">
      <c r="A1570" s="11"/>
      <c r="B1570" s="98"/>
      <c r="C1570" s="13"/>
      <c r="D1570" s="13"/>
      <c r="E1570" s="13"/>
      <c r="F1570" s="15"/>
      <c r="G1570" s="16"/>
      <c r="H1570" s="18"/>
      <c r="I1570" s="21"/>
      <c r="J1570" s="21"/>
      <c r="K1570" s="216"/>
      <c r="L1570" s="216"/>
      <c r="M1570" s="216"/>
      <c r="N1570" s="216"/>
      <c r="O1570" s="216"/>
      <c r="P1570" s="216"/>
      <c r="Q1570" s="216"/>
    </row>
    <row r="1571">
      <c r="A1571" s="11"/>
      <c r="B1571" s="98"/>
      <c r="C1571" s="13"/>
      <c r="D1571" s="13"/>
      <c r="E1571" s="13"/>
      <c r="F1571" s="15"/>
      <c r="G1571" s="16"/>
      <c r="H1571" s="18"/>
      <c r="I1571" s="21"/>
      <c r="J1571" s="21"/>
      <c r="K1571" s="216"/>
      <c r="L1571" s="216"/>
      <c r="M1571" s="216"/>
      <c r="N1571" s="216"/>
      <c r="O1571" s="216"/>
      <c r="P1571" s="216"/>
      <c r="Q1571" s="216"/>
    </row>
    <row r="1572">
      <c r="A1572" s="11"/>
      <c r="B1572" s="98"/>
      <c r="C1572" s="13"/>
      <c r="D1572" s="13"/>
      <c r="E1572" s="13"/>
      <c r="F1572" s="15"/>
      <c r="G1572" s="16"/>
      <c r="H1572" s="18"/>
      <c r="I1572" s="21"/>
      <c r="J1572" s="21"/>
      <c r="K1572" s="216"/>
      <c r="L1572" s="216"/>
      <c r="M1572" s="216"/>
      <c r="N1572" s="216"/>
      <c r="O1572" s="216"/>
      <c r="P1572" s="216"/>
      <c r="Q1572" s="216"/>
    </row>
    <row r="1573">
      <c r="A1573" s="11"/>
      <c r="B1573" s="98"/>
      <c r="C1573" s="13"/>
      <c r="D1573" s="13"/>
      <c r="E1573" s="13"/>
      <c r="F1573" s="15"/>
      <c r="G1573" s="16"/>
      <c r="H1573" s="18"/>
      <c r="I1573" s="21"/>
      <c r="J1573" s="21"/>
      <c r="K1573" s="216"/>
      <c r="L1573" s="216"/>
      <c r="M1573" s="216"/>
      <c r="N1573" s="216"/>
      <c r="O1573" s="216"/>
      <c r="P1573" s="216"/>
      <c r="Q1573" s="216"/>
    </row>
    <row r="1574">
      <c r="A1574" s="11"/>
      <c r="B1574" s="98"/>
      <c r="C1574" s="13"/>
      <c r="D1574" s="13"/>
      <c r="E1574" s="13"/>
      <c r="F1574" s="15"/>
      <c r="G1574" s="16"/>
      <c r="H1574" s="18"/>
      <c r="I1574" s="21"/>
      <c r="J1574" s="21"/>
      <c r="K1574" s="216"/>
      <c r="L1574" s="216"/>
      <c r="M1574" s="216"/>
      <c r="N1574" s="216"/>
      <c r="O1574" s="216"/>
      <c r="P1574" s="216"/>
      <c r="Q1574" s="216"/>
    </row>
    <row r="1575">
      <c r="A1575" s="11"/>
      <c r="B1575" s="98"/>
      <c r="C1575" s="13"/>
      <c r="D1575" s="13"/>
      <c r="E1575" s="13"/>
      <c r="F1575" s="15"/>
      <c r="G1575" s="16"/>
      <c r="H1575" s="18"/>
      <c r="I1575" s="21"/>
      <c r="J1575" s="21"/>
      <c r="K1575" s="216"/>
      <c r="L1575" s="216"/>
      <c r="M1575" s="216"/>
      <c r="N1575" s="216"/>
      <c r="O1575" s="216"/>
      <c r="P1575" s="216"/>
      <c r="Q1575" s="216"/>
    </row>
    <row r="1576">
      <c r="A1576" s="11"/>
      <c r="B1576" s="98"/>
      <c r="C1576" s="13"/>
      <c r="D1576" s="13"/>
      <c r="E1576" s="13"/>
      <c r="F1576" s="15"/>
      <c r="G1576" s="16"/>
      <c r="H1576" s="18"/>
      <c r="I1576" s="21"/>
      <c r="J1576" s="21"/>
      <c r="K1576" s="216"/>
      <c r="L1576" s="216"/>
      <c r="M1576" s="216"/>
      <c r="N1576" s="216"/>
      <c r="O1576" s="216"/>
      <c r="P1576" s="216"/>
      <c r="Q1576" s="216"/>
    </row>
    <row r="1577">
      <c r="A1577" s="11"/>
      <c r="B1577" s="98"/>
      <c r="C1577" s="13"/>
      <c r="D1577" s="13"/>
      <c r="E1577" s="13"/>
      <c r="F1577" s="15"/>
      <c r="G1577" s="16"/>
      <c r="H1577" s="18"/>
      <c r="I1577" s="21"/>
      <c r="J1577" s="21"/>
      <c r="K1577" s="216"/>
      <c r="L1577" s="216"/>
      <c r="M1577" s="216"/>
      <c r="N1577" s="216"/>
      <c r="O1577" s="216"/>
      <c r="P1577" s="216"/>
      <c r="Q1577" s="216"/>
    </row>
    <row r="1578">
      <c r="A1578" s="11"/>
      <c r="B1578" s="98"/>
      <c r="C1578" s="13"/>
      <c r="D1578" s="13"/>
      <c r="E1578" s="13"/>
      <c r="F1578" s="15"/>
      <c r="G1578" s="16"/>
      <c r="H1578" s="18"/>
      <c r="I1578" s="21"/>
      <c r="J1578" s="21"/>
      <c r="K1578" s="216"/>
      <c r="L1578" s="216"/>
      <c r="M1578" s="216"/>
      <c r="N1578" s="216"/>
      <c r="O1578" s="216"/>
      <c r="P1578" s="216"/>
      <c r="Q1578" s="216"/>
    </row>
    <row r="1579">
      <c r="A1579" s="11"/>
      <c r="B1579" s="98"/>
      <c r="C1579" s="13"/>
      <c r="D1579" s="13"/>
      <c r="E1579" s="13"/>
      <c r="F1579" s="15"/>
      <c r="G1579" s="16"/>
      <c r="H1579" s="18"/>
      <c r="I1579" s="21"/>
      <c r="J1579" s="21"/>
      <c r="K1579" s="216"/>
      <c r="L1579" s="216"/>
      <c r="M1579" s="216"/>
      <c r="N1579" s="216"/>
      <c r="O1579" s="216"/>
      <c r="P1579" s="216"/>
      <c r="Q1579" s="216"/>
    </row>
    <row r="1580">
      <c r="A1580" s="11"/>
      <c r="B1580" s="98"/>
      <c r="C1580" s="13"/>
      <c r="D1580" s="13"/>
      <c r="E1580" s="13"/>
      <c r="F1580" s="15"/>
      <c r="G1580" s="16"/>
      <c r="H1580" s="18"/>
      <c r="I1580" s="21"/>
      <c r="J1580" s="21"/>
      <c r="K1580" s="216"/>
      <c r="L1580" s="216"/>
      <c r="M1580" s="216"/>
      <c r="N1580" s="216"/>
      <c r="O1580" s="216"/>
      <c r="P1580" s="216"/>
      <c r="Q1580" s="216"/>
    </row>
    <row r="1581">
      <c r="A1581" s="11"/>
      <c r="B1581" s="98"/>
      <c r="C1581" s="13"/>
      <c r="D1581" s="13"/>
      <c r="E1581" s="13"/>
      <c r="F1581" s="15"/>
      <c r="G1581" s="16"/>
      <c r="H1581" s="18"/>
      <c r="I1581" s="21"/>
      <c r="J1581" s="21"/>
      <c r="K1581" s="216"/>
      <c r="L1581" s="216"/>
      <c r="M1581" s="216"/>
      <c r="N1581" s="216"/>
      <c r="O1581" s="216"/>
      <c r="P1581" s="216"/>
      <c r="Q1581" s="216"/>
    </row>
    <row r="1582">
      <c r="A1582" s="11"/>
      <c r="B1582" s="98"/>
      <c r="C1582" s="13"/>
      <c r="D1582" s="13"/>
      <c r="E1582" s="13"/>
      <c r="F1582" s="15"/>
      <c r="G1582" s="16"/>
      <c r="H1582" s="18"/>
      <c r="I1582" s="21"/>
      <c r="J1582" s="21"/>
      <c r="K1582" s="216"/>
      <c r="L1582" s="216"/>
      <c r="M1582" s="216"/>
      <c r="N1582" s="216"/>
      <c r="O1582" s="216"/>
      <c r="P1582" s="216"/>
      <c r="Q1582" s="216"/>
    </row>
  </sheetData>
  <conditionalFormatting sqref="A2:J1582">
    <cfRule type="expression" dxfId="0" priority="1">
      <formula>ISEVEN(ROW())</formula>
    </cfRule>
  </conditionalFormatting>
  <conditionalFormatting sqref="A2:J1582">
    <cfRule type="expression" dxfId="1" priority="2">
      <formula>ISODD(ROW())</formula>
    </cfRule>
  </conditionalFormatting>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0"/>
    <col customWidth="1" min="3" max="3" width="19.38"/>
    <col customWidth="1" min="4" max="111" width="21.88"/>
  </cols>
  <sheetData>
    <row r="1">
      <c r="A1" s="229" t="s">
        <v>5</v>
      </c>
      <c r="B1" s="229" t="s">
        <v>15</v>
      </c>
      <c r="C1" t="str">
        <f>IFERROR(__xludf.DUMMYFUNCTION("UNIQUE(SORT(ARRAYFORMULA({TRANSPOSE(CONCAT(""#"",TRIM(SPLIT(CONCATENATE(QUERY(aba01JAN,""SELECT J "")),""#""))));
                                                   TRANSPOSE(CONCAT(""#"",TRIM(SPLIT(CONCATENATE(QUERY(aba02FEV,""SELECT J "")),""#""))));
  "&amp;"                                                 TRANSPOSE(CONCAT(""#"",TRIM(SPLIT(CONCATENATE(QUERY(aba03MAR,""SELECT J "")),""#""))));
                                                   TRANSPOSE(CONCAT(""#"",TRIM(SPLIT(CONCATENATE(QUERY(aba04ABR,""SELE"&amp;"CT J "")),""#""))));
                                                   TRANSPOSE(CONCAT(""#"",TRIM(SPLIT(CONCATENATE(QUERY(aba05MAI,""SELECT J "")),""#""))));
                                                   TRANSPOSE(CONCAT(""#"",TRIM(SPLIT(CONCATENAT"&amp;"E(QUERY(aba06JUN,""SELECT J "")),""#""))));
                                                   TRANSPOSE(CONCAT(""#"",TRIM(SPLIT(CONCATENATE(QUERY(aba07JUL,""SELECT J "")),""#""))));
                                                   TRANSPOSE(CONCAT(""#"&amp;""",TRIM(SPLIT(CONCATENATE(QUERY(aba08AGO,""SELECT J "")),""#""))));
                                                   TRANSPOSE(CONCAT(""#"",TRIM(SPLIT(CONCATENATE(QUERY(aba09SET,""SELECT J "")),""#""))));
                                                "&amp;"   TRANSPOSE(CONCAT(""#"",TRIM(SPLIT(CONCATENATE(QUERY(aba10OUT,""SELECT J "")),""#""))));
                                                   TRANSPOSE(CONCAT(""#"",TRIM(SPLIT(CONCATENATE(QUERY(aba11NOV,""SELECT J "")),""#""))));
                         "&amp;"                          TRANSPOSE(CONCAT(""#"",TRIM(SPLIT(CONCATENATE(QUERY(aba12DEZ,""SELECT J "")),""#""))))
                                                   }),1,TRUE))"),"#Agua")</f>
        <v>#Agua</v>
      </c>
      <c r="E1" s="230"/>
      <c r="F1" s="230"/>
    </row>
    <row r="2">
      <c r="A2" s="229" t="s">
        <v>595</v>
      </c>
      <c r="B2" s="229" t="s">
        <v>16</v>
      </c>
      <c r="C2" t="str">
        <f>IFERROR(__xludf.DUMMYFUNCTION("""COMPUTED_VALUE"""),"#AjudaAlmir")</f>
        <v>#AjudaAlmir</v>
      </c>
    </row>
    <row r="3">
      <c r="A3" s="229" t="s">
        <v>25</v>
      </c>
      <c r="B3" s="229" t="s">
        <v>17</v>
      </c>
      <c r="C3" t="str">
        <f>IFERROR(__xludf.DUMMYFUNCTION("""COMPUTED_VALUE"""),"#Ajuste")</f>
        <v>#Ajuste</v>
      </c>
    </row>
    <row r="4">
      <c r="A4" s="229" t="s">
        <v>810</v>
      </c>
      <c r="B4" s="229" t="s">
        <v>13</v>
      </c>
      <c r="C4" t="str">
        <f>IFERROR(__xludf.DUMMYFUNCTION("""COMPUTED_VALUE"""),"#AleloAlimentaçãoBRQ")</f>
        <v>#AleloAlimentaçãoBRQ</v>
      </c>
    </row>
    <row r="5">
      <c r="A5" s="229" t="s">
        <v>40</v>
      </c>
      <c r="B5" s="229" t="s">
        <v>811</v>
      </c>
      <c r="C5" t="str">
        <f>IFERROR(__xludf.DUMMYFUNCTION("""COMPUTED_VALUE"""),"#AleloRefeiçãoBRQ")</f>
        <v>#AleloRefeiçãoBRQ</v>
      </c>
    </row>
    <row r="6">
      <c r="A6" s="229" t="s">
        <v>809</v>
      </c>
      <c r="B6" s="229" t="s">
        <v>18</v>
      </c>
      <c r="C6" t="str">
        <f>IFERROR(__xludf.DUMMYFUNCTION("""COMPUTED_VALUE"""),"#Alimentação")</f>
        <v>#Alimentação</v>
      </c>
    </row>
    <row r="7">
      <c r="B7" s="231" t="s">
        <v>193</v>
      </c>
      <c r="C7" t="str">
        <f>IFERROR(__xludf.DUMMYFUNCTION("""COMPUTED_VALUE"""),"#Aluguel")</f>
        <v>#Aluguel</v>
      </c>
    </row>
    <row r="8">
      <c r="B8" s="231" t="s">
        <v>196</v>
      </c>
      <c r="C8" t="str">
        <f>IFERROR(__xludf.DUMMYFUNCTION("""COMPUTED_VALUE"""),"#Aniversario")</f>
        <v>#Aniversario</v>
      </c>
    </row>
    <row r="9">
      <c r="B9" s="231" t="s">
        <v>261</v>
      </c>
      <c r="C9" t="str">
        <f>IFERROR(__xludf.DUMMYFUNCTION("""COMPUTED_VALUE"""),"#AnoNovo")</f>
        <v>#AnoNovo</v>
      </c>
      <c r="E9" s="232"/>
    </row>
    <row r="10">
      <c r="B10" s="231" t="s">
        <v>252</v>
      </c>
      <c r="C10" t="str">
        <f>IFERROR(__xludf.DUMMYFUNCTION("""COMPUTED_VALUE"""),"#Anual")</f>
        <v>#Anual</v>
      </c>
      <c r="E10" s="233"/>
    </row>
    <row r="11">
      <c r="B11" s="231" t="s">
        <v>249</v>
      </c>
      <c r="C11" t="str">
        <f>IFERROR(__xludf.DUMMYFUNCTION("""COMPUTED_VALUE"""),"#Aquario")</f>
        <v>#Aquario</v>
      </c>
    </row>
    <row r="12">
      <c r="C12" t="str">
        <f>IFERROR(__xludf.DUMMYFUNCTION("""COMPUTED_VALUE"""),"#Binance")</f>
        <v>#Binance</v>
      </c>
    </row>
    <row r="13">
      <c r="C13" t="str">
        <f>IFERROR(__xludf.DUMMYFUNCTION("""COMPUTED_VALUE"""),"#BlackFriday")</f>
        <v>#BlackFriday</v>
      </c>
    </row>
    <row r="14">
      <c r="C14" t="str">
        <f>IFERROR(__xludf.DUMMYFUNCTION("""COMPUTED_VALUE"""),"#Boleto")</f>
        <v>#Boleto</v>
      </c>
    </row>
    <row r="15">
      <c r="C15" t="str">
        <f>IFERROR(__xludf.DUMMYFUNCTION("""COMPUTED_VALUE"""),"#Brinquedos")</f>
        <v>#Brinquedos</v>
      </c>
    </row>
    <row r="16">
      <c r="C16" t="str">
        <f>IFERROR(__xludf.DUMMYFUNCTION("""COMPUTED_VALUE"""),"#Calçados")</f>
        <v>#Calçados</v>
      </c>
    </row>
    <row r="17">
      <c r="C17" t="str">
        <f>IFERROR(__xludf.DUMMYFUNCTION("""COMPUTED_VALUE"""),"#Carlos")</f>
        <v>#Carlos</v>
      </c>
    </row>
    <row r="18">
      <c r="A18" s="229" t="s">
        <v>812</v>
      </c>
      <c r="C18" t="str">
        <f>IFERROR(__xludf.DUMMYFUNCTION("""COMPUTED_VALUE"""),"#Carro")</f>
        <v>#Carro</v>
      </c>
    </row>
    <row r="19">
      <c r="C19" t="str">
        <f>IFERROR(__xludf.DUMMYFUNCTION("""COMPUTED_VALUE"""),"#CartaoDeCredito")</f>
        <v>#CartaoDeCredito</v>
      </c>
    </row>
    <row r="20">
      <c r="C20" t="str">
        <f>IFERROR(__xludf.DUMMYFUNCTION("""COMPUTED_VALUE"""),"#Cartorio")</f>
        <v>#Cartorio</v>
      </c>
    </row>
    <row r="21">
      <c r="C21" t="str">
        <f>IFERROR(__xludf.DUMMYFUNCTION("""COMPUTED_VALUE"""),"#CashBack")</f>
        <v>#CashBack</v>
      </c>
    </row>
    <row r="22">
      <c r="B22" s="229" t="s">
        <v>812</v>
      </c>
      <c r="C22" t="str">
        <f>IFERROR(__xludf.DUMMYFUNCTION("""COMPUTED_VALUE"""),"#Cashback")</f>
        <v>#Cashback</v>
      </c>
    </row>
    <row r="23">
      <c r="C23" t="str">
        <f>IFERROR(__xludf.DUMMYFUNCTION("""COMPUTED_VALUE"""),"#Celular")</f>
        <v>#Celular</v>
      </c>
    </row>
    <row r="24">
      <c r="C24" t="str">
        <f>IFERROR(__xludf.DUMMYFUNCTION("""COMPUTED_VALUE"""),"#CertificadoDigital")</f>
        <v>#CertificadoDigital</v>
      </c>
    </row>
    <row r="25">
      <c r="C25" t="str">
        <f>IFERROR(__xludf.DUMMYFUNCTION("""COMPUTED_VALUE"""),"#Cicero")</f>
        <v>#Cicero</v>
      </c>
    </row>
    <row r="26">
      <c r="C26" t="str">
        <f>IFERROR(__xludf.DUMMYFUNCTION("""COMPUTED_VALUE"""),"#Clear")</f>
        <v>#Clear</v>
      </c>
    </row>
    <row r="27">
      <c r="C27" t="str">
        <f>IFERROR(__xludf.DUMMYFUNCTION("""COMPUTED_VALUE"""),"#Coaching")</f>
        <v>#Coaching</v>
      </c>
    </row>
    <row r="28">
      <c r="C28" t="str">
        <f>IFERROR(__xludf.DUMMYFUNCTION("""COMPUTED_VALUE"""),"#Combustivel")</f>
        <v>#Combustivel</v>
      </c>
    </row>
    <row r="29">
      <c r="C29" t="str">
        <f>IFERROR(__xludf.DUMMYFUNCTION("""COMPUTED_VALUE"""),"#Comida")</f>
        <v>#Comida</v>
      </c>
    </row>
    <row r="30">
      <c r="C30" t="str">
        <f>IFERROR(__xludf.DUMMYFUNCTION("""COMPUTED_VALUE"""),"#Confeitaria")</f>
        <v>#Confeitaria</v>
      </c>
    </row>
    <row r="31">
      <c r="C31" t="str">
        <f>IFERROR(__xludf.DUMMYFUNCTION("""COMPUTED_VALUE"""),"#Contador")</f>
        <v>#Contador</v>
      </c>
    </row>
    <row r="32">
      <c r="C32" t="str">
        <f>IFERROR(__xludf.DUMMYFUNCTION("""COMPUTED_VALUE"""),"#Convenio")</f>
        <v>#Convenio</v>
      </c>
    </row>
    <row r="33">
      <c r="C33" t="str">
        <f>IFERROR(__xludf.DUMMYFUNCTION("""COMPUTED_VALUE"""),"#Cozinha")</f>
        <v>#Cozinha</v>
      </c>
    </row>
    <row r="34">
      <c r="C34" t="str">
        <f>IFERROR(__xludf.DUMMYFUNCTION("""COMPUTED_VALUE"""),"#CriptoMoedas")</f>
        <v>#CriptoMoedas</v>
      </c>
    </row>
    <row r="35">
      <c r="C35" t="str">
        <f>IFERROR(__xludf.DUMMYFUNCTION("""COMPUTED_VALUE"""),"#Curso")</f>
        <v>#Curso</v>
      </c>
    </row>
    <row r="36">
      <c r="C36" t="str">
        <f>IFERROR(__xludf.DUMMYFUNCTION("""COMPUTED_VALUE"""),"#Cursos")</f>
        <v>#Cursos</v>
      </c>
    </row>
    <row r="37">
      <c r="C37" t="str">
        <f>IFERROR(__xludf.DUMMYFUNCTION("""COMPUTED_VALUE"""),"#Desktop")</f>
        <v>#Desktop</v>
      </c>
    </row>
    <row r="38">
      <c r="C38" t="str">
        <f>IFERROR(__xludf.DUMMYFUNCTION("""COMPUTED_VALUE"""),"#Doação")</f>
        <v>#Doação</v>
      </c>
    </row>
    <row r="39">
      <c r="C39" t="str">
        <f>IFERROR(__xludf.DUMMYFUNCTION("""COMPUTED_VALUE"""),"#DomRock")</f>
        <v>#DomRock</v>
      </c>
    </row>
    <row r="40">
      <c r="C40" t="str">
        <f>IFERROR(__xludf.DUMMYFUNCTION("""COMPUTED_VALUE"""),"#Eduardo")</f>
        <v>#Eduardo</v>
      </c>
    </row>
    <row r="41">
      <c r="C41" t="str">
        <f>IFERROR(__xludf.DUMMYFUNCTION("""COMPUTED_VALUE"""),"#Emprego")</f>
        <v>#Emprego</v>
      </c>
    </row>
    <row r="42">
      <c r="C42" t="str">
        <f>IFERROR(__xludf.DUMMYFUNCTION("""COMPUTED_VALUE"""),"#Encargos")</f>
        <v>#Encargos</v>
      </c>
    </row>
    <row r="43">
      <c r="C43" t="str">
        <f>IFERROR(__xludf.DUMMYFUNCTION("""COMPUTED_VALUE"""),"#Escola")</f>
        <v>#Escola</v>
      </c>
    </row>
    <row r="44">
      <c r="C44" t="str">
        <f>IFERROR(__xludf.DUMMYFUNCTION("""COMPUTED_VALUE"""),"#Essencial")</f>
        <v>#Essencial</v>
      </c>
    </row>
    <row r="45">
      <c r="C45" t="str">
        <f>IFERROR(__xludf.DUMMYFUNCTION("""COMPUTED_VALUE"""),"#Estacionamento")</f>
        <v>#Estacionamento</v>
      </c>
    </row>
    <row r="46">
      <c r="C46" t="str">
        <f>IFERROR(__xludf.DUMMYFUNCTION("""COMPUTED_VALUE"""),"#Extra")</f>
        <v>#Extra</v>
      </c>
    </row>
    <row r="47">
      <c r="C47" t="str">
        <f>IFERROR(__xludf.DUMMYFUNCTION("""COMPUTED_VALUE"""),"#Familia")</f>
        <v>#Familia</v>
      </c>
    </row>
    <row r="48">
      <c r="C48" t="str">
        <f>IFERROR(__xludf.DUMMYFUNCTION("""COMPUTED_VALUE"""),"#Férias")</f>
        <v>#Férias</v>
      </c>
    </row>
    <row r="49">
      <c r="C49" t="str">
        <f>IFERROR(__xludf.DUMMYFUNCTION("""COMPUTED_VALUE"""),"#Fixo")</f>
        <v>#Fixo</v>
      </c>
    </row>
    <row r="50">
      <c r="C50" t="str">
        <f>IFERROR(__xludf.DUMMYFUNCTION("""COMPUTED_VALUE"""),"#Foxbit")</f>
        <v>#Foxbit</v>
      </c>
    </row>
    <row r="51">
      <c r="C51" t="str">
        <f>IFERROR(__xludf.DUMMYFUNCTION("""COMPUTED_VALUE"""),"#Fralda")</f>
        <v>#Fralda</v>
      </c>
    </row>
    <row r="52">
      <c r="C52" t="str">
        <f>IFERROR(__xludf.DUMMYFUNCTION("""COMPUTED_VALUE"""),"#Gas")</f>
        <v>#Gas</v>
      </c>
    </row>
    <row r="53">
      <c r="C53" t="str">
        <f>IFERROR(__xludf.DUMMYFUNCTION("""COMPUTED_VALUE"""),"#Gripe")</f>
        <v>#Gripe</v>
      </c>
    </row>
    <row r="54">
      <c r="C54" s="231" t="str">
        <f>IFERROR(__xludf.DUMMYFUNCTION("""COMPUTED_VALUE"""),"#Impostos")</f>
        <v>#Impostos</v>
      </c>
    </row>
    <row r="55">
      <c r="C55" t="str">
        <f>IFERROR(__xludf.DUMMYFUNCTION("""COMPUTED_VALUE"""),"#Inter")</f>
        <v>#Inter</v>
      </c>
    </row>
    <row r="56">
      <c r="C56" t="str">
        <f>IFERROR(__xludf.DUMMYFUNCTION("""COMPUTED_VALUE"""),"#Internet")</f>
        <v>#Internet</v>
      </c>
    </row>
    <row r="57">
      <c r="C57" t="str">
        <f>IFERROR(__xludf.DUMMYFUNCTION("""COMPUTED_VALUE"""),"#Investimento")</f>
        <v>#Investimento</v>
      </c>
    </row>
    <row r="58">
      <c r="C58" t="str">
        <f>IFERROR(__xludf.DUMMYFUNCTION("""COMPUTED_VALUE"""),"#IOF")</f>
        <v>#IOF</v>
      </c>
    </row>
    <row r="59">
      <c r="C59" t="str">
        <f>IFERROR(__xludf.DUMMYFUNCTION("""COMPUTED_VALUE"""),"#IRPF")</f>
        <v>#IRPF</v>
      </c>
    </row>
    <row r="60">
      <c r="C60" t="str">
        <f>IFERROR(__xludf.DUMMYFUNCTION("""COMPUTED_VALUE"""),"#Itaquera")</f>
        <v>#Itaquera</v>
      </c>
    </row>
    <row r="61">
      <c r="C61" s="231" t="str">
        <f>IFERROR(__xludf.DUMMYFUNCTION("""COMPUTED_VALUE"""),"#Itau")</f>
        <v>#Itau</v>
      </c>
    </row>
    <row r="62">
      <c r="C62" s="231" t="str">
        <f>IFERROR(__xludf.DUMMYFUNCTION("""COMPUTED_VALUE"""),"#Janela")</f>
        <v>#Janela</v>
      </c>
    </row>
    <row r="63">
      <c r="C63" t="str">
        <f>IFERROR(__xludf.DUMMYFUNCTION("""COMPUTED_VALUE"""),"#Jardinagem")</f>
        <v>#Jardinagem</v>
      </c>
    </row>
    <row r="64">
      <c r="C64" t="str">
        <f>IFERROR(__xludf.DUMMYFUNCTION("""COMPUTED_VALUE"""),"#Jazigo")</f>
        <v>#Jazigo</v>
      </c>
    </row>
    <row r="65">
      <c r="C65" t="str">
        <f>IFERROR(__xludf.DUMMYFUNCTION("""COMPUTED_VALUE"""),"#Lazer")</f>
        <v>#Lazer</v>
      </c>
    </row>
    <row r="66">
      <c r="A66" s="229" t="s">
        <v>812</v>
      </c>
      <c r="C66" t="str">
        <f>IFERROR(__xludf.DUMMYFUNCTION("""COMPUTED_VALUE"""),"#Limpeza")</f>
        <v>#Limpeza</v>
      </c>
    </row>
    <row r="67">
      <c r="C67" t="str">
        <f>IFERROR(__xludf.DUMMYFUNCTION("""COMPUTED_VALUE"""),"#Luz")</f>
        <v>#Luz</v>
      </c>
    </row>
    <row r="68">
      <c r="C68" t="str">
        <f>IFERROR(__xludf.DUMMYFUNCTION("""COMPUTED_VALUE"""),"#Manutenção")</f>
        <v>#Manutenção</v>
      </c>
    </row>
    <row r="69">
      <c r="C69" t="str">
        <f>IFERROR(__xludf.DUMMYFUNCTION("""COMPUTED_VALUE"""),"#MaterialEscolar")</f>
        <v>#MaterialEscolar</v>
      </c>
    </row>
    <row r="70">
      <c r="C70" t="str">
        <f>IFERROR(__xludf.DUMMYFUNCTION("""COMPUTED_VALUE"""),"#Mercado")</f>
        <v>#Mercado</v>
      </c>
    </row>
    <row r="71">
      <c r="C71" t="str">
        <f>IFERROR(__xludf.DUMMYFUNCTION("""COMPUTED_VALUE"""),"#Mesada")</f>
        <v>#Mesada</v>
      </c>
    </row>
    <row r="72">
      <c r="C72" t="str">
        <f>IFERROR(__xludf.DUMMYFUNCTION("""COMPUTED_VALUE"""),"#Mineração")</f>
        <v>#Mineração</v>
      </c>
    </row>
    <row r="73">
      <c r="C73" t="str">
        <f>IFERROR(__xludf.DUMMYFUNCTION("""COMPUTED_VALUE"""),"#Moradia")</f>
        <v>#Moradia</v>
      </c>
    </row>
    <row r="74">
      <c r="C74" t="str">
        <f>IFERROR(__xludf.DUMMYFUNCTION("""COMPUTED_VALUE"""),"#Natal")</f>
        <v>#Natal</v>
      </c>
    </row>
    <row r="75">
      <c r="C75" t="str">
        <f>IFERROR(__xludf.DUMMYFUNCTION("""COMPUTED_VALUE"""),"#NotaFiscalPaulista")</f>
        <v>#NotaFiscalPaulista</v>
      </c>
    </row>
    <row r="76">
      <c r="C76" t="str">
        <f>IFERROR(__xludf.DUMMYFUNCTION("""COMPUTED_VALUE"""),"#Nubank")</f>
        <v>#Nubank</v>
      </c>
    </row>
    <row r="77">
      <c r="C77" t="str">
        <f>IFERROR(__xludf.DUMMYFUNCTION("""COMPUTED_VALUE"""),"#Obras")</f>
        <v>#Obras</v>
      </c>
    </row>
    <row r="78">
      <c r="C78" t="str">
        <f>IFERROR(__xludf.DUMMYFUNCTION("""COMPUTED_VALUE"""),"#Ortopedia")</f>
        <v>#Ortopedia</v>
      </c>
    </row>
    <row r="79">
      <c r="C79" t="str">
        <f>IFERROR(__xludf.DUMMYFUNCTION("""COMPUTED_VALUE"""),"#Pagamentos")</f>
        <v>#Pagamentos</v>
      </c>
    </row>
    <row r="80">
      <c r="C80" t="str">
        <f>IFERROR(__xludf.DUMMYFUNCTION("""COMPUTED_VALUE"""),"#Papai")</f>
        <v>#Papai</v>
      </c>
    </row>
    <row r="81">
      <c r="C81" t="str">
        <f>IFERROR(__xludf.DUMMYFUNCTION("""COMPUTED_VALUE"""),"#Passar")</f>
        <v>#Passar</v>
      </c>
    </row>
    <row r="82">
      <c r="C82" t="str">
        <f>IFERROR(__xludf.DUMMYFUNCTION("""COMPUTED_VALUE"""),"#PicPay")</f>
        <v>#PicPay</v>
      </c>
    </row>
    <row r="83">
      <c r="C83" t="str">
        <f>IFERROR(__xludf.DUMMYFUNCTION("""COMPUTED_VALUE"""),"#PIX")</f>
        <v>#PIX</v>
      </c>
    </row>
    <row r="84">
      <c r="C84" t="str">
        <f>IFERROR(__xludf.DUMMYFUNCTION("""COMPUTED_VALUE"""),"#PJ")</f>
        <v>#PJ</v>
      </c>
    </row>
    <row r="85">
      <c r="C85" t="str">
        <f>IFERROR(__xludf.DUMMYFUNCTION("""COMPUTED_VALUE"""),"#PLR")</f>
        <v>#PLR</v>
      </c>
    </row>
    <row r="86">
      <c r="C86" t="str">
        <f>IFERROR(__xludf.DUMMYFUNCTION("""COMPUTED_VALUE"""),"#Pneu")</f>
        <v>#Pneu</v>
      </c>
    </row>
    <row r="87">
      <c r="C87" t="str">
        <f>IFERROR(__xludf.DUMMYFUNCTION("""COMPUTED_VALUE"""),"#Presentes")</f>
        <v>#Presentes</v>
      </c>
    </row>
    <row r="88">
      <c r="C88" t="str">
        <f>IFERROR(__xludf.DUMMYFUNCTION("""COMPUTED_VALUE"""),"#Prestação")</f>
        <v>#Prestação</v>
      </c>
    </row>
    <row r="89">
      <c r="C89" t="str">
        <f>IFERROR(__xludf.DUMMYFUNCTION("""COMPUTED_VALUE"""),"#Psicologa")</f>
        <v>#Psicologa</v>
      </c>
    </row>
    <row r="90">
      <c r="C90" t="str">
        <f>IFERROR(__xludf.DUMMYFUNCTION("""COMPUTED_VALUE"""),"#Quarto")</f>
        <v>#Quarto</v>
      </c>
    </row>
    <row r="91">
      <c r="C91" t="str">
        <f>IFERROR(__xludf.DUMMYFUNCTION("""COMPUTED_VALUE"""),"#Recarga")</f>
        <v>#Recarga</v>
      </c>
    </row>
    <row r="92">
      <c r="C92" t="str">
        <f>IFERROR(__xludf.DUMMYFUNCTION("""COMPUTED_VALUE"""),"#Recebimentos")</f>
        <v>#Recebimentos</v>
      </c>
    </row>
    <row r="93">
      <c r="C93" t="str">
        <f>IFERROR(__xludf.DUMMYFUNCTION("""COMPUTED_VALUE"""),"#Remedios")</f>
        <v>#Remedios</v>
      </c>
    </row>
    <row r="94">
      <c r="C94" t="str">
        <f>IFERROR(__xludf.DUMMYFUNCTION("""COMPUTED_VALUE"""),"#Rendimentos")</f>
        <v>#Rendimentos</v>
      </c>
    </row>
    <row r="95">
      <c r="C95" t="str">
        <f>IFERROR(__xludf.DUMMYFUNCTION("""COMPUTED_VALUE"""),"#Resgate")</f>
        <v>#Resgate</v>
      </c>
    </row>
    <row r="96">
      <c r="C96" t="str">
        <f>IFERROR(__xludf.DUMMYFUNCTION("""COMPUTED_VALUE"""),"#Rico")</f>
        <v>#Rico</v>
      </c>
    </row>
    <row r="97">
      <c r="C97" t="str">
        <f>IFERROR(__xludf.DUMMYFUNCTION("""COMPUTED_VALUE"""),"#Roberta")</f>
        <v>#Roberta</v>
      </c>
    </row>
    <row r="98">
      <c r="C98" t="str">
        <f>IFERROR(__xludf.DUMMYFUNCTION("""COMPUTED_VALUE"""),"#Roupas")</f>
        <v>#Roupas</v>
      </c>
    </row>
    <row r="99">
      <c r="C99" t="str">
        <f>IFERROR(__xludf.DUMMYFUNCTION("""COMPUTED_VALUE"""),"#Salario")</f>
        <v>#Salario</v>
      </c>
    </row>
    <row r="100">
      <c r="C100" t="str">
        <f>IFERROR(__xludf.DUMMYFUNCTION("""COMPUTED_VALUE"""),"#Santander")</f>
        <v>#Santander</v>
      </c>
    </row>
    <row r="101">
      <c r="C101" t="str">
        <f>IFERROR(__xludf.DUMMYFUNCTION("""COMPUTED_VALUE"""),"#Saude")</f>
        <v>#Saude</v>
      </c>
    </row>
    <row r="102">
      <c r="C102" t="str">
        <f>IFERROR(__xludf.DUMMYFUNCTION("""COMPUTED_VALUE"""),"#Seguro")</f>
        <v>#Seguro</v>
      </c>
    </row>
    <row r="103">
      <c r="C103" t="str">
        <f>IFERROR(__xludf.DUMMYFUNCTION("""COMPUTED_VALUE"""),"#Shopping")</f>
        <v>#Shopping</v>
      </c>
    </row>
    <row r="104">
      <c r="C104" s="229" t="str">
        <f>IFERROR(__xludf.DUMMYFUNCTION("""COMPUTED_VALUE"""),"#Sofa")</f>
        <v>#Sofa</v>
      </c>
    </row>
    <row r="105">
      <c r="C105" s="229" t="str">
        <f>IFERROR(__xludf.DUMMYFUNCTION("""COMPUTED_VALUE"""),"#Streaming")</f>
        <v>#Streaming</v>
      </c>
    </row>
    <row r="106">
      <c r="C106" s="229" t="str">
        <f>IFERROR(__xludf.DUMMYFUNCTION("""COMPUTED_VALUE"""),"#SunoResearch")</f>
        <v>#SunoResearch</v>
      </c>
    </row>
    <row r="107">
      <c r="C107" s="229" t="str">
        <f>IFERROR(__xludf.DUMMYFUNCTION("""COMPUTED_VALUE"""),"#TED")</f>
        <v>#TED</v>
      </c>
    </row>
    <row r="108">
      <c r="C108" s="229" t="str">
        <f>IFERROR(__xludf.DUMMYFUNCTION("""COMPUTED_VALUE"""),"#TIM")</f>
        <v>#TIM</v>
      </c>
    </row>
    <row r="109">
      <c r="C109" s="229" t="str">
        <f>IFERROR(__xludf.DUMMYFUNCTION("""COMPUTED_VALUE"""),"#Transferencia")</f>
        <v>#Transferencia</v>
      </c>
    </row>
    <row r="110">
      <c r="C110" s="229" t="str">
        <f>IFERROR(__xludf.DUMMYFUNCTION("""COMPUTED_VALUE"""),"#Uber")</f>
        <v>#Uber</v>
      </c>
    </row>
    <row r="111">
      <c r="C111" s="229" t="str">
        <f>IFERROR(__xludf.DUMMYFUNCTION("""COMPUTED_VALUE"""),"#Uniforme")</f>
        <v>#Uniforme</v>
      </c>
    </row>
    <row r="112">
      <c r="C112" s="229" t="str">
        <f>IFERROR(__xludf.DUMMYFUNCTION("""COMPUTED_VALUE"""),"#Vacina")</f>
        <v>#Vacina</v>
      </c>
    </row>
    <row r="113">
      <c r="C113" s="229" t="str">
        <f>IFERROR(__xludf.DUMMYFUNCTION("""COMPUTED_VALUE"""),"#Variavel")</f>
        <v>#Variavel</v>
      </c>
    </row>
    <row r="114">
      <c r="C114" s="229" t="str">
        <f>IFERROR(__xludf.DUMMYFUNCTION("""COMPUTED_VALUE"""),"#VIVO")</f>
        <v>#VIVO</v>
      </c>
    </row>
    <row r="115">
      <c r="C115" s="229"/>
    </row>
    <row r="116">
      <c r="C116" s="229"/>
    </row>
    <row r="117">
      <c r="C117" s="229"/>
    </row>
    <row r="118">
      <c r="C118" s="229"/>
    </row>
    <row r="119">
      <c r="C119" s="229"/>
    </row>
    <row r="120">
      <c r="C120" s="229"/>
    </row>
    <row r="121">
      <c r="C121" s="229"/>
    </row>
    <row r="122">
      <c r="C122" s="229"/>
    </row>
    <row r="123">
      <c r="C123" s="229"/>
    </row>
    <row r="124">
      <c r="C124" s="229"/>
    </row>
    <row r="125">
      <c r="C125" s="229"/>
    </row>
    <row r="126">
      <c r="C126" s="229"/>
    </row>
    <row r="127">
      <c r="C127" s="229"/>
    </row>
    <row r="128">
      <c r="C128" s="229"/>
    </row>
    <row r="129">
      <c r="C129" s="229"/>
    </row>
    <row r="130">
      <c r="C130" s="229"/>
    </row>
    <row r="131">
      <c r="C131" s="229"/>
    </row>
    <row r="132">
      <c r="C132" s="229"/>
    </row>
    <row r="133">
      <c r="C133" s="229"/>
    </row>
    <row r="134">
      <c r="C134" s="229"/>
    </row>
    <row r="135">
      <c r="C135" s="229"/>
    </row>
    <row r="136">
      <c r="C136" s="229"/>
    </row>
    <row r="137">
      <c r="C137" s="229"/>
    </row>
    <row r="138">
      <c r="C138" s="229"/>
    </row>
    <row r="139">
      <c r="C139" s="229"/>
    </row>
    <row r="140">
      <c r="C140" s="229"/>
    </row>
    <row r="141">
      <c r="C141" s="229"/>
    </row>
    <row r="142">
      <c r="C142" s="229"/>
    </row>
    <row r="143">
      <c r="C143" s="229"/>
    </row>
    <row r="144">
      <c r="C144" s="229"/>
    </row>
    <row r="145">
      <c r="C145" s="229"/>
    </row>
    <row r="146">
      <c r="C146" s="229"/>
    </row>
    <row r="147">
      <c r="C147" s="229"/>
    </row>
    <row r="148">
      <c r="C148" s="229"/>
    </row>
    <row r="149">
      <c r="C149" s="229"/>
    </row>
    <row r="150">
      <c r="C150" s="229"/>
    </row>
    <row r="151">
      <c r="C151" s="229"/>
    </row>
    <row r="152">
      <c r="C152" s="229"/>
    </row>
    <row r="153">
      <c r="C153" s="229"/>
    </row>
    <row r="154">
      <c r="C154" s="229"/>
    </row>
    <row r="155">
      <c r="C155" s="229"/>
    </row>
    <row r="156">
      <c r="C156" s="229"/>
    </row>
    <row r="157">
      <c r="C157" s="229"/>
    </row>
    <row r="158">
      <c r="C158" s="229"/>
    </row>
    <row r="159">
      <c r="C159" s="229"/>
    </row>
    <row r="160">
      <c r="C160" s="229"/>
    </row>
    <row r="161">
      <c r="C161" s="229"/>
    </row>
    <row r="162">
      <c r="C162" s="229"/>
    </row>
    <row r="163">
      <c r="C163" s="229"/>
    </row>
    <row r="164">
      <c r="C164" s="229"/>
    </row>
    <row r="165">
      <c r="C165" s="229"/>
    </row>
    <row r="166">
      <c r="C166" s="229"/>
    </row>
    <row r="167">
      <c r="C167" s="229"/>
    </row>
    <row r="168">
      <c r="C168" s="229"/>
    </row>
    <row r="169">
      <c r="C169" s="229"/>
    </row>
    <row r="170">
      <c r="C170" s="229"/>
    </row>
    <row r="171">
      <c r="C171" s="229"/>
    </row>
    <row r="172">
      <c r="C172" s="229"/>
    </row>
    <row r="173">
      <c r="C173" s="229"/>
    </row>
    <row r="174">
      <c r="C174" s="229"/>
    </row>
    <row r="175">
      <c r="C175" s="229"/>
    </row>
    <row r="176">
      <c r="C176" s="229"/>
    </row>
    <row r="177">
      <c r="C177" s="229"/>
    </row>
    <row r="178">
      <c r="C178" s="229"/>
    </row>
    <row r="179">
      <c r="C179" s="229"/>
    </row>
    <row r="180">
      <c r="C180" s="229"/>
    </row>
    <row r="181">
      <c r="C181" s="229"/>
    </row>
    <row r="182">
      <c r="C182" s="229"/>
    </row>
    <row r="183">
      <c r="C183" s="229"/>
    </row>
    <row r="184">
      <c r="C184" s="229"/>
    </row>
    <row r="185">
      <c r="C185" s="229"/>
    </row>
    <row r="186">
      <c r="C186" s="229"/>
    </row>
    <row r="187">
      <c r="C187" s="229"/>
    </row>
    <row r="188">
      <c r="C188" s="229"/>
    </row>
    <row r="189">
      <c r="C189" s="229"/>
    </row>
    <row r="190">
      <c r="C190" s="229"/>
    </row>
    <row r="191">
      <c r="C191" s="229"/>
    </row>
    <row r="192">
      <c r="C192" s="229"/>
    </row>
    <row r="193">
      <c r="C193" s="229"/>
    </row>
    <row r="194">
      <c r="C194" s="229"/>
    </row>
    <row r="195">
      <c r="C195" s="229"/>
    </row>
    <row r="196">
      <c r="C196" s="229"/>
    </row>
    <row r="197">
      <c r="C197" s="229"/>
    </row>
    <row r="198">
      <c r="C198" s="229"/>
    </row>
    <row r="199">
      <c r="C199" s="229"/>
    </row>
    <row r="200">
      <c r="C200" s="229"/>
    </row>
    <row r="201">
      <c r="C201" s="229"/>
    </row>
    <row r="202">
      <c r="C202" s="229"/>
    </row>
    <row r="203">
      <c r="C203" s="229"/>
    </row>
    <row r="204">
      <c r="C204" s="229"/>
    </row>
    <row r="205">
      <c r="C205" s="229"/>
    </row>
    <row r="206">
      <c r="C206" s="229"/>
    </row>
    <row r="207">
      <c r="C207" s="229"/>
    </row>
    <row r="208">
      <c r="C208" s="229"/>
    </row>
    <row r="209">
      <c r="C209" s="229"/>
    </row>
    <row r="210">
      <c r="C210" s="229"/>
    </row>
    <row r="211">
      <c r="C211" s="229"/>
    </row>
    <row r="212">
      <c r="C212" s="229"/>
    </row>
    <row r="213">
      <c r="C213" s="229"/>
    </row>
    <row r="214">
      <c r="C214" s="229"/>
    </row>
    <row r="215">
      <c r="C215" s="229"/>
    </row>
    <row r="216">
      <c r="C216" s="229"/>
    </row>
    <row r="217">
      <c r="C217" s="229"/>
    </row>
    <row r="218">
      <c r="C218" s="229"/>
    </row>
    <row r="219">
      <c r="C219" s="229"/>
    </row>
    <row r="220">
      <c r="C220" s="229"/>
    </row>
    <row r="221">
      <c r="C221" s="229"/>
    </row>
    <row r="222">
      <c r="C222" s="229"/>
    </row>
    <row r="223">
      <c r="C223" s="229"/>
    </row>
    <row r="224">
      <c r="C224" s="229"/>
    </row>
    <row r="225">
      <c r="C225" s="229"/>
    </row>
    <row r="226">
      <c r="C226" s="229"/>
    </row>
    <row r="227">
      <c r="C227" s="229"/>
    </row>
    <row r="228">
      <c r="C228" s="229"/>
    </row>
    <row r="229">
      <c r="C229" s="229"/>
    </row>
    <row r="230">
      <c r="C230" s="229"/>
    </row>
    <row r="231">
      <c r="C231" s="229"/>
    </row>
    <row r="232">
      <c r="C232" s="229"/>
    </row>
    <row r="233">
      <c r="C233" s="229"/>
    </row>
    <row r="234">
      <c r="C234" s="229"/>
    </row>
    <row r="235">
      <c r="C235" s="229"/>
    </row>
    <row r="236">
      <c r="C236" s="229"/>
    </row>
    <row r="237">
      <c r="C237" s="229"/>
    </row>
    <row r="238">
      <c r="C238" s="229"/>
    </row>
    <row r="239">
      <c r="C239" s="229"/>
    </row>
    <row r="240">
      <c r="C240" s="229"/>
    </row>
    <row r="241">
      <c r="C241" s="229"/>
    </row>
    <row r="242">
      <c r="C242" s="229"/>
    </row>
    <row r="243">
      <c r="C243" s="229"/>
    </row>
    <row r="244">
      <c r="C244" s="229"/>
    </row>
    <row r="245">
      <c r="C245" s="229"/>
    </row>
    <row r="246">
      <c r="C246" s="229"/>
    </row>
    <row r="247">
      <c r="C247" s="229"/>
    </row>
    <row r="248">
      <c r="C248" s="229"/>
    </row>
    <row r="249">
      <c r="C249" s="229"/>
    </row>
    <row r="250">
      <c r="C250" s="229"/>
    </row>
    <row r="251">
      <c r="C251" s="229"/>
    </row>
    <row r="252">
      <c r="C252" s="229"/>
    </row>
    <row r="253">
      <c r="C253" s="229"/>
    </row>
    <row r="254">
      <c r="C254" s="229"/>
    </row>
    <row r="255">
      <c r="C255" s="229"/>
    </row>
    <row r="256">
      <c r="C256" s="229"/>
    </row>
    <row r="257">
      <c r="C257" s="229"/>
    </row>
    <row r="258">
      <c r="C258" s="229"/>
    </row>
    <row r="259">
      <c r="C259" s="229"/>
    </row>
    <row r="260">
      <c r="C260" s="229"/>
    </row>
    <row r="261">
      <c r="C261" s="229"/>
    </row>
    <row r="262">
      <c r="C262" s="229"/>
    </row>
    <row r="263">
      <c r="C263" s="229"/>
    </row>
    <row r="264">
      <c r="C264" s="229"/>
    </row>
    <row r="265">
      <c r="C265" s="229"/>
    </row>
    <row r="266">
      <c r="C266" s="229"/>
    </row>
    <row r="267">
      <c r="C267" s="229"/>
    </row>
    <row r="268">
      <c r="C268" s="229"/>
    </row>
    <row r="269">
      <c r="C269" s="229"/>
    </row>
    <row r="270">
      <c r="C270" s="229"/>
    </row>
    <row r="271">
      <c r="C271" s="229"/>
    </row>
    <row r="272">
      <c r="C272" s="229"/>
    </row>
    <row r="273">
      <c r="C273" s="229"/>
    </row>
    <row r="274">
      <c r="C274" s="229"/>
    </row>
    <row r="275">
      <c r="C275" s="229"/>
    </row>
    <row r="276">
      <c r="C276" s="229"/>
    </row>
    <row r="277">
      <c r="C277" s="229"/>
    </row>
    <row r="278">
      <c r="C278" s="229"/>
    </row>
    <row r="279">
      <c r="C279" s="229"/>
    </row>
    <row r="280">
      <c r="C280" s="229"/>
    </row>
    <row r="281">
      <c r="C281" s="229"/>
    </row>
    <row r="282">
      <c r="C282" s="229"/>
    </row>
    <row r="283">
      <c r="C283" s="229"/>
    </row>
    <row r="284">
      <c r="C284" s="229"/>
    </row>
    <row r="285">
      <c r="C285" s="229"/>
    </row>
    <row r="286">
      <c r="C286" s="229"/>
    </row>
    <row r="287">
      <c r="C287" s="229"/>
    </row>
    <row r="288">
      <c r="C288" s="229"/>
    </row>
    <row r="289">
      <c r="C289" s="229"/>
    </row>
    <row r="290">
      <c r="C290" s="229"/>
    </row>
    <row r="291">
      <c r="C291" s="229"/>
    </row>
    <row r="292">
      <c r="C292" s="229"/>
    </row>
    <row r="293">
      <c r="C293" s="229"/>
    </row>
    <row r="294">
      <c r="C294" s="229"/>
    </row>
    <row r="295">
      <c r="C295" s="229"/>
    </row>
    <row r="296">
      <c r="C296" s="229"/>
    </row>
    <row r="297">
      <c r="C297" s="229"/>
    </row>
    <row r="298">
      <c r="C298" s="229"/>
    </row>
    <row r="299">
      <c r="C299" s="229"/>
    </row>
    <row r="300">
      <c r="C300" s="229"/>
    </row>
    <row r="301">
      <c r="C301" s="229"/>
    </row>
    <row r="302">
      <c r="C302" s="229"/>
    </row>
    <row r="303">
      <c r="C303" s="229"/>
    </row>
    <row r="304">
      <c r="C304" s="229"/>
    </row>
    <row r="305">
      <c r="C305" s="229"/>
    </row>
    <row r="306">
      <c r="C306" s="229"/>
    </row>
    <row r="307">
      <c r="C307" s="229"/>
    </row>
    <row r="308">
      <c r="C308" s="229"/>
    </row>
    <row r="309">
      <c r="C309" s="229"/>
    </row>
    <row r="310">
      <c r="C310" s="229"/>
    </row>
    <row r="311">
      <c r="C311" s="229"/>
    </row>
    <row r="312">
      <c r="C312" s="229"/>
    </row>
    <row r="313">
      <c r="C313" s="229"/>
    </row>
    <row r="314">
      <c r="C314" s="229"/>
    </row>
    <row r="315">
      <c r="C315" s="229"/>
    </row>
    <row r="316">
      <c r="C316" s="229"/>
    </row>
    <row r="317">
      <c r="C317" s="229"/>
    </row>
    <row r="318">
      <c r="C318" s="229"/>
    </row>
    <row r="319">
      <c r="C319" s="229"/>
    </row>
    <row r="320">
      <c r="C320" s="229"/>
    </row>
    <row r="321">
      <c r="C321" s="229"/>
    </row>
    <row r="322">
      <c r="C322" s="229"/>
    </row>
    <row r="323">
      <c r="C323" s="229"/>
    </row>
    <row r="324">
      <c r="C324" s="229"/>
    </row>
    <row r="325">
      <c r="C325" s="229"/>
    </row>
    <row r="326">
      <c r="C326" s="229"/>
    </row>
    <row r="327">
      <c r="C327" s="229"/>
    </row>
    <row r="328">
      <c r="C328" s="229"/>
    </row>
    <row r="329">
      <c r="C329" s="229"/>
    </row>
    <row r="330">
      <c r="C330" s="229"/>
    </row>
    <row r="331">
      <c r="C331" s="229"/>
    </row>
    <row r="332">
      <c r="C332" s="229"/>
    </row>
    <row r="333">
      <c r="C333" s="229"/>
    </row>
    <row r="334">
      <c r="C334" s="229"/>
    </row>
    <row r="335">
      <c r="C335" s="229"/>
    </row>
    <row r="336">
      <c r="C336" s="229"/>
    </row>
    <row r="337">
      <c r="C337" s="229"/>
    </row>
    <row r="338">
      <c r="C338" s="229"/>
    </row>
    <row r="339">
      <c r="C339" s="229"/>
    </row>
    <row r="340">
      <c r="C340" s="229"/>
    </row>
    <row r="341">
      <c r="C341" s="229"/>
    </row>
    <row r="342">
      <c r="C342" s="229"/>
    </row>
    <row r="343">
      <c r="C343" s="229"/>
    </row>
    <row r="344">
      <c r="C344" s="229"/>
    </row>
    <row r="345">
      <c r="C345" s="229"/>
    </row>
    <row r="346">
      <c r="C346" s="229"/>
    </row>
    <row r="347">
      <c r="C347" s="229"/>
    </row>
    <row r="348">
      <c r="C348" s="229"/>
    </row>
    <row r="349">
      <c r="C349" s="229"/>
    </row>
    <row r="350">
      <c r="C350" s="229"/>
    </row>
    <row r="351">
      <c r="C351" s="229"/>
    </row>
    <row r="352">
      <c r="C352" s="229"/>
    </row>
    <row r="353">
      <c r="C353" s="229"/>
    </row>
    <row r="354">
      <c r="C354" s="229"/>
    </row>
    <row r="355">
      <c r="C355" s="229"/>
    </row>
    <row r="356">
      <c r="C356" s="229"/>
    </row>
    <row r="357">
      <c r="C357" s="229"/>
    </row>
    <row r="358">
      <c r="C358" s="229"/>
    </row>
    <row r="359">
      <c r="C359" s="229"/>
    </row>
    <row r="360">
      <c r="C360" s="229"/>
    </row>
    <row r="361">
      <c r="C361" s="229"/>
    </row>
    <row r="362">
      <c r="C362" s="229"/>
    </row>
    <row r="363">
      <c r="C363" s="229"/>
    </row>
    <row r="364">
      <c r="C364" s="229"/>
    </row>
    <row r="365">
      <c r="C365" s="229"/>
    </row>
    <row r="366">
      <c r="C366" s="229"/>
    </row>
    <row r="367">
      <c r="C367" s="229"/>
    </row>
    <row r="368">
      <c r="C368" s="229"/>
    </row>
    <row r="369">
      <c r="C369" s="229"/>
    </row>
    <row r="370">
      <c r="C370" s="229"/>
    </row>
    <row r="371">
      <c r="C371" s="229"/>
    </row>
    <row r="372">
      <c r="C372" s="229"/>
    </row>
    <row r="373">
      <c r="C373" s="229"/>
    </row>
    <row r="374">
      <c r="C374" s="229"/>
    </row>
    <row r="375">
      <c r="C375" s="229"/>
    </row>
    <row r="376">
      <c r="C376" s="229"/>
    </row>
    <row r="377">
      <c r="C377" s="229"/>
    </row>
    <row r="378">
      <c r="C378" s="229"/>
    </row>
    <row r="379">
      <c r="C379" s="229"/>
    </row>
    <row r="380">
      <c r="C380" s="229"/>
    </row>
    <row r="381">
      <c r="C381" s="229"/>
    </row>
    <row r="382">
      <c r="C382" s="229"/>
    </row>
    <row r="383">
      <c r="C383" s="229"/>
    </row>
    <row r="384">
      <c r="C384" s="229"/>
    </row>
    <row r="385">
      <c r="C385" s="229"/>
    </row>
    <row r="386">
      <c r="C386" s="229"/>
    </row>
    <row r="387">
      <c r="C387" s="229"/>
    </row>
    <row r="388">
      <c r="C388" s="229"/>
    </row>
    <row r="389">
      <c r="C389" s="229"/>
    </row>
    <row r="390">
      <c r="C390" s="229"/>
    </row>
    <row r="391">
      <c r="C391" s="229"/>
    </row>
    <row r="392">
      <c r="C392" s="229"/>
    </row>
    <row r="393">
      <c r="C393" s="229"/>
    </row>
    <row r="394">
      <c r="C394" s="229"/>
    </row>
    <row r="395">
      <c r="C395" s="229"/>
    </row>
    <row r="396">
      <c r="C396" s="229"/>
    </row>
    <row r="397">
      <c r="C397" s="229"/>
    </row>
    <row r="398">
      <c r="C398" s="229"/>
    </row>
    <row r="399">
      <c r="C399" s="229"/>
    </row>
    <row r="400">
      <c r="C400" s="229"/>
    </row>
    <row r="401">
      <c r="C401" s="229"/>
    </row>
    <row r="402">
      <c r="C402" s="229"/>
    </row>
    <row r="403">
      <c r="C403" s="229"/>
    </row>
    <row r="404">
      <c r="C404" s="229"/>
    </row>
    <row r="405">
      <c r="C405" s="229"/>
    </row>
    <row r="406">
      <c r="C406" s="229"/>
    </row>
    <row r="407">
      <c r="C407" s="229"/>
    </row>
    <row r="408">
      <c r="C408" s="229"/>
    </row>
    <row r="409">
      <c r="C409" s="229"/>
    </row>
    <row r="410">
      <c r="C410" s="229"/>
    </row>
    <row r="411">
      <c r="C411" s="229"/>
    </row>
    <row r="412">
      <c r="C412" s="229"/>
    </row>
    <row r="413">
      <c r="C413" s="229"/>
    </row>
    <row r="414">
      <c r="C414" s="229"/>
    </row>
    <row r="415">
      <c r="C415" s="229"/>
    </row>
    <row r="416">
      <c r="C416" s="229"/>
    </row>
    <row r="417">
      <c r="C417" s="229"/>
    </row>
    <row r="418">
      <c r="C418" s="229"/>
    </row>
    <row r="419">
      <c r="C419" s="229"/>
    </row>
    <row r="420">
      <c r="C420" s="229"/>
    </row>
    <row r="421">
      <c r="C421" s="229"/>
    </row>
    <row r="422">
      <c r="C422" s="229"/>
    </row>
    <row r="423">
      <c r="C423" s="229"/>
    </row>
    <row r="424">
      <c r="C424" s="229"/>
    </row>
    <row r="425">
      <c r="C425" s="229"/>
    </row>
    <row r="426">
      <c r="C426" s="229"/>
    </row>
    <row r="427">
      <c r="C427" s="229"/>
    </row>
    <row r="428">
      <c r="C428" s="229"/>
    </row>
    <row r="429">
      <c r="C429" s="229"/>
    </row>
    <row r="430">
      <c r="C430" s="229"/>
    </row>
    <row r="431">
      <c r="C431" s="229"/>
    </row>
    <row r="432">
      <c r="C432" s="229"/>
    </row>
    <row r="433">
      <c r="C433" s="229"/>
    </row>
    <row r="434">
      <c r="C434" s="229"/>
    </row>
    <row r="435">
      <c r="C435" s="229"/>
    </row>
    <row r="436">
      <c r="C436" s="229"/>
    </row>
    <row r="437">
      <c r="C437" s="229"/>
    </row>
    <row r="438">
      <c r="C438" s="229"/>
    </row>
    <row r="439">
      <c r="C439" s="229"/>
    </row>
    <row r="440">
      <c r="C440" s="229"/>
    </row>
    <row r="441">
      <c r="C441" s="229"/>
    </row>
    <row r="442">
      <c r="C442" s="229"/>
    </row>
    <row r="443">
      <c r="C443" s="229"/>
    </row>
    <row r="444">
      <c r="C444" s="229"/>
    </row>
    <row r="445">
      <c r="C445" s="229"/>
    </row>
    <row r="446">
      <c r="C446" s="229"/>
    </row>
    <row r="447">
      <c r="C447" s="229"/>
    </row>
    <row r="448">
      <c r="C448" s="229"/>
    </row>
    <row r="449">
      <c r="C449" s="229"/>
    </row>
    <row r="450">
      <c r="C450" s="229"/>
    </row>
    <row r="451">
      <c r="C451" s="229"/>
    </row>
    <row r="452">
      <c r="C452" s="229"/>
    </row>
    <row r="453">
      <c r="C453" s="229"/>
    </row>
    <row r="454">
      <c r="C454" s="229"/>
    </row>
    <row r="455">
      <c r="C455" s="229"/>
    </row>
    <row r="456">
      <c r="C456" s="229"/>
    </row>
    <row r="457">
      <c r="C457" s="229"/>
    </row>
    <row r="458">
      <c r="C458" s="229"/>
    </row>
    <row r="459">
      <c r="C459" s="229"/>
    </row>
    <row r="460">
      <c r="C460" s="229"/>
    </row>
    <row r="461">
      <c r="C461" s="229"/>
    </row>
    <row r="462">
      <c r="C462" s="229"/>
    </row>
    <row r="463">
      <c r="C463" s="229"/>
    </row>
    <row r="464">
      <c r="C464" s="229"/>
    </row>
    <row r="465">
      <c r="C465" s="229"/>
    </row>
    <row r="466">
      <c r="C466" s="229"/>
    </row>
    <row r="467">
      <c r="C467" s="229"/>
    </row>
    <row r="468">
      <c r="C468" s="229"/>
    </row>
    <row r="469">
      <c r="C469" s="229"/>
    </row>
    <row r="470">
      <c r="C470" s="229"/>
    </row>
    <row r="471">
      <c r="C471" s="229"/>
    </row>
    <row r="472">
      <c r="C472" s="229"/>
    </row>
    <row r="473">
      <c r="C473" s="229"/>
    </row>
    <row r="474">
      <c r="C474" s="229"/>
    </row>
    <row r="475">
      <c r="C475" s="229"/>
    </row>
    <row r="476">
      <c r="C476" s="229"/>
    </row>
    <row r="477">
      <c r="C477" s="229"/>
    </row>
    <row r="478">
      <c r="C478" s="229"/>
    </row>
    <row r="479">
      <c r="C479" s="229"/>
    </row>
    <row r="480">
      <c r="C480" s="229"/>
    </row>
    <row r="481">
      <c r="C481" s="229"/>
    </row>
    <row r="482">
      <c r="C482" s="229"/>
    </row>
    <row r="483">
      <c r="C483" s="229"/>
    </row>
    <row r="484">
      <c r="C484" s="229"/>
    </row>
    <row r="485">
      <c r="C485" s="229"/>
    </row>
    <row r="486">
      <c r="C486" s="229"/>
    </row>
    <row r="487">
      <c r="C487" s="229"/>
    </row>
    <row r="488">
      <c r="C488" s="229"/>
    </row>
    <row r="489">
      <c r="C489" s="229"/>
    </row>
    <row r="490">
      <c r="C490" s="229"/>
    </row>
    <row r="491">
      <c r="C491" s="229"/>
    </row>
    <row r="492">
      <c r="C492" s="229"/>
    </row>
    <row r="493">
      <c r="C493" s="229"/>
    </row>
    <row r="494">
      <c r="C494" s="229"/>
    </row>
    <row r="495">
      <c r="C495" s="229"/>
    </row>
    <row r="496">
      <c r="C496" s="229"/>
    </row>
    <row r="497">
      <c r="C497" s="229"/>
    </row>
    <row r="498">
      <c r="C498" s="229"/>
    </row>
    <row r="499">
      <c r="C499" s="229"/>
    </row>
    <row r="500">
      <c r="C500" s="229"/>
    </row>
    <row r="501">
      <c r="C501" s="229"/>
    </row>
    <row r="502">
      <c r="C502" s="229"/>
    </row>
    <row r="503">
      <c r="C503" s="229"/>
    </row>
    <row r="504">
      <c r="C504" s="229"/>
    </row>
    <row r="505">
      <c r="C505" s="229"/>
    </row>
    <row r="506">
      <c r="C506" s="229"/>
    </row>
    <row r="507">
      <c r="C507" s="229"/>
    </row>
    <row r="508">
      <c r="C508" s="229"/>
    </row>
    <row r="509">
      <c r="C509" s="229"/>
    </row>
    <row r="510">
      <c r="C510" s="229"/>
    </row>
    <row r="511">
      <c r="C511" s="229"/>
    </row>
    <row r="512">
      <c r="C512" s="229"/>
    </row>
    <row r="513">
      <c r="C513" s="229"/>
    </row>
    <row r="514">
      <c r="C514" s="229"/>
    </row>
    <row r="515">
      <c r="C515" s="229"/>
    </row>
    <row r="516">
      <c r="C516" s="229"/>
    </row>
    <row r="517">
      <c r="C517" s="229"/>
    </row>
    <row r="518">
      <c r="C518" s="229"/>
    </row>
    <row r="519">
      <c r="C519" s="229"/>
    </row>
    <row r="520">
      <c r="C520" s="229"/>
    </row>
    <row r="521">
      <c r="C521" s="229"/>
    </row>
    <row r="522">
      <c r="C522" s="229"/>
    </row>
    <row r="523">
      <c r="C523" s="229"/>
    </row>
    <row r="524">
      <c r="C524" s="229"/>
    </row>
    <row r="525">
      <c r="C525" s="229"/>
    </row>
    <row r="526">
      <c r="C526" s="229"/>
    </row>
    <row r="527">
      <c r="C527" s="229"/>
    </row>
    <row r="528">
      <c r="C528" s="229"/>
    </row>
    <row r="529">
      <c r="C529" s="229"/>
    </row>
    <row r="530">
      <c r="C530" s="229"/>
    </row>
    <row r="531">
      <c r="C531" s="229"/>
    </row>
    <row r="532">
      <c r="C532" s="229"/>
    </row>
    <row r="533">
      <c r="C533" s="229"/>
    </row>
    <row r="534">
      <c r="C534" s="229"/>
    </row>
    <row r="535">
      <c r="C535" s="229"/>
    </row>
    <row r="536">
      <c r="C536" s="229"/>
    </row>
    <row r="537">
      <c r="C537" s="229"/>
    </row>
    <row r="538">
      <c r="C538" s="229"/>
    </row>
    <row r="539">
      <c r="C539" s="229"/>
    </row>
    <row r="540">
      <c r="C540" s="229"/>
    </row>
    <row r="541">
      <c r="C541" s="229"/>
    </row>
    <row r="542">
      <c r="C542" s="229"/>
    </row>
    <row r="543">
      <c r="C543" s="229"/>
    </row>
    <row r="544">
      <c r="C544" s="229"/>
    </row>
    <row r="545">
      <c r="C545" s="229"/>
    </row>
    <row r="546">
      <c r="C546" s="229"/>
    </row>
    <row r="547">
      <c r="C547" s="229"/>
    </row>
    <row r="548">
      <c r="C548" s="229"/>
    </row>
    <row r="549">
      <c r="C549" s="229"/>
    </row>
    <row r="550">
      <c r="C550" s="229"/>
    </row>
    <row r="551">
      <c r="C551" s="229"/>
    </row>
    <row r="552">
      <c r="C552" s="229"/>
    </row>
    <row r="553">
      <c r="C553" s="229"/>
    </row>
    <row r="554">
      <c r="C554" s="229"/>
    </row>
    <row r="555">
      <c r="C555" s="229"/>
    </row>
    <row r="556">
      <c r="C556" s="229"/>
    </row>
    <row r="557">
      <c r="C557" s="229"/>
    </row>
    <row r="558">
      <c r="C558" s="229"/>
    </row>
    <row r="559">
      <c r="C559" s="229"/>
    </row>
    <row r="560">
      <c r="C560" s="229"/>
    </row>
    <row r="561">
      <c r="C561" s="229"/>
    </row>
    <row r="562">
      <c r="C562" s="229"/>
    </row>
    <row r="563">
      <c r="C563" s="229"/>
    </row>
    <row r="564">
      <c r="C564" s="229"/>
    </row>
    <row r="565">
      <c r="C565" s="229"/>
    </row>
    <row r="566">
      <c r="C566" s="229"/>
    </row>
    <row r="567">
      <c r="C567" s="229"/>
    </row>
    <row r="568">
      <c r="C568" s="229"/>
    </row>
    <row r="569">
      <c r="C569" s="229"/>
    </row>
    <row r="570">
      <c r="C570" s="229"/>
    </row>
    <row r="571">
      <c r="C571" s="229"/>
    </row>
    <row r="572">
      <c r="C572" s="229"/>
    </row>
    <row r="573">
      <c r="C573" s="229"/>
    </row>
    <row r="574">
      <c r="C574" s="229"/>
    </row>
    <row r="575">
      <c r="C575" s="229"/>
    </row>
    <row r="576">
      <c r="C576" s="229"/>
    </row>
    <row r="577">
      <c r="C577" s="229"/>
    </row>
    <row r="578">
      <c r="C578" s="229"/>
    </row>
    <row r="579">
      <c r="C579" s="229"/>
    </row>
    <row r="580">
      <c r="C580" s="229"/>
    </row>
    <row r="581">
      <c r="C581" s="229"/>
    </row>
    <row r="582">
      <c r="C582" s="229"/>
    </row>
    <row r="583">
      <c r="C583" s="229"/>
    </row>
    <row r="584">
      <c r="C584" s="229"/>
    </row>
    <row r="585">
      <c r="C585" s="229"/>
    </row>
    <row r="586">
      <c r="C586" s="229"/>
    </row>
    <row r="587">
      <c r="C587" s="229"/>
    </row>
    <row r="588">
      <c r="C588" s="229"/>
    </row>
    <row r="589">
      <c r="C589" s="229"/>
    </row>
    <row r="590">
      <c r="C590" s="229"/>
    </row>
    <row r="591">
      <c r="C591" s="229"/>
    </row>
    <row r="592">
      <c r="C592" s="229"/>
    </row>
    <row r="593">
      <c r="C593" s="229"/>
    </row>
    <row r="594">
      <c r="C594" s="229"/>
    </row>
    <row r="595">
      <c r="C595" s="229"/>
    </row>
    <row r="596">
      <c r="C596" s="229"/>
    </row>
    <row r="597">
      <c r="C597" s="229"/>
    </row>
    <row r="598">
      <c r="C598" s="229"/>
    </row>
    <row r="599">
      <c r="C599" s="229"/>
    </row>
    <row r="600">
      <c r="C600" s="229"/>
    </row>
    <row r="601">
      <c r="C601" s="229"/>
    </row>
    <row r="602">
      <c r="C602" s="229"/>
    </row>
    <row r="603">
      <c r="C603" s="229"/>
    </row>
    <row r="604">
      <c r="C604" s="229"/>
    </row>
    <row r="605">
      <c r="C605" s="229"/>
    </row>
    <row r="606">
      <c r="C606" s="22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0"/>
    <col customWidth="1" min="3" max="3" width="6.5"/>
    <col customWidth="1" min="4" max="5" width="9.75"/>
    <col customWidth="1" min="6" max="6" width="44.88"/>
    <col customWidth="1" min="7" max="7" width="5.38"/>
    <col customWidth="1" min="8" max="8" width="28.0"/>
    <col customWidth="1" min="9" max="9" width="5.38"/>
    <col customWidth="1" min="10" max="10" width="46.0"/>
    <col customWidth="1" min="11" max="11" width="4.38"/>
    <col customWidth="1" min="12" max="13" width="11.38"/>
  </cols>
  <sheetData>
    <row r="1">
      <c r="A1" s="234" t="s">
        <v>813</v>
      </c>
      <c r="B1" s="234" t="s">
        <v>814</v>
      </c>
      <c r="C1" s="234" t="s">
        <v>815</v>
      </c>
      <c r="D1" s="235"/>
      <c r="E1" s="235"/>
      <c r="F1" s="235"/>
      <c r="G1" s="236"/>
      <c r="H1" s="235"/>
      <c r="I1" s="235"/>
      <c r="J1" s="237"/>
      <c r="K1" s="238"/>
      <c r="L1" s="237"/>
      <c r="M1" s="237"/>
      <c r="N1" s="237"/>
      <c r="O1" s="237"/>
      <c r="P1" s="237"/>
      <c r="Q1" s="237"/>
      <c r="R1" s="230"/>
      <c r="S1" s="230"/>
      <c r="T1" s="230"/>
      <c r="U1" s="239"/>
      <c r="V1" s="239"/>
      <c r="W1" s="239"/>
      <c r="X1" s="239"/>
      <c r="Y1" s="239"/>
      <c r="Z1" s="239"/>
      <c r="AA1" s="239"/>
      <c r="AB1" s="239"/>
      <c r="AC1" s="239"/>
      <c r="AD1" s="239"/>
      <c r="AE1" s="239"/>
      <c r="AF1" s="239"/>
      <c r="AG1" s="239"/>
      <c r="AH1" s="239"/>
      <c r="AI1" s="239"/>
      <c r="AJ1" s="239"/>
      <c r="AK1" s="239"/>
      <c r="AL1" s="239"/>
      <c r="AM1" s="239"/>
      <c r="AN1" s="239"/>
      <c r="AO1" s="239"/>
      <c r="AP1" s="239"/>
      <c r="AQ1" s="239"/>
      <c r="AR1" s="239"/>
      <c r="AS1" s="239"/>
      <c r="AT1" s="239"/>
      <c r="AU1" s="239"/>
      <c r="AV1" s="239"/>
      <c r="AW1" s="239"/>
      <c r="AX1" s="239"/>
      <c r="AY1" s="239"/>
      <c r="AZ1" s="239"/>
      <c r="BA1" s="239"/>
      <c r="BB1" s="239"/>
      <c r="BC1" s="239"/>
      <c r="BD1" s="239"/>
      <c r="BE1" s="239"/>
      <c r="BF1" s="239"/>
      <c r="BG1" s="239"/>
    </row>
    <row r="2">
      <c r="A2" s="240" t="s">
        <v>816</v>
      </c>
      <c r="B2" s="241"/>
      <c r="C2" s="241"/>
      <c r="D2" s="242"/>
      <c r="E2" s="242"/>
      <c r="F2" s="243"/>
      <c r="G2" s="244"/>
      <c r="H2" s="243"/>
      <c r="I2" s="245"/>
      <c r="J2" s="245"/>
      <c r="K2" s="246"/>
      <c r="L2" s="243"/>
      <c r="M2" s="243"/>
      <c r="N2" s="245"/>
      <c r="O2" s="245"/>
      <c r="P2" s="245"/>
      <c r="Q2" s="245"/>
      <c r="R2" s="239"/>
      <c r="S2" s="239"/>
      <c r="T2" s="239"/>
      <c r="U2" s="239"/>
      <c r="V2" s="239"/>
      <c r="W2" s="239"/>
      <c r="X2" s="239"/>
      <c r="Y2" s="239"/>
      <c r="Z2" s="239"/>
      <c r="AA2" s="239"/>
      <c r="AB2" s="239"/>
      <c r="AC2" s="239"/>
      <c r="AD2" s="239"/>
      <c r="AE2" s="239"/>
      <c r="AF2" s="239"/>
      <c r="AG2" s="239"/>
      <c r="AH2" s="239"/>
      <c r="AI2" s="239"/>
      <c r="AJ2" s="239"/>
      <c r="AK2" s="239"/>
      <c r="AL2" s="239"/>
      <c r="AM2" s="239"/>
      <c r="AN2" s="239"/>
      <c r="AO2" s="239"/>
      <c r="AP2" s="239"/>
      <c r="AQ2" s="239"/>
      <c r="AR2" s="239"/>
      <c r="AS2" s="239"/>
      <c r="AT2" s="239"/>
      <c r="AU2" s="239"/>
      <c r="AV2" s="239"/>
      <c r="AW2" s="239"/>
      <c r="AX2" s="239"/>
      <c r="AY2" s="239"/>
      <c r="AZ2" s="239"/>
      <c r="BA2" s="239"/>
      <c r="BB2" s="239"/>
      <c r="BC2" s="239"/>
      <c r="BD2" s="239"/>
      <c r="BE2" s="239"/>
      <c r="BF2" s="239"/>
      <c r="BG2" s="239"/>
    </row>
    <row r="3">
      <c r="A3" s="240"/>
      <c r="B3" s="241" t="b">
        <v>1</v>
      </c>
      <c r="C3" s="241" t="b">
        <v>0</v>
      </c>
      <c r="D3" s="242"/>
      <c r="E3" s="242"/>
      <c r="F3" s="243"/>
      <c r="G3" s="244"/>
      <c r="H3" s="243"/>
      <c r="I3" s="243"/>
      <c r="J3" s="243"/>
      <c r="K3" s="244"/>
      <c r="L3" s="243"/>
      <c r="M3" s="243"/>
      <c r="N3" s="243"/>
      <c r="O3" s="243"/>
      <c r="P3" s="243"/>
      <c r="Q3" s="243"/>
      <c r="R3" s="247"/>
      <c r="S3" s="247"/>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c r="BB3" s="239"/>
      <c r="BC3" s="239"/>
      <c r="BD3" s="239"/>
      <c r="BE3" s="239"/>
      <c r="BF3" s="239"/>
      <c r="BG3" s="239"/>
    </row>
    <row r="4">
      <c r="A4" s="240"/>
      <c r="B4" s="241" t="b">
        <v>0</v>
      </c>
      <c r="C4" s="241" t="b">
        <v>0</v>
      </c>
      <c r="D4" s="242"/>
      <c r="E4" s="242"/>
      <c r="F4" s="243"/>
      <c r="G4" s="244"/>
      <c r="H4" s="243"/>
      <c r="I4" s="243"/>
      <c r="J4" s="243"/>
      <c r="K4" s="244"/>
      <c r="L4" s="243"/>
      <c r="M4" s="243"/>
      <c r="N4" s="243"/>
      <c r="O4" s="243"/>
      <c r="P4" s="243"/>
      <c r="Q4" s="243"/>
      <c r="R4" s="247"/>
      <c r="S4" s="247"/>
      <c r="T4" s="239"/>
      <c r="U4" s="239"/>
      <c r="V4" s="239"/>
      <c r="W4" s="239"/>
      <c r="X4" s="239"/>
      <c r="Y4" s="239"/>
      <c r="Z4" s="239"/>
      <c r="AA4" s="239"/>
      <c r="AB4" s="239"/>
      <c r="AC4" s="239"/>
      <c r="AD4" s="239"/>
      <c r="AE4" s="239"/>
      <c r="AF4" s="239"/>
      <c r="AG4" s="239"/>
      <c r="AH4" s="239"/>
      <c r="AI4" s="239"/>
      <c r="AJ4" s="239"/>
      <c r="AK4" s="239"/>
      <c r="AL4" s="239"/>
      <c r="AM4" s="239"/>
      <c r="AN4" s="239"/>
      <c r="AO4" s="239"/>
      <c r="AP4" s="239"/>
      <c r="AQ4" s="239"/>
      <c r="AR4" s="239"/>
      <c r="AS4" s="239"/>
      <c r="AT4" s="239"/>
      <c r="AU4" s="239"/>
      <c r="AV4" s="239"/>
      <c r="AW4" s="239"/>
      <c r="AX4" s="239"/>
      <c r="AY4" s="239"/>
      <c r="AZ4" s="239"/>
      <c r="BA4" s="239"/>
      <c r="BB4" s="239"/>
      <c r="BC4" s="239"/>
      <c r="BD4" s="239"/>
      <c r="BE4" s="239"/>
      <c r="BF4" s="239"/>
      <c r="BG4" s="239"/>
    </row>
    <row r="5">
      <c r="A5" s="240"/>
      <c r="B5" s="241" t="b">
        <v>0</v>
      </c>
      <c r="C5" s="241" t="b">
        <v>0</v>
      </c>
      <c r="D5" s="242"/>
      <c r="E5" s="242"/>
      <c r="F5" s="243"/>
      <c r="G5" s="244"/>
      <c r="H5" s="243"/>
      <c r="I5" s="245"/>
      <c r="J5" s="245"/>
      <c r="K5" s="246"/>
      <c r="L5" s="248"/>
      <c r="M5" s="248"/>
      <c r="N5" s="245"/>
      <c r="O5" s="245"/>
      <c r="P5" s="245"/>
      <c r="Q5" s="245"/>
      <c r="R5" s="239"/>
      <c r="S5" s="239"/>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239"/>
      <c r="AY5" s="239"/>
      <c r="AZ5" s="239"/>
      <c r="BA5" s="239"/>
      <c r="BB5" s="239"/>
      <c r="BC5" s="239"/>
      <c r="BD5" s="239"/>
      <c r="BE5" s="239"/>
      <c r="BF5" s="239"/>
      <c r="BG5" s="239"/>
    </row>
    <row r="6">
      <c r="A6" s="240"/>
      <c r="B6" s="241" t="b">
        <v>0</v>
      </c>
      <c r="C6" s="241" t="b">
        <v>0</v>
      </c>
      <c r="D6" s="242"/>
      <c r="E6" s="242"/>
      <c r="F6" s="243"/>
      <c r="G6" s="244"/>
      <c r="H6" s="243"/>
      <c r="I6" s="245"/>
      <c r="J6" s="245"/>
      <c r="K6" s="249"/>
      <c r="L6" s="245"/>
      <c r="M6" s="245"/>
      <c r="N6" s="245"/>
      <c r="O6" s="245"/>
      <c r="P6" s="245"/>
      <c r="Q6" s="245"/>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c r="AU6" s="239"/>
      <c r="AV6" s="239"/>
      <c r="AW6" s="239"/>
      <c r="AX6" s="239"/>
      <c r="AY6" s="239"/>
      <c r="AZ6" s="239"/>
      <c r="BA6" s="239"/>
      <c r="BB6" s="239"/>
      <c r="BC6" s="239"/>
      <c r="BD6" s="239"/>
      <c r="BE6" s="239"/>
      <c r="BF6" s="239"/>
      <c r="BG6" s="239"/>
    </row>
    <row r="7">
      <c r="A7" s="240"/>
      <c r="B7" s="241" t="b">
        <v>0</v>
      </c>
      <c r="C7" s="241" t="b">
        <v>0</v>
      </c>
      <c r="D7" s="242"/>
      <c r="E7" s="242"/>
      <c r="F7" s="243"/>
      <c r="G7" s="250"/>
      <c r="H7" s="251"/>
      <c r="I7" s="245"/>
      <c r="J7" s="245"/>
      <c r="K7" s="252"/>
      <c r="L7" s="245"/>
      <c r="M7" s="245"/>
      <c r="N7" s="245"/>
      <c r="O7" s="245"/>
      <c r="P7" s="245"/>
      <c r="Q7" s="245"/>
      <c r="R7" s="239"/>
      <c r="S7" s="239"/>
      <c r="T7" s="239"/>
      <c r="U7" s="239"/>
      <c r="V7" s="239"/>
      <c r="W7" s="239"/>
      <c r="X7" s="239"/>
      <c r="Y7" s="239"/>
      <c r="Z7" s="239"/>
      <c r="AA7" s="239"/>
      <c r="AB7" s="239"/>
      <c r="AC7" s="239"/>
      <c r="AD7" s="239"/>
      <c r="AE7" s="239"/>
      <c r="AF7" s="239"/>
      <c r="AG7" s="239"/>
      <c r="AH7" s="239"/>
      <c r="AI7" s="239"/>
      <c r="AJ7" s="239"/>
      <c r="AK7" s="239"/>
      <c r="AL7" s="239"/>
      <c r="AM7" s="239"/>
      <c r="AN7" s="239"/>
      <c r="AO7" s="239"/>
      <c r="AP7" s="239"/>
      <c r="AQ7" s="239"/>
      <c r="AR7" s="239"/>
      <c r="AS7" s="239"/>
      <c r="AT7" s="239"/>
      <c r="AU7" s="239"/>
      <c r="AV7" s="239"/>
      <c r="AW7" s="239"/>
      <c r="AX7" s="239"/>
      <c r="AY7" s="239"/>
      <c r="AZ7" s="239"/>
      <c r="BA7" s="239"/>
      <c r="BB7" s="239"/>
      <c r="BC7" s="239"/>
      <c r="BD7" s="239"/>
      <c r="BE7" s="239"/>
      <c r="BF7" s="239"/>
      <c r="BG7" s="239"/>
    </row>
    <row r="8">
      <c r="A8" s="240"/>
      <c r="B8" s="241" t="b">
        <v>0</v>
      </c>
      <c r="C8" s="241" t="b">
        <v>0</v>
      </c>
      <c r="D8" s="242"/>
      <c r="E8" s="242"/>
      <c r="F8" s="243"/>
      <c r="G8" s="244"/>
      <c r="H8" s="243"/>
      <c r="I8" s="245"/>
      <c r="J8" s="245"/>
      <c r="K8" s="252"/>
      <c r="L8" s="245"/>
      <c r="M8" s="245"/>
      <c r="N8" s="245"/>
      <c r="O8" s="245"/>
      <c r="P8" s="245"/>
      <c r="Q8" s="245"/>
      <c r="R8" s="239"/>
      <c r="S8" s="239"/>
      <c r="T8" s="239"/>
      <c r="U8" s="239"/>
      <c r="V8" s="239"/>
      <c r="W8" s="239"/>
      <c r="X8" s="239"/>
      <c r="Y8" s="239"/>
      <c r="Z8" s="239"/>
      <c r="AA8" s="239"/>
      <c r="AB8" s="239"/>
      <c r="AC8" s="239"/>
      <c r="AD8" s="239"/>
      <c r="AE8" s="239"/>
      <c r="AF8" s="239"/>
      <c r="AG8" s="239"/>
      <c r="AH8" s="239"/>
      <c r="AI8" s="239"/>
      <c r="AJ8" s="239"/>
      <c r="AK8" s="239"/>
      <c r="AL8" s="239"/>
      <c r="AM8" s="239"/>
      <c r="AN8" s="239"/>
      <c r="AO8" s="239"/>
      <c r="AP8" s="239"/>
      <c r="AQ8" s="239"/>
      <c r="AR8" s="239"/>
      <c r="AS8" s="239"/>
      <c r="AT8" s="239"/>
      <c r="AU8" s="239"/>
      <c r="AV8" s="239"/>
      <c r="AW8" s="239"/>
      <c r="AX8" s="239"/>
      <c r="AY8" s="239"/>
      <c r="AZ8" s="239"/>
      <c r="BA8" s="239"/>
      <c r="BB8" s="239"/>
      <c r="BC8" s="239"/>
      <c r="BD8" s="239"/>
      <c r="BE8" s="239"/>
      <c r="BF8" s="239"/>
      <c r="BG8" s="239"/>
    </row>
    <row r="9">
      <c r="A9" s="240"/>
      <c r="B9" s="241" t="b">
        <v>0</v>
      </c>
      <c r="C9" s="241" t="b">
        <v>0</v>
      </c>
      <c r="D9" s="242"/>
      <c r="E9" s="242"/>
      <c r="F9" s="243"/>
      <c r="G9" s="244"/>
      <c r="H9" s="243"/>
      <c r="I9" s="245"/>
      <c r="J9" s="245"/>
      <c r="K9" s="252"/>
      <c r="L9" s="245"/>
      <c r="M9" s="245"/>
      <c r="N9" s="245"/>
      <c r="O9" s="245"/>
      <c r="P9" s="245"/>
      <c r="Q9" s="245"/>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row>
    <row r="10">
      <c r="A10" s="234" t="s">
        <v>817</v>
      </c>
      <c r="B10" s="253"/>
      <c r="C10" s="253"/>
      <c r="D10" s="242"/>
      <c r="E10" s="242"/>
      <c r="F10" s="242"/>
      <c r="G10" s="250"/>
      <c r="H10" s="251"/>
      <c r="I10" s="243"/>
      <c r="J10" s="243"/>
      <c r="K10" s="244"/>
      <c r="L10" s="243"/>
      <c r="M10" s="243"/>
      <c r="N10" s="243"/>
      <c r="O10" s="243"/>
      <c r="P10" s="243"/>
      <c r="Q10" s="243"/>
      <c r="R10" s="247"/>
      <c r="S10" s="247"/>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c r="AX10" s="239"/>
      <c r="AY10" s="239"/>
      <c r="AZ10" s="239"/>
      <c r="BA10" s="239"/>
      <c r="BB10" s="239"/>
      <c r="BC10" s="239"/>
      <c r="BD10" s="239"/>
      <c r="BE10" s="239"/>
      <c r="BF10" s="239"/>
      <c r="BG10" s="239"/>
      <c r="BH10" s="239"/>
      <c r="BI10" s="239"/>
    </row>
    <row r="11">
      <c r="A11" s="240" t="s">
        <v>818</v>
      </c>
      <c r="B11" s="254" t="b">
        <v>1</v>
      </c>
      <c r="C11" s="255"/>
      <c r="D11" s="255"/>
      <c r="E11" s="255"/>
      <c r="F11" s="256"/>
      <c r="G11" s="255"/>
      <c r="H11" s="255"/>
      <c r="I11" s="255"/>
      <c r="J11" s="256"/>
      <c r="K11" s="256"/>
      <c r="L11" s="255"/>
      <c r="M11" s="255"/>
      <c r="N11" s="255"/>
      <c r="O11" s="255"/>
      <c r="P11" s="255"/>
      <c r="Q11" s="255"/>
      <c r="R11" s="255"/>
      <c r="S11" s="255"/>
      <c r="T11" s="255"/>
      <c r="U11" s="255"/>
      <c r="V11" s="255"/>
      <c r="W11" s="255"/>
      <c r="X11" s="255"/>
      <c r="Y11" s="255"/>
      <c r="Z11" s="255"/>
      <c r="AA11" s="255"/>
      <c r="AB11" s="255"/>
      <c r="AC11" s="255"/>
      <c r="AD11" s="255"/>
      <c r="AE11" s="255"/>
      <c r="AF11" s="255"/>
      <c r="AG11" s="255"/>
      <c r="AH11" s="255"/>
      <c r="AI11" s="255"/>
      <c r="AJ11" s="255"/>
      <c r="AK11" s="255"/>
      <c r="AL11" s="255"/>
      <c r="AM11" s="255"/>
      <c r="AN11" s="255"/>
      <c r="AO11" s="255"/>
      <c r="AP11" s="255"/>
      <c r="AQ11" s="255"/>
      <c r="AR11" s="255"/>
      <c r="AS11" s="255"/>
      <c r="AT11" s="255"/>
      <c r="AU11" s="255"/>
      <c r="AV11" s="255"/>
      <c r="AW11" s="255"/>
      <c r="AX11" s="255"/>
      <c r="AY11" s="255"/>
      <c r="AZ11" s="255"/>
      <c r="BA11" s="255"/>
      <c r="BB11" s="255"/>
      <c r="BC11" s="255"/>
      <c r="BD11" s="255"/>
      <c r="BE11" s="255"/>
      <c r="BF11" s="255"/>
      <c r="BG11" s="255"/>
      <c r="BH11" s="255"/>
      <c r="BI11" s="255"/>
    </row>
    <row r="12">
      <c r="A12" s="240" t="s">
        <v>819</v>
      </c>
      <c r="B12" s="254" t="b">
        <v>1</v>
      </c>
      <c r="C12" s="257"/>
      <c r="D12" s="258">
        <f>SUMIF(C14:C499,"FALSE",D14:D499)</f>
        <v>0</v>
      </c>
      <c r="E12" s="258">
        <f>SUMIF(C14:C499,"FALSE",E14:E499)</f>
        <v>10318.56</v>
      </c>
      <c r="F12" s="256"/>
      <c r="G12" s="255"/>
      <c r="H12" s="255"/>
      <c r="I12" s="255"/>
      <c r="J12" s="256"/>
      <c r="K12" s="256"/>
      <c r="L12" s="259">
        <f t="shared" ref="L12:M12" si="1">SUM(L14:L499)</f>
        <v>0</v>
      </c>
      <c r="M12" s="259">
        <f t="shared" si="1"/>
        <v>0</v>
      </c>
      <c r="N12" s="255"/>
      <c r="O12" s="255"/>
      <c r="P12" s="255"/>
      <c r="Q12" s="255"/>
      <c r="R12" s="255"/>
      <c r="S12" s="255"/>
      <c r="T12" s="255"/>
      <c r="U12" s="255"/>
      <c r="V12" s="255"/>
      <c r="W12" s="255"/>
      <c r="X12" s="255"/>
      <c r="Y12" s="255"/>
      <c r="Z12" s="255"/>
      <c r="AA12" s="255"/>
      <c r="AB12" s="255"/>
      <c r="AC12" s="255"/>
      <c r="AD12" s="255"/>
      <c r="AE12" s="255"/>
      <c r="AF12" s="255"/>
      <c r="AG12" s="255"/>
      <c r="AH12" s="255"/>
      <c r="AI12" s="255"/>
      <c r="AJ12" s="255"/>
      <c r="AK12" s="255"/>
      <c r="AL12" s="255"/>
      <c r="AM12" s="255"/>
      <c r="AN12" s="255"/>
      <c r="AO12" s="255"/>
      <c r="AP12" s="255"/>
      <c r="AQ12" s="255"/>
      <c r="AR12" s="255"/>
      <c r="AS12" s="255"/>
      <c r="AT12" s="255"/>
      <c r="AU12" s="255"/>
      <c r="AV12" s="255"/>
      <c r="AW12" s="255"/>
      <c r="AX12" s="255"/>
      <c r="AY12" s="255"/>
      <c r="AZ12" s="255"/>
      <c r="BA12" s="255"/>
      <c r="BB12" s="255"/>
      <c r="BC12" s="255"/>
      <c r="BD12" s="255"/>
      <c r="BE12" s="255"/>
      <c r="BF12" s="255"/>
      <c r="BG12" s="255"/>
      <c r="BH12" s="255"/>
    </row>
    <row r="13">
      <c r="A13" s="240" t="s">
        <v>820</v>
      </c>
      <c r="B13" s="254" t="b">
        <v>1</v>
      </c>
      <c r="C13" s="260" t="s">
        <v>815</v>
      </c>
      <c r="D13" s="260" t="str">
        <f>IFERROR(__xludf.DUMMYFUNCTION("QUERY(todos!A2:J1012,IF('development view'!E5&lt;&gt;"""",'development view'!E5,'development view'!E2))"),"RENDA")</f>
        <v>RENDA</v>
      </c>
      <c r="E13" s="260" t="str">
        <f>IFERROR(__xludf.DUMMYFUNCTION("""COMPUTED_VALUE"""),"GASTOS")</f>
        <v>GASTOS</v>
      </c>
      <c r="F13" s="260" t="str">
        <f>IFERROR(__xludf.DUMMYFUNCTION("""COMPUTED_VALUE"""),"TAGS")</f>
        <v>TAGS</v>
      </c>
      <c r="G13" s="260"/>
      <c r="H13" s="261" t="s">
        <v>9</v>
      </c>
      <c r="I13" s="262" t="str">
        <f>IFERROR(__xludf.DUMMYFUNCTION("IFERROR(CELL(""row"",INDEX(I14:I191,MATCH(""TRUE"",ARRAYFORMULA(TO_TEXT(I14:I191)),0),1)),"""")"),"")</f>
        <v/>
      </c>
      <c r="J13" s="261" t="str">
        <f>IFERROR(__xludf.DUMMYFUNCTION("QUERY(todos!A2:J1012,IF('development view'!E6&lt;&gt;"""",'development view'!E6,'development view'!E3))"),"DESCRIÇÃO")</f>
        <v>DESCRIÇÃO</v>
      </c>
      <c r="K13" s="261" t="str">
        <f>IFERROR(__xludf.DUMMYFUNCTION("""COMPUTED_VALUE"""),"MES")</f>
        <v>MES</v>
      </c>
      <c r="L13" s="261" t="str">
        <f>IFERROR(__xludf.DUMMYFUNCTION("""COMPUTED_VALUE"""),"RENDA")</f>
        <v>RENDA</v>
      </c>
      <c r="M13" s="261" t="str">
        <f>IFERROR(__xludf.DUMMYFUNCTION("""COMPUTED_VALUE"""),"GASTOS")</f>
        <v>GASTOS</v>
      </c>
      <c r="N13" s="261" t="str">
        <f>IFERROR(__xludf.DUMMYFUNCTION("""COMPUTED_VALUE"""),"STATUS")</f>
        <v>STATUS</v>
      </c>
      <c r="O13" s="255"/>
      <c r="P13" s="255"/>
      <c r="Q13" s="255"/>
      <c r="R13" s="255"/>
      <c r="S13" s="255"/>
      <c r="T13" s="255"/>
      <c r="U13" s="255"/>
      <c r="V13" s="255"/>
      <c r="W13" s="255"/>
      <c r="X13" s="255"/>
      <c r="Y13" s="255"/>
      <c r="Z13" s="255"/>
      <c r="AA13" s="255"/>
      <c r="AB13" s="255"/>
      <c r="AC13" s="255"/>
      <c r="AD13" s="255"/>
      <c r="AE13" s="255"/>
      <c r="AF13" s="255"/>
      <c r="AG13" s="255"/>
      <c r="AH13" s="255"/>
      <c r="AI13" s="255"/>
      <c r="AJ13" s="255"/>
      <c r="AK13" s="255"/>
      <c r="AL13" s="255"/>
      <c r="AM13" s="255"/>
      <c r="AN13" s="255"/>
      <c r="AO13" s="255"/>
      <c r="AP13" s="255"/>
      <c r="AQ13" s="255"/>
      <c r="AR13" s="255"/>
      <c r="AS13" s="255"/>
      <c r="AT13" s="255"/>
      <c r="AU13" s="255"/>
      <c r="AV13" s="255"/>
      <c r="AW13" s="255"/>
      <c r="AX13" s="255"/>
      <c r="AY13" s="255"/>
      <c r="AZ13" s="255"/>
      <c r="BA13" s="255"/>
      <c r="BB13" s="255"/>
      <c r="BC13" s="255"/>
      <c r="BD13" s="255"/>
      <c r="BE13" s="255"/>
      <c r="BF13" s="255"/>
      <c r="BG13" s="255"/>
      <c r="BH13" s="255"/>
    </row>
    <row r="14">
      <c r="A14" s="240" t="s">
        <v>821</v>
      </c>
      <c r="B14" s="254" t="b">
        <v>1</v>
      </c>
      <c r="C14" s="263" t="b">
        <v>0</v>
      </c>
      <c r="D14" s="264"/>
      <c r="E14" s="264">
        <f>IFERROR(__xludf.DUMMYFUNCTION("""COMPUTED_VALUE"""),1037.9)</f>
        <v>1037.9</v>
      </c>
      <c r="F14" s="264" t="str">
        <f>IFERROR(__xludf.DUMMYFUNCTION("""COMPUTED_VALUE"""),"#Escola #Eduardo #Variavel #MaterialEscolar")</f>
        <v>#Escola #Eduardo #Variavel #MaterialEscolar</v>
      </c>
      <c r="G14" s="265"/>
      <c r="H14" s="266" t="str">
        <f t="shared" ref="H14:H499" si="2">CONCATENATE(IF(IFERROR(FIND($A$2,F14),0) &gt; 0,$A$2,""),IF(IFERROR(FIND($A$3,F14),0) &gt; 0,$A$3,""),IF(IFERROR(FIND($A$4,F14),0) &gt; 0,$A$4,""),IF(IFERROR(FIND($A$5,F14),0) &gt; 0,$A$5,""),IF(IFERROR(FIND($A$6,F14),0) &gt; 0,$A$6,""),IF(IFERROR(FIND($A$7,F14),0) &gt; 0,$A$7,""),IF(IFERROR(FIND($A$8,F14),0) &gt; 0,$A$8,""),IF(IFERROR(FIND($A$9,F14),0) &gt; 0,$A$9,""))</f>
        <v>#Escola</v>
      </c>
      <c r="I14" s="263" t="b">
        <v>0</v>
      </c>
      <c r="J14" s="266"/>
      <c r="K14" s="265"/>
      <c r="L14" s="264"/>
      <c r="M14" s="264"/>
      <c r="N14" s="266"/>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c r="AL14" s="239"/>
      <c r="AM14" s="239"/>
      <c r="AN14" s="239"/>
      <c r="AO14" s="239"/>
      <c r="AP14" s="239"/>
      <c r="AQ14" s="239"/>
      <c r="AR14" s="239"/>
      <c r="AS14" s="239"/>
      <c r="AT14" s="239"/>
      <c r="AU14" s="239"/>
      <c r="AV14" s="239"/>
      <c r="AW14" s="239"/>
      <c r="AX14" s="239"/>
      <c r="AY14" s="239"/>
      <c r="AZ14" s="239"/>
      <c r="BA14" s="239"/>
      <c r="BB14" s="239"/>
      <c r="BC14" s="239"/>
      <c r="BD14" s="239"/>
      <c r="BE14" s="239"/>
      <c r="BF14" s="239"/>
      <c r="BG14" s="239"/>
    </row>
    <row r="15">
      <c r="A15" s="240" t="s">
        <v>822</v>
      </c>
      <c r="B15" s="254" t="b">
        <v>1</v>
      </c>
      <c r="C15" s="263" t="b">
        <v>0</v>
      </c>
      <c r="D15" s="264"/>
      <c r="E15" s="264">
        <f>IFERROR(__xludf.DUMMYFUNCTION("""COMPUTED_VALUE"""),520.0)</f>
        <v>520</v>
      </c>
      <c r="F15" s="264" t="str">
        <f>IFERROR(__xludf.DUMMYFUNCTION("""COMPUTED_VALUE"""),"#Escola #Eduardo #Variavel #MaterialEscolar #Roberta")</f>
        <v>#Escola #Eduardo #Variavel #MaterialEscolar #Roberta</v>
      </c>
      <c r="G15" s="265"/>
      <c r="H15" s="266" t="str">
        <f t="shared" si="2"/>
        <v>#Escola</v>
      </c>
      <c r="I15" s="263" t="b">
        <v>0</v>
      </c>
      <c r="J15" s="266"/>
      <c r="K15" s="265"/>
      <c r="L15" s="264"/>
      <c r="M15" s="264"/>
      <c r="N15" s="266"/>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239"/>
      <c r="BC15" s="239"/>
      <c r="BD15" s="239"/>
      <c r="BE15" s="239"/>
      <c r="BF15" s="239"/>
      <c r="BG15" s="239"/>
    </row>
    <row r="16">
      <c r="A16" s="240" t="s">
        <v>823</v>
      </c>
      <c r="B16" s="254" t="b">
        <v>1</v>
      </c>
      <c r="C16" s="263" t="b">
        <v>0</v>
      </c>
      <c r="D16" s="264"/>
      <c r="E16" s="264">
        <f>IFERROR(__xludf.DUMMYFUNCTION("""COMPUTED_VALUE"""),8760.66)</f>
        <v>8760.66</v>
      </c>
      <c r="F16" s="264" t="str">
        <f>IFERROR(__xludf.DUMMYFUNCTION("""COMPUTED_VALUE"""),"#Essencial #Escola #Eduardo #Fixo")</f>
        <v>#Essencial #Escola #Eduardo #Fixo</v>
      </c>
      <c r="G16" s="265"/>
      <c r="H16" s="266" t="str">
        <f t="shared" si="2"/>
        <v>#Escola</v>
      </c>
      <c r="I16" s="263" t="b">
        <v>0</v>
      </c>
      <c r="J16" s="266"/>
      <c r="K16" s="265"/>
      <c r="L16" s="264"/>
      <c r="M16" s="264"/>
      <c r="N16" s="266"/>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c r="BD16" s="239"/>
      <c r="BE16" s="239"/>
      <c r="BF16" s="239"/>
      <c r="BG16" s="239"/>
    </row>
    <row r="17">
      <c r="A17" s="240" t="s">
        <v>824</v>
      </c>
      <c r="B17" s="254" t="b">
        <v>1</v>
      </c>
      <c r="C17" s="263" t="b">
        <v>0</v>
      </c>
      <c r="D17" s="264"/>
      <c r="E17" s="264"/>
      <c r="F17" s="264"/>
      <c r="G17" s="265"/>
      <c r="H17" s="266" t="str">
        <f t="shared" si="2"/>
        <v/>
      </c>
      <c r="I17" s="263" t="b">
        <v>0</v>
      </c>
      <c r="J17" s="266"/>
      <c r="K17" s="265"/>
      <c r="L17" s="264"/>
      <c r="M17" s="264"/>
      <c r="N17" s="266"/>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c r="BD17" s="239"/>
      <c r="BE17" s="239"/>
      <c r="BF17" s="239"/>
      <c r="BG17" s="239"/>
    </row>
    <row r="18">
      <c r="A18" s="240" t="s">
        <v>825</v>
      </c>
      <c r="B18" s="254" t="b">
        <v>1</v>
      </c>
      <c r="C18" s="263" t="b">
        <v>0</v>
      </c>
      <c r="D18" s="264"/>
      <c r="E18" s="264"/>
      <c r="F18" s="264"/>
      <c r="G18" s="265"/>
      <c r="H18" s="266" t="str">
        <f t="shared" si="2"/>
        <v/>
      </c>
      <c r="I18" s="263" t="b">
        <v>0</v>
      </c>
      <c r="J18" s="266"/>
      <c r="K18" s="265"/>
      <c r="L18" s="264"/>
      <c r="M18" s="264"/>
      <c r="N18" s="266"/>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39"/>
      <c r="BG18" s="239"/>
    </row>
    <row r="19">
      <c r="A19" s="240" t="s">
        <v>826</v>
      </c>
      <c r="B19" s="254" t="b">
        <v>1</v>
      </c>
      <c r="C19" s="263" t="b">
        <v>0</v>
      </c>
      <c r="D19" s="267"/>
      <c r="E19" s="267"/>
      <c r="F19" s="264"/>
      <c r="G19" s="265"/>
      <c r="H19" s="266" t="str">
        <f t="shared" si="2"/>
        <v/>
      </c>
      <c r="I19" s="263" t="b">
        <v>0</v>
      </c>
      <c r="J19" s="266"/>
      <c r="K19" s="265"/>
      <c r="L19" s="264"/>
      <c r="M19" s="264"/>
      <c r="N19" s="266"/>
      <c r="O19" s="239"/>
      <c r="P19" s="239"/>
      <c r="Q19" s="239"/>
      <c r="R19" s="239"/>
      <c r="S19" s="239"/>
      <c r="T19" s="239"/>
      <c r="U19" s="239"/>
      <c r="V19" s="239"/>
      <c r="W19" s="239"/>
      <c r="X19" s="239"/>
      <c r="Y19" s="239"/>
      <c r="Z19" s="239"/>
      <c r="AA19" s="239"/>
      <c r="AB19" s="239"/>
      <c r="AC19" s="239"/>
      <c r="AD19" s="239"/>
      <c r="AE19" s="239"/>
      <c r="AF19" s="239"/>
      <c r="AG19" s="239"/>
      <c r="AH19" s="239"/>
      <c r="AI19" s="239"/>
      <c r="AJ19" s="239"/>
      <c r="AK19" s="239"/>
      <c r="AL19" s="239"/>
      <c r="AM19" s="239"/>
      <c r="AN19" s="239"/>
      <c r="AO19" s="239"/>
      <c r="AP19" s="239"/>
      <c r="AQ19" s="239"/>
      <c r="AR19" s="239"/>
      <c r="AS19" s="239"/>
      <c r="AT19" s="239"/>
      <c r="AU19" s="239"/>
      <c r="AV19" s="239"/>
      <c r="AW19" s="239"/>
      <c r="AX19" s="239"/>
      <c r="AY19" s="239"/>
      <c r="AZ19" s="239"/>
      <c r="BA19" s="239"/>
      <c r="BB19" s="239"/>
      <c r="BC19" s="239"/>
      <c r="BD19" s="239"/>
      <c r="BE19" s="239"/>
      <c r="BF19" s="239"/>
      <c r="BG19" s="239"/>
    </row>
    <row r="20">
      <c r="A20" s="240" t="s">
        <v>827</v>
      </c>
      <c r="B20" s="254" t="b">
        <v>1</v>
      </c>
      <c r="C20" s="263" t="b">
        <v>0</v>
      </c>
      <c r="D20" s="267"/>
      <c r="E20" s="267"/>
      <c r="F20" s="264"/>
      <c r="G20" s="265"/>
      <c r="H20" s="266" t="str">
        <f t="shared" si="2"/>
        <v/>
      </c>
      <c r="I20" s="263" t="b">
        <v>0</v>
      </c>
      <c r="J20" s="266"/>
      <c r="K20" s="265"/>
      <c r="L20" s="264"/>
      <c r="M20" s="264"/>
      <c r="N20" s="266"/>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row>
    <row r="21">
      <c r="A21" s="240" t="s">
        <v>828</v>
      </c>
      <c r="B21" s="254" t="b">
        <v>1</v>
      </c>
      <c r="C21" s="263" t="b">
        <v>0</v>
      </c>
      <c r="D21" s="264"/>
      <c r="E21" s="264"/>
      <c r="F21" s="264"/>
      <c r="G21" s="265"/>
      <c r="H21" s="266" t="str">
        <f t="shared" si="2"/>
        <v/>
      </c>
      <c r="I21" s="263" t="b">
        <v>0</v>
      </c>
      <c r="J21" s="266"/>
      <c r="K21" s="265"/>
      <c r="L21" s="264"/>
      <c r="M21" s="264"/>
      <c r="N21" s="266"/>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row>
    <row r="22">
      <c r="A22" s="240" t="s">
        <v>829</v>
      </c>
      <c r="B22" s="254" t="b">
        <v>1</v>
      </c>
      <c r="C22" s="263" t="b">
        <v>0</v>
      </c>
      <c r="D22" s="264"/>
      <c r="E22" s="264"/>
      <c r="F22" s="264"/>
      <c r="G22" s="265"/>
      <c r="H22" s="266" t="str">
        <f t="shared" si="2"/>
        <v/>
      </c>
      <c r="I22" s="263" t="b">
        <v>0</v>
      </c>
      <c r="J22" s="266"/>
      <c r="K22" s="265"/>
      <c r="L22" s="264"/>
      <c r="M22" s="264"/>
      <c r="N22" s="266"/>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c r="BD22" s="239"/>
      <c r="BE22" s="239"/>
      <c r="BF22" s="239"/>
      <c r="BG22" s="239"/>
    </row>
    <row r="23">
      <c r="A23" s="234" t="s">
        <v>830</v>
      </c>
      <c r="B23" s="254" t="b">
        <v>0</v>
      </c>
      <c r="C23" s="263" t="b">
        <v>0</v>
      </c>
      <c r="D23" s="264"/>
      <c r="E23" s="264"/>
      <c r="F23" s="264"/>
      <c r="G23" s="265"/>
      <c r="H23" s="266" t="str">
        <f t="shared" si="2"/>
        <v/>
      </c>
      <c r="I23" s="263" t="b">
        <v>0</v>
      </c>
      <c r="J23" s="266"/>
      <c r="K23" s="265"/>
      <c r="L23" s="264"/>
      <c r="M23" s="264"/>
      <c r="N23" s="266"/>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c r="AQ23" s="239"/>
      <c r="AR23" s="239"/>
      <c r="AS23" s="239"/>
      <c r="AT23" s="239"/>
      <c r="AU23" s="239"/>
      <c r="AV23" s="239"/>
      <c r="AW23" s="239"/>
      <c r="AX23" s="239"/>
      <c r="AY23" s="239"/>
      <c r="AZ23" s="239"/>
      <c r="BA23" s="239"/>
      <c r="BB23" s="239"/>
      <c r="BC23" s="239"/>
      <c r="BD23" s="239"/>
      <c r="BE23" s="239"/>
      <c r="BF23" s="239"/>
      <c r="BG23" s="239"/>
    </row>
    <row r="24">
      <c r="A24" s="239"/>
      <c r="B24" s="268"/>
      <c r="C24" s="263" t="b">
        <v>0</v>
      </c>
      <c r="D24" s="264"/>
      <c r="E24" s="264"/>
      <c r="F24" s="264"/>
      <c r="G24" s="265"/>
      <c r="H24" s="266" t="str">
        <f t="shared" si="2"/>
        <v/>
      </c>
      <c r="I24" s="263" t="b">
        <v>0</v>
      </c>
      <c r="J24" s="266"/>
      <c r="K24" s="265"/>
      <c r="L24" s="264"/>
      <c r="M24" s="264"/>
      <c r="N24" s="266"/>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row>
    <row r="25">
      <c r="A25" s="239"/>
      <c r="B25" s="268"/>
      <c r="C25" s="263" t="b">
        <v>0</v>
      </c>
      <c r="D25" s="264"/>
      <c r="E25" s="264"/>
      <c r="F25" s="264"/>
      <c r="G25" s="265"/>
      <c r="H25" s="266" t="str">
        <f t="shared" si="2"/>
        <v/>
      </c>
      <c r="I25" s="263" t="b">
        <v>0</v>
      </c>
      <c r="J25" s="266"/>
      <c r="K25" s="265"/>
      <c r="L25" s="264"/>
      <c r="M25" s="264"/>
      <c r="N25" s="266"/>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row>
    <row r="26">
      <c r="A26" s="239"/>
      <c r="B26" s="268"/>
      <c r="C26" s="263" t="b">
        <v>0</v>
      </c>
      <c r="D26" s="264"/>
      <c r="E26" s="264"/>
      <c r="F26" s="264"/>
      <c r="G26" s="265"/>
      <c r="H26" s="266" t="str">
        <f t="shared" si="2"/>
        <v/>
      </c>
      <c r="I26" s="263" t="b">
        <v>0</v>
      </c>
      <c r="J26" s="266"/>
      <c r="K26" s="265"/>
      <c r="L26" s="264"/>
      <c r="M26" s="264"/>
      <c r="N26" s="266"/>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row>
    <row r="27">
      <c r="A27" s="239"/>
      <c r="B27" s="268"/>
      <c r="C27" s="263" t="b">
        <v>0</v>
      </c>
      <c r="D27" s="264"/>
      <c r="E27" s="264"/>
      <c r="F27" s="264"/>
      <c r="G27" s="265"/>
      <c r="H27" s="266" t="str">
        <f t="shared" si="2"/>
        <v/>
      </c>
      <c r="I27" s="263" t="b">
        <v>0</v>
      </c>
      <c r="J27" s="266"/>
      <c r="K27" s="265"/>
      <c r="L27" s="264"/>
      <c r="M27" s="264"/>
      <c r="N27" s="266"/>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row>
    <row r="28">
      <c r="A28" s="239"/>
      <c r="B28" s="268"/>
      <c r="C28" s="263" t="b">
        <v>0</v>
      </c>
      <c r="D28" s="264"/>
      <c r="E28" s="264"/>
      <c r="F28" s="264"/>
      <c r="G28" s="265"/>
      <c r="H28" s="266" t="str">
        <f t="shared" si="2"/>
        <v/>
      </c>
      <c r="I28" s="263" t="b">
        <v>0</v>
      </c>
      <c r="J28" s="266"/>
      <c r="K28" s="265"/>
      <c r="L28" s="264"/>
      <c r="M28" s="264"/>
      <c r="N28" s="266"/>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row>
    <row r="29">
      <c r="A29" s="239"/>
      <c r="B29" s="268"/>
      <c r="C29" s="263" t="b">
        <v>0</v>
      </c>
      <c r="D29" s="264"/>
      <c r="E29" s="264"/>
      <c r="F29" s="264"/>
      <c r="G29" s="265"/>
      <c r="H29" s="266" t="str">
        <f t="shared" si="2"/>
        <v/>
      </c>
      <c r="I29" s="263" t="b">
        <v>0</v>
      </c>
      <c r="J29" s="266"/>
      <c r="K29" s="265"/>
      <c r="L29" s="264"/>
      <c r="M29" s="264"/>
      <c r="N29" s="266"/>
      <c r="O29" s="239"/>
      <c r="P29" s="239"/>
      <c r="Q29" s="239"/>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row>
    <row r="30">
      <c r="A30" s="239"/>
      <c r="B30" s="268"/>
      <c r="C30" s="263" t="b">
        <v>0</v>
      </c>
      <c r="D30" s="264"/>
      <c r="E30" s="264"/>
      <c r="F30" s="264"/>
      <c r="G30" s="265"/>
      <c r="H30" s="266" t="str">
        <f t="shared" si="2"/>
        <v/>
      </c>
      <c r="I30" s="263" t="b">
        <v>0</v>
      </c>
      <c r="J30" s="266"/>
      <c r="K30" s="265"/>
      <c r="L30" s="264"/>
      <c r="M30" s="264"/>
      <c r="N30" s="266"/>
      <c r="O30" s="239"/>
      <c r="P30" s="239"/>
      <c r="Q30" s="239"/>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row>
    <row r="31">
      <c r="A31" s="239"/>
      <c r="B31" s="268"/>
      <c r="C31" s="263" t="b">
        <v>0</v>
      </c>
      <c r="D31" s="264"/>
      <c r="E31" s="264"/>
      <c r="F31" s="264"/>
      <c r="G31" s="265"/>
      <c r="H31" s="266" t="str">
        <f t="shared" si="2"/>
        <v/>
      </c>
      <c r="I31" s="263" t="b">
        <v>0</v>
      </c>
      <c r="J31" s="266"/>
      <c r="K31" s="265"/>
      <c r="L31" s="264"/>
      <c r="M31" s="264"/>
      <c r="N31" s="266"/>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row>
    <row r="32">
      <c r="A32" s="239"/>
      <c r="B32" s="268"/>
      <c r="C32" s="263" t="b">
        <v>0</v>
      </c>
      <c r="D32" s="264"/>
      <c r="E32" s="264"/>
      <c r="F32" s="264"/>
      <c r="G32" s="265"/>
      <c r="H32" s="266" t="str">
        <f t="shared" si="2"/>
        <v/>
      </c>
      <c r="I32" s="263" t="b">
        <v>0</v>
      </c>
      <c r="J32" s="266"/>
      <c r="K32" s="265"/>
      <c r="L32" s="264"/>
      <c r="M32" s="264"/>
      <c r="N32" s="266"/>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39"/>
      <c r="BG32" s="239"/>
      <c r="BH32" s="239"/>
    </row>
    <row r="33">
      <c r="A33" s="239"/>
      <c r="B33" s="268"/>
      <c r="C33" s="263" t="b">
        <v>0</v>
      </c>
      <c r="D33" s="264"/>
      <c r="E33" s="264"/>
      <c r="F33" s="264"/>
      <c r="G33" s="265"/>
      <c r="H33" s="266" t="str">
        <f t="shared" si="2"/>
        <v/>
      </c>
      <c r="I33" s="263" t="b">
        <v>0</v>
      </c>
      <c r="J33" s="266"/>
      <c r="K33" s="265"/>
      <c r="L33" s="264"/>
      <c r="M33" s="264"/>
      <c r="N33" s="266"/>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row>
    <row r="34">
      <c r="A34" s="239"/>
      <c r="B34" s="268"/>
      <c r="C34" s="263" t="b">
        <v>0</v>
      </c>
      <c r="D34" s="264"/>
      <c r="E34" s="264"/>
      <c r="F34" s="264"/>
      <c r="G34" s="265"/>
      <c r="H34" s="266" t="str">
        <f t="shared" si="2"/>
        <v/>
      </c>
      <c r="I34" s="263" t="b">
        <v>0</v>
      </c>
      <c r="J34" s="266"/>
      <c r="K34" s="265"/>
      <c r="L34" s="264"/>
      <c r="M34" s="264"/>
      <c r="N34" s="266"/>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c r="BD34" s="239"/>
      <c r="BE34" s="239"/>
      <c r="BF34" s="239"/>
      <c r="BG34" s="239"/>
      <c r="BH34" s="239"/>
    </row>
    <row r="35">
      <c r="A35" s="239"/>
      <c r="B35" s="268"/>
      <c r="C35" s="263" t="b">
        <v>0</v>
      </c>
      <c r="D35" s="264"/>
      <c r="E35" s="264"/>
      <c r="F35" s="264"/>
      <c r="G35" s="265"/>
      <c r="H35" s="266" t="str">
        <f t="shared" si="2"/>
        <v/>
      </c>
      <c r="I35" s="263" t="b">
        <v>0</v>
      </c>
      <c r="J35" s="266"/>
      <c r="K35" s="265"/>
      <c r="L35" s="264"/>
      <c r="M35" s="264"/>
      <c r="N35" s="266"/>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row>
    <row r="36">
      <c r="A36" s="239"/>
      <c r="B36" s="268"/>
      <c r="C36" s="263" t="b">
        <v>0</v>
      </c>
      <c r="D36" s="264"/>
      <c r="E36" s="264"/>
      <c r="F36" s="264"/>
      <c r="G36" s="265"/>
      <c r="H36" s="266" t="str">
        <f t="shared" si="2"/>
        <v/>
      </c>
      <c r="I36" s="263" t="b">
        <v>0</v>
      </c>
      <c r="J36" s="266"/>
      <c r="K36" s="265"/>
      <c r="L36" s="264"/>
      <c r="M36" s="264"/>
      <c r="N36" s="266"/>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row>
    <row r="37">
      <c r="A37" s="239"/>
      <c r="B37" s="268"/>
      <c r="C37" s="263" t="b">
        <v>0</v>
      </c>
      <c r="D37" s="264"/>
      <c r="E37" s="264"/>
      <c r="F37" s="264"/>
      <c r="G37" s="265"/>
      <c r="H37" s="266" t="str">
        <f t="shared" si="2"/>
        <v/>
      </c>
      <c r="I37" s="263" t="b">
        <v>0</v>
      </c>
      <c r="J37" s="266"/>
      <c r="K37" s="265"/>
      <c r="L37" s="264"/>
      <c r="M37" s="264"/>
      <c r="N37" s="266"/>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row>
    <row r="38">
      <c r="A38" s="239"/>
      <c r="B38" s="268"/>
      <c r="C38" s="263" t="b">
        <v>0</v>
      </c>
      <c r="D38" s="264"/>
      <c r="E38" s="264"/>
      <c r="F38" s="264"/>
      <c r="G38" s="265"/>
      <c r="H38" s="266" t="str">
        <f t="shared" si="2"/>
        <v/>
      </c>
      <c r="I38" s="263" t="b">
        <v>0</v>
      </c>
      <c r="J38" s="266"/>
      <c r="K38" s="265"/>
      <c r="L38" s="264"/>
      <c r="M38" s="264"/>
      <c r="N38" s="266"/>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row>
    <row r="39">
      <c r="A39" s="239"/>
      <c r="B39" s="268"/>
      <c r="C39" s="263" t="b">
        <v>0</v>
      </c>
      <c r="D39" s="264"/>
      <c r="E39" s="264"/>
      <c r="F39" s="264"/>
      <c r="G39" s="265"/>
      <c r="H39" s="266" t="str">
        <f t="shared" si="2"/>
        <v/>
      </c>
      <c r="I39" s="263" t="b">
        <v>0</v>
      </c>
      <c r="J39" s="266"/>
      <c r="K39" s="265"/>
      <c r="L39" s="264"/>
      <c r="M39" s="264"/>
      <c r="N39" s="266"/>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row>
    <row r="40">
      <c r="A40" s="239"/>
      <c r="B40" s="268"/>
      <c r="C40" s="263" t="b">
        <v>0</v>
      </c>
      <c r="D40" s="264"/>
      <c r="E40" s="264"/>
      <c r="F40" s="264"/>
      <c r="G40" s="265"/>
      <c r="H40" s="266" t="str">
        <f t="shared" si="2"/>
        <v/>
      </c>
      <c r="I40" s="263" t="b">
        <v>0</v>
      </c>
      <c r="J40" s="266"/>
      <c r="K40" s="265"/>
      <c r="L40" s="264"/>
      <c r="M40" s="264"/>
      <c r="N40" s="266"/>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c r="BD40" s="239"/>
      <c r="BE40" s="239"/>
      <c r="BF40" s="239"/>
      <c r="BG40" s="239"/>
      <c r="BH40" s="239"/>
    </row>
    <row r="41">
      <c r="A41" s="239"/>
      <c r="B41" s="268"/>
      <c r="C41" s="263" t="b">
        <v>0</v>
      </c>
      <c r="D41" s="264"/>
      <c r="E41" s="264"/>
      <c r="F41" s="264"/>
      <c r="G41" s="265"/>
      <c r="H41" s="266" t="str">
        <f t="shared" si="2"/>
        <v/>
      </c>
      <c r="I41" s="263" t="b">
        <v>0</v>
      </c>
      <c r="J41" s="266"/>
      <c r="K41" s="265"/>
      <c r="L41" s="264"/>
      <c r="M41" s="264"/>
      <c r="N41" s="266"/>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row>
    <row r="42">
      <c r="A42" s="239"/>
      <c r="B42" s="268"/>
      <c r="C42" s="263" t="b">
        <v>0</v>
      </c>
      <c r="D42" s="264"/>
      <c r="E42" s="264"/>
      <c r="F42" s="264"/>
      <c r="G42" s="265"/>
      <c r="H42" s="266" t="str">
        <f t="shared" si="2"/>
        <v/>
      </c>
      <c r="I42" s="263" t="b">
        <v>0</v>
      </c>
      <c r="J42" s="266"/>
      <c r="K42" s="265"/>
      <c r="L42" s="264"/>
      <c r="M42" s="264"/>
      <c r="N42" s="266"/>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39"/>
      <c r="AU42" s="239"/>
      <c r="AV42" s="239"/>
      <c r="AW42" s="239"/>
      <c r="AX42" s="239"/>
      <c r="AY42" s="239"/>
      <c r="AZ42" s="239"/>
      <c r="BA42" s="239"/>
      <c r="BB42" s="239"/>
      <c r="BC42" s="239"/>
      <c r="BD42" s="239"/>
      <c r="BE42" s="239"/>
      <c r="BF42" s="239"/>
      <c r="BG42" s="239"/>
      <c r="BH42" s="239"/>
    </row>
    <row r="43">
      <c r="A43" s="239"/>
      <c r="B43" s="268"/>
      <c r="C43" s="263" t="b">
        <v>0</v>
      </c>
      <c r="D43" s="264"/>
      <c r="E43" s="264"/>
      <c r="F43" s="264"/>
      <c r="G43" s="265"/>
      <c r="H43" s="266" t="str">
        <f t="shared" si="2"/>
        <v/>
      </c>
      <c r="I43" s="263" t="b">
        <v>0</v>
      </c>
      <c r="J43" s="266"/>
      <c r="K43" s="265"/>
      <c r="L43" s="264"/>
      <c r="M43" s="264"/>
      <c r="N43" s="266"/>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row>
    <row r="44">
      <c r="A44" s="239"/>
      <c r="B44" s="268"/>
      <c r="C44" s="263" t="b">
        <v>0</v>
      </c>
      <c r="D44" s="264"/>
      <c r="E44" s="264"/>
      <c r="F44" s="264"/>
      <c r="G44" s="265"/>
      <c r="H44" s="266" t="str">
        <f t="shared" si="2"/>
        <v/>
      </c>
      <c r="I44" s="263" t="b">
        <v>0</v>
      </c>
      <c r="J44" s="266"/>
      <c r="K44" s="265"/>
      <c r="L44" s="264"/>
      <c r="M44" s="264"/>
      <c r="N44" s="266"/>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c r="BD44" s="239"/>
      <c r="BE44" s="239"/>
      <c r="BF44" s="239"/>
      <c r="BG44" s="239"/>
      <c r="BH44" s="239"/>
    </row>
    <row r="45">
      <c r="A45" s="239"/>
      <c r="B45" s="268"/>
      <c r="C45" s="263" t="b">
        <v>0</v>
      </c>
      <c r="D45" s="264"/>
      <c r="E45" s="264"/>
      <c r="F45" s="264"/>
      <c r="G45" s="265"/>
      <c r="H45" s="266" t="str">
        <f t="shared" si="2"/>
        <v/>
      </c>
      <c r="I45" s="263" t="b">
        <v>0</v>
      </c>
      <c r="J45" s="266"/>
      <c r="K45" s="265"/>
      <c r="L45" s="264"/>
      <c r="M45" s="264"/>
      <c r="N45" s="266"/>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row>
    <row r="46">
      <c r="A46" s="239"/>
      <c r="B46" s="268"/>
      <c r="C46" s="263" t="b">
        <v>0</v>
      </c>
      <c r="D46" s="264"/>
      <c r="E46" s="264"/>
      <c r="F46" s="264"/>
      <c r="G46" s="265"/>
      <c r="H46" s="266" t="str">
        <f t="shared" si="2"/>
        <v/>
      </c>
      <c r="I46" s="263" t="b">
        <v>0</v>
      </c>
      <c r="J46" s="266"/>
      <c r="K46" s="265"/>
      <c r="L46" s="264"/>
      <c r="M46" s="264"/>
      <c r="N46" s="266"/>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c r="BD46" s="239"/>
      <c r="BE46" s="239"/>
      <c r="BF46" s="239"/>
      <c r="BG46" s="239"/>
      <c r="BH46" s="239"/>
    </row>
    <row r="47">
      <c r="A47" s="239"/>
      <c r="B47" s="268"/>
      <c r="C47" s="263" t="b">
        <v>0</v>
      </c>
      <c r="D47" s="264"/>
      <c r="E47" s="264"/>
      <c r="F47" s="264"/>
      <c r="G47" s="265"/>
      <c r="H47" s="266" t="str">
        <f t="shared" si="2"/>
        <v/>
      </c>
      <c r="I47" s="263" t="b">
        <v>0</v>
      </c>
      <c r="J47" s="266"/>
      <c r="K47" s="265"/>
      <c r="L47" s="264"/>
      <c r="M47" s="264"/>
      <c r="N47" s="266"/>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row>
    <row r="48">
      <c r="A48" s="239"/>
      <c r="B48" s="268"/>
      <c r="C48" s="263" t="b">
        <v>0</v>
      </c>
      <c r="D48" s="264"/>
      <c r="E48" s="264"/>
      <c r="F48" s="264"/>
      <c r="G48" s="265"/>
      <c r="H48" s="266" t="str">
        <f t="shared" si="2"/>
        <v/>
      </c>
      <c r="I48" s="263" t="b">
        <v>0</v>
      </c>
      <c r="J48" s="266"/>
      <c r="K48" s="265"/>
      <c r="L48" s="264"/>
      <c r="M48" s="264"/>
      <c r="N48" s="266"/>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row>
    <row r="49">
      <c r="A49" s="239"/>
      <c r="B49" s="268"/>
      <c r="C49" s="263" t="b">
        <v>0</v>
      </c>
      <c r="D49" s="264"/>
      <c r="E49" s="264"/>
      <c r="F49" s="264"/>
      <c r="G49" s="265"/>
      <c r="H49" s="266" t="str">
        <f t="shared" si="2"/>
        <v/>
      </c>
      <c r="I49" s="263" t="b">
        <v>0</v>
      </c>
      <c r="J49" s="266"/>
      <c r="K49" s="265"/>
      <c r="L49" s="264"/>
      <c r="M49" s="264"/>
      <c r="N49" s="266"/>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239"/>
      <c r="BC49" s="239"/>
      <c r="BD49" s="239"/>
      <c r="BE49" s="239"/>
      <c r="BF49" s="239"/>
      <c r="BG49" s="239"/>
      <c r="BH49" s="239"/>
    </row>
    <row r="50">
      <c r="A50" s="239"/>
      <c r="B50" s="268"/>
      <c r="C50" s="263" t="b">
        <v>0</v>
      </c>
      <c r="D50" s="264"/>
      <c r="E50" s="264"/>
      <c r="F50" s="264"/>
      <c r="G50" s="265"/>
      <c r="H50" s="266" t="str">
        <f t="shared" si="2"/>
        <v/>
      </c>
      <c r="I50" s="263" t="b">
        <v>0</v>
      </c>
      <c r="J50" s="266"/>
      <c r="K50" s="265"/>
      <c r="L50" s="264"/>
      <c r="M50" s="264"/>
      <c r="N50" s="266"/>
      <c r="O50" s="239"/>
      <c r="P50" s="239"/>
      <c r="Q50" s="239"/>
      <c r="R50" s="239"/>
      <c r="S50" s="239"/>
      <c r="T50" s="239"/>
      <c r="U50" s="239"/>
      <c r="V50" s="239"/>
      <c r="W50" s="239"/>
      <c r="X50" s="239"/>
      <c r="Y50" s="239"/>
      <c r="Z50" s="239"/>
      <c r="AA50" s="239"/>
      <c r="AB50" s="239"/>
      <c r="AC50" s="239"/>
      <c r="AD50" s="239"/>
      <c r="AE50" s="239"/>
      <c r="AF50" s="239"/>
      <c r="AG50" s="239"/>
      <c r="AH50" s="239"/>
      <c r="AI50" s="239"/>
      <c r="AJ50" s="239"/>
      <c r="AK50" s="239"/>
      <c r="AL50" s="239"/>
      <c r="AM50" s="239"/>
      <c r="AN50" s="239"/>
      <c r="AO50" s="239"/>
      <c r="AP50" s="239"/>
      <c r="AQ50" s="239"/>
      <c r="AR50" s="239"/>
      <c r="AS50" s="239"/>
      <c r="AT50" s="239"/>
      <c r="AU50" s="239"/>
      <c r="AV50" s="239"/>
      <c r="AW50" s="239"/>
      <c r="AX50" s="239"/>
      <c r="AY50" s="239"/>
      <c r="AZ50" s="239"/>
      <c r="BA50" s="239"/>
      <c r="BB50" s="239"/>
      <c r="BC50" s="239"/>
      <c r="BD50" s="239"/>
      <c r="BE50" s="239"/>
      <c r="BF50" s="239"/>
      <c r="BG50" s="239"/>
      <c r="BH50" s="239"/>
    </row>
    <row r="51">
      <c r="A51" s="239"/>
      <c r="B51" s="268"/>
      <c r="C51" s="263" t="b">
        <v>0</v>
      </c>
      <c r="D51" s="264"/>
      <c r="E51" s="264"/>
      <c r="F51" s="264"/>
      <c r="G51" s="265"/>
      <c r="H51" s="266" t="str">
        <f t="shared" si="2"/>
        <v/>
      </c>
      <c r="I51" s="263" t="b">
        <v>0</v>
      </c>
      <c r="J51" s="266"/>
      <c r="K51" s="265"/>
      <c r="L51" s="264"/>
      <c r="M51" s="264"/>
      <c r="N51" s="266"/>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c r="BD51" s="239"/>
      <c r="BE51" s="239"/>
      <c r="BF51" s="239"/>
      <c r="BG51" s="239"/>
      <c r="BH51" s="239"/>
    </row>
    <row r="52">
      <c r="A52" s="239"/>
      <c r="B52" s="268"/>
      <c r="C52" s="263" t="b">
        <v>0</v>
      </c>
      <c r="D52" s="264"/>
      <c r="E52" s="264"/>
      <c r="F52" s="264"/>
      <c r="G52" s="265"/>
      <c r="H52" s="266" t="str">
        <f t="shared" si="2"/>
        <v/>
      </c>
      <c r="I52" s="263" t="b">
        <v>0</v>
      </c>
      <c r="J52" s="266"/>
      <c r="K52" s="265"/>
      <c r="L52" s="264"/>
      <c r="M52" s="264"/>
      <c r="N52" s="266"/>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c r="BD52" s="239"/>
      <c r="BE52" s="239"/>
      <c r="BF52" s="239"/>
      <c r="BG52" s="239"/>
      <c r="BH52" s="239"/>
    </row>
    <row r="53">
      <c r="A53" s="239"/>
      <c r="B53" s="268"/>
      <c r="C53" s="263" t="b">
        <v>0</v>
      </c>
      <c r="D53" s="264"/>
      <c r="E53" s="264"/>
      <c r="F53" s="264"/>
      <c r="G53" s="265"/>
      <c r="H53" s="266" t="str">
        <f t="shared" si="2"/>
        <v/>
      </c>
      <c r="I53" s="263" t="b">
        <v>0</v>
      </c>
      <c r="J53" s="266"/>
      <c r="K53" s="265"/>
      <c r="L53" s="264"/>
      <c r="M53" s="264"/>
      <c r="N53" s="266"/>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row>
    <row r="54">
      <c r="A54" s="239"/>
      <c r="B54" s="268"/>
      <c r="C54" s="263" t="b">
        <v>0</v>
      </c>
      <c r="D54" s="264"/>
      <c r="E54" s="264"/>
      <c r="F54" s="264"/>
      <c r="G54" s="265"/>
      <c r="H54" s="266" t="str">
        <f t="shared" si="2"/>
        <v/>
      </c>
      <c r="I54" s="263" t="b">
        <v>0</v>
      </c>
      <c r="J54" s="266"/>
      <c r="K54" s="265"/>
      <c r="L54" s="264"/>
      <c r="M54" s="264"/>
      <c r="N54" s="266"/>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c r="BD54" s="239"/>
      <c r="BE54" s="239"/>
      <c r="BF54" s="239"/>
      <c r="BG54" s="239"/>
      <c r="BH54" s="239"/>
    </row>
    <row r="55">
      <c r="A55" s="239"/>
      <c r="B55" s="268"/>
      <c r="C55" s="263" t="b">
        <v>0</v>
      </c>
      <c r="D55" s="264"/>
      <c r="E55" s="264"/>
      <c r="F55" s="264"/>
      <c r="G55" s="265"/>
      <c r="H55" s="266" t="str">
        <f t="shared" si="2"/>
        <v/>
      </c>
      <c r="I55" s="263" t="b">
        <v>0</v>
      </c>
      <c r="J55" s="266"/>
      <c r="K55" s="265"/>
      <c r="L55" s="264"/>
      <c r="M55" s="264"/>
      <c r="N55" s="266"/>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row>
    <row r="56">
      <c r="A56" s="239"/>
      <c r="B56" s="268"/>
      <c r="C56" s="263" t="b">
        <v>0</v>
      </c>
      <c r="D56" s="264"/>
      <c r="E56" s="264"/>
      <c r="F56" s="264"/>
      <c r="G56" s="265"/>
      <c r="H56" s="266" t="str">
        <f t="shared" si="2"/>
        <v/>
      </c>
      <c r="I56" s="263" t="b">
        <v>0</v>
      </c>
      <c r="J56" s="266"/>
      <c r="K56" s="265"/>
      <c r="L56" s="264"/>
      <c r="M56" s="264"/>
      <c r="N56" s="266"/>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row>
    <row r="57">
      <c r="A57" s="239"/>
      <c r="B57" s="268"/>
      <c r="C57" s="263" t="b">
        <v>0</v>
      </c>
      <c r="D57" s="264"/>
      <c r="E57" s="264"/>
      <c r="F57" s="264"/>
      <c r="G57" s="265"/>
      <c r="H57" s="266" t="str">
        <f t="shared" si="2"/>
        <v/>
      </c>
      <c r="I57" s="263" t="b">
        <v>0</v>
      </c>
      <c r="J57" s="266"/>
      <c r="K57" s="265"/>
      <c r="L57" s="264"/>
      <c r="M57" s="264"/>
      <c r="N57" s="266"/>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c r="BD57" s="239"/>
      <c r="BE57" s="239"/>
      <c r="BF57" s="239"/>
      <c r="BG57" s="239"/>
      <c r="BH57" s="239"/>
    </row>
    <row r="58">
      <c r="A58" s="239"/>
      <c r="B58" s="268"/>
      <c r="C58" s="263" t="b">
        <v>0</v>
      </c>
      <c r="D58" s="264"/>
      <c r="E58" s="264"/>
      <c r="F58" s="264"/>
      <c r="G58" s="265"/>
      <c r="H58" s="266" t="str">
        <f t="shared" si="2"/>
        <v/>
      </c>
      <c r="I58" s="263" t="b">
        <v>0</v>
      </c>
      <c r="J58" s="266"/>
      <c r="K58" s="265"/>
      <c r="L58" s="264"/>
      <c r="M58" s="264"/>
      <c r="N58" s="266"/>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row>
    <row r="59">
      <c r="A59" s="239"/>
      <c r="B59" s="268"/>
      <c r="C59" s="263" t="b">
        <v>0</v>
      </c>
      <c r="D59" s="264"/>
      <c r="E59" s="264"/>
      <c r="F59" s="264"/>
      <c r="G59" s="265"/>
      <c r="H59" s="266" t="str">
        <f t="shared" si="2"/>
        <v/>
      </c>
      <c r="I59" s="263" t="b">
        <v>0</v>
      </c>
      <c r="J59" s="266"/>
      <c r="K59" s="265"/>
      <c r="L59" s="264"/>
      <c r="M59" s="264"/>
      <c r="N59" s="266"/>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row>
    <row r="60">
      <c r="A60" s="239"/>
      <c r="B60" s="268"/>
      <c r="C60" s="263" t="b">
        <v>0</v>
      </c>
      <c r="D60" s="264"/>
      <c r="E60" s="264"/>
      <c r="F60" s="264"/>
      <c r="G60" s="265"/>
      <c r="H60" s="266" t="str">
        <f t="shared" si="2"/>
        <v/>
      </c>
      <c r="I60" s="263" t="b">
        <v>0</v>
      </c>
      <c r="J60" s="266"/>
      <c r="K60" s="265"/>
      <c r="L60" s="264"/>
      <c r="M60" s="264"/>
      <c r="N60" s="266"/>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row>
    <row r="61">
      <c r="A61" s="239"/>
      <c r="B61" s="268"/>
      <c r="C61" s="263" t="b">
        <v>0</v>
      </c>
      <c r="D61" s="264"/>
      <c r="E61" s="264"/>
      <c r="F61" s="264"/>
      <c r="G61" s="265"/>
      <c r="H61" s="266" t="str">
        <f t="shared" si="2"/>
        <v/>
      </c>
      <c r="I61" s="263" t="b">
        <v>0</v>
      </c>
      <c r="J61" s="266"/>
      <c r="K61" s="265"/>
      <c r="L61" s="264"/>
      <c r="M61" s="264"/>
      <c r="N61" s="266"/>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row>
    <row r="62">
      <c r="A62" s="239"/>
      <c r="B62" s="268"/>
      <c r="C62" s="263" t="b">
        <v>0</v>
      </c>
      <c r="D62" s="264"/>
      <c r="E62" s="264"/>
      <c r="F62" s="264"/>
      <c r="G62" s="265"/>
      <c r="H62" s="266" t="str">
        <f t="shared" si="2"/>
        <v/>
      </c>
      <c r="I62" s="263" t="b">
        <v>0</v>
      </c>
      <c r="J62" s="266"/>
      <c r="K62" s="265"/>
      <c r="L62" s="264"/>
      <c r="M62" s="264"/>
      <c r="N62" s="266"/>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row>
    <row r="63">
      <c r="A63" s="239"/>
      <c r="B63" s="268"/>
      <c r="C63" s="263" t="b">
        <v>0</v>
      </c>
      <c r="D63" s="264"/>
      <c r="E63" s="264"/>
      <c r="F63" s="264"/>
      <c r="G63" s="265"/>
      <c r="H63" s="266" t="str">
        <f t="shared" si="2"/>
        <v/>
      </c>
      <c r="I63" s="263" t="b">
        <v>0</v>
      </c>
      <c r="J63" s="266"/>
      <c r="K63" s="265"/>
      <c r="L63" s="264"/>
      <c r="M63" s="264"/>
      <c r="N63" s="266"/>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row>
    <row r="64">
      <c r="A64" s="239"/>
      <c r="B64" s="268"/>
      <c r="C64" s="263" t="b">
        <v>0</v>
      </c>
      <c r="D64" s="264"/>
      <c r="E64" s="264"/>
      <c r="F64" s="264"/>
      <c r="G64" s="265"/>
      <c r="H64" s="266" t="str">
        <f t="shared" si="2"/>
        <v/>
      </c>
      <c r="I64" s="263" t="b">
        <v>0</v>
      </c>
      <c r="J64" s="266"/>
      <c r="K64" s="265"/>
      <c r="L64" s="264"/>
      <c r="M64" s="264"/>
      <c r="N64" s="266"/>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row>
    <row r="65">
      <c r="A65" s="239"/>
      <c r="B65" s="268"/>
      <c r="C65" s="263" t="b">
        <v>0</v>
      </c>
      <c r="D65" s="264"/>
      <c r="E65" s="264"/>
      <c r="F65" s="264"/>
      <c r="G65" s="265"/>
      <c r="H65" s="266" t="str">
        <f t="shared" si="2"/>
        <v/>
      </c>
      <c r="I65" s="263" t="b">
        <v>0</v>
      </c>
      <c r="J65" s="266"/>
      <c r="K65" s="266"/>
      <c r="L65" s="266"/>
      <c r="M65" s="266"/>
      <c r="N65" s="266"/>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row>
    <row r="66">
      <c r="A66" s="239"/>
      <c r="B66" s="239"/>
      <c r="C66" s="263" t="b">
        <v>0</v>
      </c>
      <c r="D66" s="264"/>
      <c r="E66" s="264"/>
      <c r="F66" s="264"/>
      <c r="G66" s="265"/>
      <c r="H66" s="266" t="str">
        <f t="shared" si="2"/>
        <v/>
      </c>
      <c r="I66" s="263" t="b">
        <v>0</v>
      </c>
      <c r="J66" s="266"/>
      <c r="K66" s="266"/>
      <c r="L66" s="266"/>
      <c r="M66" s="266"/>
      <c r="N66" s="266"/>
      <c r="O66" s="266"/>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row>
    <row r="67">
      <c r="A67" s="239"/>
      <c r="B67" s="239"/>
      <c r="C67" s="263" t="b">
        <v>0</v>
      </c>
      <c r="D67" s="264"/>
      <c r="E67" s="264"/>
      <c r="F67" s="264"/>
      <c r="G67" s="265"/>
      <c r="H67" s="266" t="str">
        <f t="shared" si="2"/>
        <v/>
      </c>
      <c r="I67" s="263" t="b">
        <v>0</v>
      </c>
      <c r="J67" s="266"/>
      <c r="K67" s="266"/>
      <c r="L67" s="266"/>
      <c r="M67" s="266"/>
      <c r="N67" s="266"/>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row>
    <row r="68">
      <c r="A68" s="239"/>
      <c r="B68" s="239"/>
      <c r="C68" s="263" t="b">
        <v>0</v>
      </c>
      <c r="D68" s="264"/>
      <c r="E68" s="264"/>
      <c r="F68" s="264"/>
      <c r="G68" s="265"/>
      <c r="H68" s="266" t="str">
        <f t="shared" si="2"/>
        <v/>
      </c>
      <c r="I68" s="263" t="b">
        <v>0</v>
      </c>
      <c r="J68" s="266"/>
      <c r="K68" s="266"/>
      <c r="L68" s="266"/>
      <c r="M68" s="266"/>
      <c r="N68" s="266"/>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9"/>
      <c r="BE68" s="239"/>
      <c r="BF68" s="239"/>
      <c r="BG68" s="239"/>
      <c r="BH68" s="239"/>
      <c r="BI68" s="239"/>
    </row>
    <row r="69">
      <c r="A69" s="239"/>
      <c r="B69" s="239"/>
      <c r="C69" s="263" t="b">
        <v>0</v>
      </c>
      <c r="D69" s="264"/>
      <c r="E69" s="264"/>
      <c r="F69" s="264"/>
      <c r="G69" s="265"/>
      <c r="H69" s="266" t="str">
        <f t="shared" si="2"/>
        <v/>
      </c>
      <c r="I69" s="263" t="b">
        <v>0</v>
      </c>
      <c r="J69" s="266"/>
      <c r="K69" s="266"/>
      <c r="L69" s="266"/>
      <c r="M69" s="266"/>
      <c r="N69" s="266"/>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row>
    <row r="70">
      <c r="A70" s="239"/>
      <c r="B70" s="239"/>
      <c r="C70" s="263" t="b">
        <v>0</v>
      </c>
      <c r="D70" s="264"/>
      <c r="E70" s="264"/>
      <c r="F70" s="264"/>
      <c r="G70" s="265"/>
      <c r="H70" s="266" t="str">
        <f t="shared" si="2"/>
        <v/>
      </c>
      <c r="I70" s="263" t="b">
        <v>0</v>
      </c>
      <c r="J70" s="266"/>
      <c r="K70" s="266"/>
      <c r="L70" s="266"/>
      <c r="M70" s="266"/>
      <c r="N70" s="266"/>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row>
    <row r="71">
      <c r="A71" s="239"/>
      <c r="B71" s="239"/>
      <c r="C71" s="263" t="b">
        <v>0</v>
      </c>
      <c r="D71" s="264"/>
      <c r="E71" s="264"/>
      <c r="F71" s="264"/>
      <c r="G71" s="265"/>
      <c r="H71" s="266" t="str">
        <f t="shared" si="2"/>
        <v/>
      </c>
      <c r="I71" s="263" t="b">
        <v>0</v>
      </c>
      <c r="J71" s="266"/>
      <c r="K71" s="266"/>
      <c r="L71" s="266"/>
      <c r="M71" s="266"/>
      <c r="N71" s="266"/>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row>
    <row r="72">
      <c r="A72" s="239"/>
      <c r="B72" s="239"/>
      <c r="C72" s="263" t="b">
        <v>0</v>
      </c>
      <c r="D72" s="264"/>
      <c r="E72" s="264"/>
      <c r="F72" s="264"/>
      <c r="G72" s="265"/>
      <c r="H72" s="266" t="str">
        <f t="shared" si="2"/>
        <v/>
      </c>
      <c r="I72" s="263" t="b">
        <v>0</v>
      </c>
      <c r="J72" s="266"/>
      <c r="K72" s="266"/>
      <c r="L72" s="266"/>
      <c r="M72" s="266"/>
      <c r="N72" s="266"/>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9"/>
      <c r="BE72" s="239"/>
      <c r="BF72" s="239"/>
      <c r="BG72" s="239"/>
      <c r="BH72" s="239"/>
      <c r="BI72" s="239"/>
    </row>
    <row r="73">
      <c r="A73" s="239"/>
      <c r="B73" s="239"/>
      <c r="C73" s="263" t="b">
        <v>0</v>
      </c>
      <c r="D73" s="264"/>
      <c r="E73" s="264"/>
      <c r="F73" s="264"/>
      <c r="G73" s="265"/>
      <c r="H73" s="266" t="str">
        <f t="shared" si="2"/>
        <v/>
      </c>
      <c r="I73" s="263" t="b">
        <v>0</v>
      </c>
      <c r="J73" s="266"/>
      <c r="K73" s="266"/>
      <c r="L73" s="266"/>
      <c r="M73" s="266"/>
      <c r="N73" s="266"/>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row>
    <row r="74">
      <c r="A74" s="239"/>
      <c r="B74" s="239"/>
      <c r="C74" s="263" t="b">
        <v>0</v>
      </c>
      <c r="D74" s="264"/>
      <c r="E74" s="264"/>
      <c r="F74" s="264"/>
      <c r="G74" s="265"/>
      <c r="H74" s="266" t="str">
        <f t="shared" si="2"/>
        <v/>
      </c>
      <c r="I74" s="263" t="b">
        <v>0</v>
      </c>
      <c r="J74" s="266"/>
      <c r="K74" s="266"/>
      <c r="L74" s="266"/>
      <c r="M74" s="266"/>
      <c r="N74" s="266"/>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row>
    <row r="75">
      <c r="A75" s="239"/>
      <c r="B75" s="239"/>
      <c r="C75" s="263" t="b">
        <v>0</v>
      </c>
      <c r="D75" s="264"/>
      <c r="E75" s="264"/>
      <c r="F75" s="264"/>
      <c r="G75" s="265"/>
      <c r="H75" s="266" t="str">
        <f t="shared" si="2"/>
        <v/>
      </c>
      <c r="I75" s="263" t="b">
        <v>0</v>
      </c>
      <c r="J75" s="266"/>
      <c r="K75" s="266"/>
      <c r="L75" s="266"/>
      <c r="M75" s="266"/>
      <c r="N75" s="266"/>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39"/>
      <c r="AP75" s="239"/>
      <c r="AQ75" s="239"/>
      <c r="AR75" s="239"/>
      <c r="AS75" s="239"/>
      <c r="AT75" s="239"/>
      <c r="AU75" s="239"/>
      <c r="AV75" s="239"/>
      <c r="AW75" s="239"/>
      <c r="AX75" s="239"/>
      <c r="AY75" s="239"/>
      <c r="AZ75" s="239"/>
      <c r="BA75" s="239"/>
      <c r="BB75" s="239"/>
      <c r="BC75" s="239"/>
      <c r="BD75" s="239"/>
      <c r="BE75" s="239"/>
      <c r="BF75" s="239"/>
      <c r="BG75" s="239"/>
      <c r="BH75" s="239"/>
      <c r="BI75" s="239"/>
    </row>
    <row r="76">
      <c r="A76" s="239"/>
      <c r="B76" s="239"/>
      <c r="C76" s="263" t="b">
        <v>0</v>
      </c>
      <c r="D76" s="264"/>
      <c r="E76" s="264"/>
      <c r="F76" s="264"/>
      <c r="G76" s="265"/>
      <c r="H76" s="266" t="str">
        <f t="shared" si="2"/>
        <v/>
      </c>
      <c r="I76" s="263" t="b">
        <v>0</v>
      </c>
      <c r="J76" s="266"/>
      <c r="K76" s="266"/>
      <c r="L76" s="266"/>
      <c r="M76" s="266"/>
      <c r="N76" s="266"/>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row>
    <row r="77">
      <c r="A77" s="239"/>
      <c r="B77" s="239"/>
      <c r="C77" s="263" t="b">
        <v>0</v>
      </c>
      <c r="D77" s="264"/>
      <c r="E77" s="264"/>
      <c r="F77" s="264"/>
      <c r="G77" s="265"/>
      <c r="H77" s="266" t="str">
        <f t="shared" si="2"/>
        <v/>
      </c>
      <c r="I77" s="263" t="b">
        <v>0</v>
      </c>
      <c r="J77" s="266"/>
      <c r="K77" s="266"/>
      <c r="L77" s="266"/>
      <c r="M77" s="266"/>
      <c r="N77" s="266"/>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row>
    <row r="78">
      <c r="A78" s="239"/>
      <c r="B78" s="239"/>
      <c r="C78" s="263" t="b">
        <v>0</v>
      </c>
      <c r="D78" s="264"/>
      <c r="E78" s="264"/>
      <c r="F78" s="264"/>
      <c r="G78" s="265"/>
      <c r="H78" s="266" t="str">
        <f t="shared" si="2"/>
        <v/>
      </c>
      <c r="I78" s="263" t="b">
        <v>0</v>
      </c>
      <c r="J78" s="266"/>
      <c r="K78" s="266"/>
      <c r="L78" s="266"/>
      <c r="M78" s="266"/>
      <c r="N78" s="266"/>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c r="AN78" s="239"/>
      <c r="AO78" s="239"/>
      <c r="AP78" s="239"/>
      <c r="AQ78" s="239"/>
      <c r="AR78" s="239"/>
      <c r="AS78" s="239"/>
      <c r="AT78" s="239"/>
      <c r="AU78" s="239"/>
      <c r="AV78" s="239"/>
      <c r="AW78" s="239"/>
      <c r="AX78" s="239"/>
      <c r="AY78" s="239"/>
      <c r="AZ78" s="239"/>
      <c r="BA78" s="239"/>
      <c r="BB78" s="239"/>
      <c r="BC78" s="239"/>
      <c r="BD78" s="239"/>
      <c r="BE78" s="239"/>
      <c r="BF78" s="239"/>
      <c r="BG78" s="239"/>
      <c r="BH78" s="239"/>
      <c r="BI78" s="239"/>
    </row>
    <row r="79">
      <c r="A79" s="239"/>
      <c r="B79" s="239"/>
      <c r="C79" s="263" t="b">
        <v>0</v>
      </c>
      <c r="D79" s="264"/>
      <c r="E79" s="264"/>
      <c r="F79" s="264"/>
      <c r="G79" s="265"/>
      <c r="H79" s="266" t="str">
        <f t="shared" si="2"/>
        <v/>
      </c>
      <c r="I79" s="263" t="b">
        <v>0</v>
      </c>
      <c r="J79" s="266"/>
      <c r="K79" s="266"/>
      <c r="L79" s="266"/>
      <c r="M79" s="266"/>
      <c r="N79" s="266"/>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c r="BD79" s="239"/>
      <c r="BE79" s="239"/>
      <c r="BF79" s="239"/>
      <c r="BG79" s="239"/>
      <c r="BH79" s="239"/>
      <c r="BI79" s="239"/>
    </row>
    <row r="80">
      <c r="A80" s="239"/>
      <c r="B80" s="239"/>
      <c r="C80" s="263" t="b">
        <v>0</v>
      </c>
      <c r="D80" s="264"/>
      <c r="E80" s="264"/>
      <c r="F80" s="264"/>
      <c r="G80" s="265"/>
      <c r="H80" s="266" t="str">
        <f t="shared" si="2"/>
        <v/>
      </c>
      <c r="I80" s="263" t="b">
        <v>0</v>
      </c>
      <c r="J80" s="266"/>
      <c r="K80" s="266"/>
      <c r="L80" s="266"/>
      <c r="M80" s="266"/>
      <c r="N80" s="266"/>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c r="BD80" s="239"/>
      <c r="BE80" s="239"/>
      <c r="BF80" s="239"/>
      <c r="BG80" s="239"/>
      <c r="BH80" s="239"/>
      <c r="BI80" s="239"/>
    </row>
    <row r="81">
      <c r="A81" s="239"/>
      <c r="B81" s="239"/>
      <c r="C81" s="263" t="b">
        <v>0</v>
      </c>
      <c r="D81" s="264"/>
      <c r="E81" s="264"/>
      <c r="F81" s="264"/>
      <c r="G81" s="265"/>
      <c r="H81" s="266" t="str">
        <f t="shared" si="2"/>
        <v/>
      </c>
      <c r="I81" s="263" t="b">
        <v>0</v>
      </c>
      <c r="J81" s="266"/>
      <c r="K81" s="266"/>
      <c r="L81" s="266"/>
      <c r="M81" s="266"/>
      <c r="N81" s="266"/>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row>
    <row r="82">
      <c r="A82" s="239"/>
      <c r="B82" s="239"/>
      <c r="C82" s="263" t="b">
        <v>0</v>
      </c>
      <c r="D82" s="264"/>
      <c r="E82" s="264"/>
      <c r="F82" s="264"/>
      <c r="G82" s="265"/>
      <c r="H82" s="266" t="str">
        <f t="shared" si="2"/>
        <v/>
      </c>
      <c r="I82" s="263" t="b">
        <v>0</v>
      </c>
      <c r="J82" s="266"/>
      <c r="K82" s="266"/>
      <c r="L82" s="266"/>
      <c r="M82" s="266"/>
      <c r="N82" s="266"/>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row>
    <row r="83">
      <c r="A83" s="239"/>
      <c r="B83" s="239"/>
      <c r="C83" s="263" t="b">
        <v>0</v>
      </c>
      <c r="D83" s="264"/>
      <c r="E83" s="264"/>
      <c r="F83" s="264"/>
      <c r="G83" s="265"/>
      <c r="H83" s="266" t="str">
        <f t="shared" si="2"/>
        <v/>
      </c>
      <c r="I83" s="263" t="b">
        <v>0</v>
      </c>
      <c r="J83" s="266"/>
      <c r="K83" s="266"/>
      <c r="L83" s="266"/>
      <c r="M83" s="266"/>
      <c r="N83" s="266"/>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row>
    <row r="84">
      <c r="A84" s="239"/>
      <c r="B84" s="239"/>
      <c r="C84" s="263" t="b">
        <v>0</v>
      </c>
      <c r="D84" s="264"/>
      <c r="E84" s="264"/>
      <c r="F84" s="264"/>
      <c r="G84" s="265"/>
      <c r="H84" s="266" t="str">
        <f t="shared" si="2"/>
        <v/>
      </c>
      <c r="I84" s="263" t="b">
        <v>0</v>
      </c>
      <c r="J84" s="266"/>
      <c r="K84" s="266"/>
      <c r="L84" s="266"/>
      <c r="M84" s="266"/>
      <c r="N84" s="266"/>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row>
    <row r="85">
      <c r="A85" s="239"/>
      <c r="B85" s="239"/>
      <c r="C85" s="263" t="b">
        <v>0</v>
      </c>
      <c r="D85" s="264"/>
      <c r="E85" s="264"/>
      <c r="F85" s="264"/>
      <c r="G85" s="265"/>
      <c r="H85" s="266" t="str">
        <f t="shared" si="2"/>
        <v/>
      </c>
      <c r="I85" s="263" t="b">
        <v>0</v>
      </c>
      <c r="J85" s="266"/>
      <c r="K85" s="266"/>
      <c r="L85" s="266"/>
      <c r="M85" s="266"/>
      <c r="N85" s="266"/>
      <c r="O85" s="239"/>
      <c r="P85" s="239"/>
      <c r="Q85" s="239"/>
      <c r="R85" s="239"/>
      <c r="S85" s="239"/>
      <c r="T85" s="239"/>
      <c r="U85" s="239"/>
      <c r="V85" s="239"/>
      <c r="W85" s="239"/>
      <c r="X85" s="239"/>
      <c r="Y85" s="239"/>
      <c r="Z85" s="239"/>
      <c r="AA85" s="239"/>
      <c r="AB85" s="239"/>
      <c r="AC85" s="239"/>
      <c r="AD85" s="239"/>
      <c r="AE85" s="239"/>
      <c r="AF85" s="239"/>
      <c r="AG85" s="239"/>
      <c r="AH85" s="239"/>
      <c r="AI85" s="239"/>
      <c r="AJ85" s="239"/>
      <c r="AK85" s="239"/>
      <c r="AL85" s="239"/>
      <c r="AM85" s="239"/>
      <c r="AN85" s="239"/>
      <c r="AO85" s="239"/>
      <c r="AP85" s="239"/>
      <c r="AQ85" s="239"/>
      <c r="AR85" s="239"/>
      <c r="AS85" s="239"/>
      <c r="AT85" s="239"/>
      <c r="AU85" s="239"/>
      <c r="AV85" s="239"/>
      <c r="AW85" s="239"/>
      <c r="AX85" s="239"/>
      <c r="AY85" s="239"/>
      <c r="AZ85" s="239"/>
      <c r="BA85" s="239"/>
      <c r="BB85" s="239"/>
      <c r="BC85" s="239"/>
      <c r="BD85" s="239"/>
      <c r="BE85" s="239"/>
      <c r="BF85" s="239"/>
      <c r="BG85" s="239"/>
      <c r="BH85" s="239"/>
      <c r="BI85" s="239"/>
    </row>
    <row r="86">
      <c r="A86" s="239"/>
      <c r="B86" s="239"/>
      <c r="C86" s="263" t="b">
        <v>0</v>
      </c>
      <c r="D86" s="264"/>
      <c r="E86" s="264"/>
      <c r="F86" s="264"/>
      <c r="G86" s="265"/>
      <c r="H86" s="266" t="str">
        <f t="shared" si="2"/>
        <v/>
      </c>
      <c r="I86" s="263" t="b">
        <v>0</v>
      </c>
      <c r="J86" s="266"/>
      <c r="K86" s="266"/>
      <c r="L86" s="266"/>
      <c r="M86" s="266"/>
      <c r="N86" s="266"/>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c r="BD86" s="239"/>
      <c r="BE86" s="239"/>
      <c r="BF86" s="239"/>
      <c r="BG86" s="239"/>
      <c r="BH86" s="239"/>
      <c r="BI86" s="239"/>
    </row>
    <row r="87">
      <c r="A87" s="239"/>
      <c r="B87" s="239"/>
      <c r="C87" s="263" t="b">
        <v>0</v>
      </c>
      <c r="D87" s="264"/>
      <c r="E87" s="264"/>
      <c r="F87" s="264"/>
      <c r="G87" s="265"/>
      <c r="H87" s="266" t="str">
        <f t="shared" si="2"/>
        <v/>
      </c>
      <c r="I87" s="263" t="b">
        <v>0</v>
      </c>
      <c r="J87" s="266"/>
      <c r="K87" s="266"/>
      <c r="L87" s="266"/>
      <c r="M87" s="266"/>
      <c r="N87" s="266"/>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c r="AR87" s="239"/>
      <c r="AS87" s="239"/>
      <c r="AT87" s="239"/>
      <c r="AU87" s="239"/>
      <c r="AV87" s="239"/>
      <c r="AW87" s="239"/>
      <c r="AX87" s="239"/>
      <c r="AY87" s="239"/>
      <c r="AZ87" s="239"/>
      <c r="BA87" s="239"/>
      <c r="BB87" s="239"/>
      <c r="BC87" s="239"/>
      <c r="BD87" s="239"/>
      <c r="BE87" s="239"/>
      <c r="BF87" s="239"/>
      <c r="BG87" s="239"/>
      <c r="BH87" s="239"/>
      <c r="BI87" s="239"/>
    </row>
    <row r="88">
      <c r="A88" s="239"/>
      <c r="B88" s="239"/>
      <c r="C88" s="263" t="b">
        <v>0</v>
      </c>
      <c r="D88" s="264"/>
      <c r="E88" s="264"/>
      <c r="F88" s="264"/>
      <c r="G88" s="265"/>
      <c r="H88" s="266" t="str">
        <f t="shared" si="2"/>
        <v/>
      </c>
      <c r="I88" s="263" t="b">
        <v>0</v>
      </c>
      <c r="J88" s="266"/>
      <c r="K88" s="266"/>
      <c r="L88" s="266"/>
      <c r="M88" s="266"/>
      <c r="N88" s="266"/>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c r="BD88" s="239"/>
      <c r="BE88" s="239"/>
      <c r="BF88" s="239"/>
      <c r="BG88" s="239"/>
      <c r="BH88" s="239"/>
      <c r="BI88" s="239"/>
    </row>
    <row r="89">
      <c r="A89" s="239"/>
      <c r="B89" s="239"/>
      <c r="C89" s="263" t="b">
        <v>0</v>
      </c>
      <c r="D89" s="264"/>
      <c r="E89" s="264"/>
      <c r="F89" s="264"/>
      <c r="G89" s="265"/>
      <c r="H89" s="266" t="str">
        <f t="shared" si="2"/>
        <v/>
      </c>
      <c r="I89" s="263" t="b">
        <v>0</v>
      </c>
      <c r="J89" s="266"/>
      <c r="K89" s="266"/>
      <c r="L89" s="266"/>
      <c r="M89" s="266"/>
      <c r="N89" s="266"/>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c r="BD89" s="239"/>
      <c r="BE89" s="239"/>
      <c r="BF89" s="239"/>
      <c r="BG89" s="239"/>
      <c r="BH89" s="239"/>
      <c r="BI89" s="239"/>
    </row>
    <row r="90">
      <c r="A90" s="239"/>
      <c r="B90" s="239"/>
      <c r="C90" s="263" t="b">
        <v>0</v>
      </c>
      <c r="D90" s="264"/>
      <c r="E90" s="264"/>
      <c r="F90" s="264"/>
      <c r="G90" s="265"/>
      <c r="H90" s="266" t="str">
        <f t="shared" si="2"/>
        <v/>
      </c>
      <c r="I90" s="263" t="b">
        <v>0</v>
      </c>
      <c r="J90" s="266"/>
      <c r="K90" s="266"/>
      <c r="L90" s="266"/>
      <c r="M90" s="266"/>
      <c r="N90" s="266"/>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39"/>
      <c r="AT90" s="239"/>
      <c r="AU90" s="239"/>
      <c r="AV90" s="239"/>
      <c r="AW90" s="239"/>
      <c r="AX90" s="239"/>
      <c r="AY90" s="239"/>
      <c r="AZ90" s="239"/>
      <c r="BA90" s="239"/>
      <c r="BB90" s="239"/>
      <c r="BC90" s="239"/>
      <c r="BD90" s="239"/>
      <c r="BE90" s="239"/>
      <c r="BF90" s="239"/>
      <c r="BG90" s="239"/>
      <c r="BH90" s="239"/>
      <c r="BI90" s="239"/>
    </row>
    <row r="91">
      <c r="A91" s="239"/>
      <c r="B91" s="239"/>
      <c r="C91" s="263" t="b">
        <v>0</v>
      </c>
      <c r="D91" s="264"/>
      <c r="E91" s="264"/>
      <c r="F91" s="264"/>
      <c r="G91" s="265"/>
      <c r="H91" s="266" t="str">
        <f t="shared" si="2"/>
        <v/>
      </c>
      <c r="I91" s="263" t="b">
        <v>0</v>
      </c>
      <c r="J91" s="266"/>
      <c r="K91" s="266"/>
      <c r="L91" s="266"/>
      <c r="M91" s="266"/>
      <c r="N91" s="266"/>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c r="BD91" s="239"/>
      <c r="BE91" s="239"/>
      <c r="BF91" s="239"/>
      <c r="BG91" s="239"/>
      <c r="BH91" s="239"/>
      <c r="BI91" s="239"/>
    </row>
    <row r="92">
      <c r="A92" s="239"/>
      <c r="B92" s="239"/>
      <c r="C92" s="263" t="b">
        <v>0</v>
      </c>
      <c r="D92" s="264"/>
      <c r="E92" s="264"/>
      <c r="F92" s="264"/>
      <c r="G92" s="265"/>
      <c r="H92" s="266" t="str">
        <f t="shared" si="2"/>
        <v/>
      </c>
      <c r="I92" s="263" t="b">
        <v>0</v>
      </c>
      <c r="J92" s="266"/>
      <c r="K92" s="266"/>
      <c r="L92" s="266"/>
      <c r="M92" s="266"/>
      <c r="N92" s="266"/>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39"/>
      <c r="AT92" s="239"/>
      <c r="AU92" s="239"/>
      <c r="AV92" s="239"/>
      <c r="AW92" s="239"/>
      <c r="AX92" s="239"/>
      <c r="AY92" s="239"/>
      <c r="AZ92" s="239"/>
      <c r="BA92" s="239"/>
      <c r="BB92" s="239"/>
      <c r="BC92" s="239"/>
      <c r="BD92" s="239"/>
      <c r="BE92" s="239"/>
      <c r="BF92" s="239"/>
      <c r="BG92" s="239"/>
      <c r="BH92" s="239"/>
      <c r="BI92" s="239"/>
    </row>
    <row r="93">
      <c r="A93" s="239"/>
      <c r="B93" s="239"/>
      <c r="C93" s="263" t="b">
        <v>0</v>
      </c>
      <c r="D93" s="264"/>
      <c r="E93" s="264"/>
      <c r="F93" s="264"/>
      <c r="G93" s="265"/>
      <c r="H93" s="266" t="str">
        <f t="shared" si="2"/>
        <v/>
      </c>
      <c r="I93" s="263" t="b">
        <v>0</v>
      </c>
      <c r="J93" s="266"/>
      <c r="K93" s="266"/>
      <c r="L93" s="266"/>
      <c r="M93" s="266"/>
      <c r="N93" s="266"/>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c r="BD93" s="239"/>
      <c r="BE93" s="239"/>
      <c r="BF93" s="239"/>
      <c r="BG93" s="239"/>
      <c r="BH93" s="239"/>
      <c r="BI93" s="239"/>
    </row>
    <row r="94">
      <c r="A94" s="239"/>
      <c r="B94" s="239"/>
      <c r="C94" s="263" t="b">
        <v>0</v>
      </c>
      <c r="D94" s="264"/>
      <c r="E94" s="264"/>
      <c r="F94" s="264"/>
      <c r="G94" s="265"/>
      <c r="H94" s="266" t="str">
        <f t="shared" si="2"/>
        <v/>
      </c>
      <c r="I94" s="263" t="b">
        <v>0</v>
      </c>
      <c r="J94" s="266"/>
      <c r="K94" s="266"/>
      <c r="L94" s="266"/>
      <c r="M94" s="266"/>
      <c r="N94" s="266"/>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c r="BD94" s="239"/>
      <c r="BE94" s="239"/>
      <c r="BF94" s="239"/>
      <c r="BG94" s="239"/>
      <c r="BH94" s="239"/>
      <c r="BI94" s="239"/>
    </row>
    <row r="95">
      <c r="A95" s="239"/>
      <c r="B95" s="239"/>
      <c r="C95" s="263" t="b">
        <v>0</v>
      </c>
      <c r="D95" s="264"/>
      <c r="E95" s="264"/>
      <c r="F95" s="264"/>
      <c r="G95" s="265"/>
      <c r="H95" s="266" t="str">
        <f t="shared" si="2"/>
        <v/>
      </c>
      <c r="I95" s="263" t="b">
        <v>0</v>
      </c>
      <c r="J95" s="266"/>
      <c r="K95" s="266"/>
      <c r="L95" s="266"/>
      <c r="M95" s="266"/>
      <c r="N95" s="266"/>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c r="BD95" s="239"/>
      <c r="BE95" s="239"/>
      <c r="BF95" s="239"/>
      <c r="BG95" s="239"/>
      <c r="BH95" s="239"/>
      <c r="BI95" s="239"/>
    </row>
    <row r="96">
      <c r="A96" s="239"/>
      <c r="B96" s="239"/>
      <c r="C96" s="263" t="b">
        <v>0</v>
      </c>
      <c r="D96" s="264"/>
      <c r="E96" s="264"/>
      <c r="F96" s="264"/>
      <c r="G96" s="265"/>
      <c r="H96" s="266" t="str">
        <f t="shared" si="2"/>
        <v/>
      </c>
      <c r="I96" s="263" t="b">
        <v>0</v>
      </c>
      <c r="J96" s="266"/>
      <c r="K96" s="266"/>
      <c r="L96" s="266"/>
      <c r="M96" s="266"/>
      <c r="N96" s="266"/>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row>
    <row r="97">
      <c r="A97" s="239"/>
      <c r="B97" s="239"/>
      <c r="C97" s="263" t="b">
        <v>0</v>
      </c>
      <c r="D97" s="264"/>
      <c r="E97" s="264"/>
      <c r="F97" s="264"/>
      <c r="G97" s="265"/>
      <c r="H97" s="266" t="str">
        <f t="shared" si="2"/>
        <v/>
      </c>
      <c r="I97" s="263" t="b">
        <v>0</v>
      </c>
      <c r="J97" s="266"/>
      <c r="K97" s="266"/>
      <c r="L97" s="266"/>
      <c r="M97" s="266"/>
      <c r="N97" s="266"/>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c r="BD97" s="239"/>
      <c r="BE97" s="239"/>
      <c r="BF97" s="239"/>
      <c r="BG97" s="239"/>
      <c r="BH97" s="239"/>
      <c r="BI97" s="239"/>
    </row>
    <row r="98">
      <c r="A98" s="239"/>
      <c r="B98" s="239"/>
      <c r="C98" s="263" t="b">
        <v>0</v>
      </c>
      <c r="D98" s="264"/>
      <c r="E98" s="264"/>
      <c r="F98" s="264"/>
      <c r="G98" s="265"/>
      <c r="H98" s="266" t="str">
        <f t="shared" si="2"/>
        <v/>
      </c>
      <c r="I98" s="263" t="b">
        <v>0</v>
      </c>
      <c r="J98" s="266"/>
      <c r="K98" s="266"/>
      <c r="L98" s="266"/>
      <c r="M98" s="266"/>
      <c r="N98" s="266"/>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row>
    <row r="99">
      <c r="A99" s="239"/>
      <c r="B99" s="239"/>
      <c r="C99" s="263" t="b">
        <v>0</v>
      </c>
      <c r="D99" s="264"/>
      <c r="E99" s="264"/>
      <c r="F99" s="264"/>
      <c r="G99" s="265"/>
      <c r="H99" s="266" t="str">
        <f t="shared" si="2"/>
        <v/>
      </c>
      <c r="I99" s="263" t="b">
        <v>0</v>
      </c>
      <c r="J99" s="266"/>
      <c r="K99" s="266"/>
      <c r="L99" s="266"/>
      <c r="M99" s="266"/>
      <c r="N99" s="266"/>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c r="BD99" s="239"/>
      <c r="BE99" s="239"/>
      <c r="BF99" s="239"/>
      <c r="BG99" s="239"/>
      <c r="BH99" s="239"/>
      <c r="BI99" s="239"/>
    </row>
    <row r="100">
      <c r="A100" s="239"/>
      <c r="B100" s="239"/>
      <c r="C100" s="263" t="b">
        <v>0</v>
      </c>
      <c r="D100" s="264"/>
      <c r="E100" s="264"/>
      <c r="F100" s="264"/>
      <c r="G100" s="265"/>
      <c r="H100" s="266" t="str">
        <f t="shared" si="2"/>
        <v/>
      </c>
      <c r="I100" s="263" t="b">
        <v>0</v>
      </c>
      <c r="J100" s="266"/>
      <c r="K100" s="266"/>
      <c r="L100" s="266"/>
      <c r="M100" s="266"/>
      <c r="N100" s="266"/>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row>
    <row r="101">
      <c r="A101" s="239"/>
      <c r="B101" s="239"/>
      <c r="C101" s="263" t="b">
        <v>0</v>
      </c>
      <c r="D101" s="264"/>
      <c r="E101" s="264"/>
      <c r="F101" s="264"/>
      <c r="G101" s="265"/>
      <c r="H101" s="266" t="str">
        <f t="shared" si="2"/>
        <v/>
      </c>
      <c r="I101" s="263" t="b">
        <v>0</v>
      </c>
      <c r="J101" s="266"/>
      <c r="K101" s="266"/>
      <c r="L101" s="266"/>
      <c r="M101" s="266"/>
      <c r="N101" s="266"/>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row>
    <row r="102">
      <c r="A102" s="239"/>
      <c r="B102" s="239"/>
      <c r="C102" s="263" t="b">
        <v>0</v>
      </c>
      <c r="D102" s="264"/>
      <c r="E102" s="264"/>
      <c r="F102" s="264"/>
      <c r="G102" s="265"/>
      <c r="H102" s="266" t="str">
        <f t="shared" si="2"/>
        <v/>
      </c>
      <c r="I102" s="263" t="b">
        <v>0</v>
      </c>
      <c r="J102" s="266"/>
      <c r="K102" s="266"/>
      <c r="L102" s="266"/>
      <c r="M102" s="266"/>
      <c r="N102" s="266"/>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c r="BD102" s="239"/>
      <c r="BE102" s="239"/>
      <c r="BF102" s="239"/>
      <c r="BG102" s="239"/>
      <c r="BH102" s="239"/>
      <c r="BI102" s="239"/>
    </row>
    <row r="103">
      <c r="A103" s="239"/>
      <c r="B103" s="239"/>
      <c r="C103" s="263" t="b">
        <v>0</v>
      </c>
      <c r="D103" s="264"/>
      <c r="E103" s="264"/>
      <c r="F103" s="264"/>
      <c r="G103" s="265"/>
      <c r="H103" s="266" t="str">
        <f t="shared" si="2"/>
        <v/>
      </c>
      <c r="I103" s="263" t="b">
        <v>0</v>
      </c>
      <c r="J103" s="266"/>
      <c r="K103" s="266"/>
      <c r="L103" s="266"/>
      <c r="M103" s="266"/>
      <c r="N103" s="266"/>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c r="BD103" s="239"/>
      <c r="BE103" s="239"/>
      <c r="BF103" s="239"/>
      <c r="BG103" s="239"/>
      <c r="BH103" s="239"/>
      <c r="BI103" s="239"/>
    </row>
    <row r="104">
      <c r="A104" s="239"/>
      <c r="B104" s="239"/>
      <c r="C104" s="263" t="b">
        <v>0</v>
      </c>
      <c r="D104" s="264"/>
      <c r="E104" s="264"/>
      <c r="F104" s="264"/>
      <c r="G104" s="265"/>
      <c r="H104" s="266" t="str">
        <f t="shared" si="2"/>
        <v/>
      </c>
      <c r="I104" s="263" t="b">
        <v>0</v>
      </c>
      <c r="J104" s="266"/>
      <c r="K104" s="266"/>
      <c r="L104" s="266"/>
      <c r="M104" s="266"/>
      <c r="N104" s="266"/>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row>
    <row r="105">
      <c r="A105" s="239"/>
      <c r="B105" s="239"/>
      <c r="C105" s="263" t="b">
        <v>0</v>
      </c>
      <c r="D105" s="264"/>
      <c r="E105" s="264"/>
      <c r="F105" s="264"/>
      <c r="G105" s="265"/>
      <c r="H105" s="266" t="str">
        <f t="shared" si="2"/>
        <v/>
      </c>
      <c r="I105" s="263" t="b">
        <v>0</v>
      </c>
      <c r="J105" s="266"/>
      <c r="K105" s="266"/>
      <c r="L105" s="266"/>
      <c r="M105" s="266"/>
      <c r="N105" s="266"/>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row>
    <row r="106">
      <c r="A106" s="239"/>
      <c r="B106" s="239"/>
      <c r="C106" s="263" t="b">
        <v>0</v>
      </c>
      <c r="D106" s="264"/>
      <c r="E106" s="264"/>
      <c r="F106" s="264"/>
      <c r="G106" s="265"/>
      <c r="H106" s="266" t="str">
        <f t="shared" si="2"/>
        <v/>
      </c>
      <c r="I106" s="263" t="b">
        <v>0</v>
      </c>
      <c r="J106" s="266"/>
      <c r="K106" s="266"/>
      <c r="L106" s="266"/>
      <c r="M106" s="266"/>
      <c r="N106" s="266"/>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row>
    <row r="107">
      <c r="A107" s="239"/>
      <c r="B107" s="239"/>
      <c r="C107" s="263" t="b">
        <v>0</v>
      </c>
      <c r="D107" s="264"/>
      <c r="E107" s="264"/>
      <c r="F107" s="264"/>
      <c r="G107" s="265"/>
      <c r="H107" s="266" t="str">
        <f t="shared" si="2"/>
        <v/>
      </c>
      <c r="I107" s="263" t="b">
        <v>0</v>
      </c>
      <c r="J107" s="266"/>
      <c r="K107" s="266"/>
      <c r="L107" s="266"/>
      <c r="M107" s="266"/>
      <c r="N107" s="266"/>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row>
    <row r="108">
      <c r="A108" s="239"/>
      <c r="B108" s="239"/>
      <c r="C108" s="263" t="b">
        <v>0</v>
      </c>
      <c r="D108" s="264"/>
      <c r="E108" s="264"/>
      <c r="F108" s="264"/>
      <c r="G108" s="265"/>
      <c r="H108" s="266" t="str">
        <f t="shared" si="2"/>
        <v/>
      </c>
      <c r="I108" s="263" t="b">
        <v>0</v>
      </c>
      <c r="J108" s="266"/>
      <c r="K108" s="266"/>
      <c r="L108" s="266"/>
      <c r="M108" s="266"/>
      <c r="N108" s="266"/>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c r="AL108" s="239"/>
      <c r="AM108" s="239"/>
      <c r="AN108" s="239"/>
      <c r="AO108" s="239"/>
      <c r="AP108" s="239"/>
      <c r="AQ108" s="239"/>
      <c r="AR108" s="239"/>
      <c r="AS108" s="239"/>
      <c r="AT108" s="239"/>
      <c r="AU108" s="239"/>
      <c r="AV108" s="239"/>
      <c r="AW108" s="239"/>
      <c r="AX108" s="239"/>
      <c r="AY108" s="239"/>
      <c r="AZ108" s="239"/>
      <c r="BA108" s="239"/>
      <c r="BB108" s="239"/>
      <c r="BC108" s="239"/>
      <c r="BD108" s="239"/>
      <c r="BE108" s="239"/>
      <c r="BF108" s="239"/>
      <c r="BG108" s="239"/>
      <c r="BH108" s="239"/>
      <c r="BI108" s="239"/>
    </row>
    <row r="109">
      <c r="A109" s="239"/>
      <c r="B109" s="239"/>
      <c r="C109" s="263" t="b">
        <v>0</v>
      </c>
      <c r="D109" s="264"/>
      <c r="E109" s="264"/>
      <c r="F109" s="264"/>
      <c r="G109" s="265"/>
      <c r="H109" s="266" t="str">
        <f t="shared" si="2"/>
        <v/>
      </c>
      <c r="I109" s="263" t="b">
        <v>0</v>
      </c>
      <c r="J109" s="266"/>
      <c r="K109" s="266"/>
      <c r="L109" s="266"/>
      <c r="M109" s="266"/>
      <c r="N109" s="266"/>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row>
    <row r="110">
      <c r="A110" s="239"/>
      <c r="B110" s="239"/>
      <c r="C110" s="263" t="b">
        <v>0</v>
      </c>
      <c r="D110" s="264"/>
      <c r="E110" s="264"/>
      <c r="F110" s="264"/>
      <c r="G110" s="265"/>
      <c r="H110" s="266" t="str">
        <f t="shared" si="2"/>
        <v/>
      </c>
      <c r="I110" s="263" t="b">
        <v>0</v>
      </c>
      <c r="J110" s="266"/>
      <c r="K110" s="266"/>
      <c r="L110" s="266"/>
      <c r="M110" s="266"/>
      <c r="N110" s="266"/>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row>
    <row r="111">
      <c r="A111" s="239"/>
      <c r="B111" s="239"/>
      <c r="C111" s="263" t="b">
        <v>0</v>
      </c>
      <c r="D111" s="264"/>
      <c r="E111" s="264"/>
      <c r="F111" s="264"/>
      <c r="G111" s="265"/>
      <c r="H111" s="266" t="str">
        <f t="shared" si="2"/>
        <v/>
      </c>
      <c r="I111" s="263" t="b">
        <v>0</v>
      </c>
      <c r="J111" s="266"/>
      <c r="K111" s="266"/>
      <c r="L111" s="266"/>
      <c r="M111" s="266"/>
      <c r="N111" s="266"/>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row>
    <row r="112">
      <c r="A112" s="239"/>
      <c r="B112" s="239"/>
      <c r="C112" s="263" t="b">
        <v>0</v>
      </c>
      <c r="D112" s="264"/>
      <c r="E112" s="264"/>
      <c r="F112" s="264"/>
      <c r="G112" s="265"/>
      <c r="H112" s="266" t="str">
        <f t="shared" si="2"/>
        <v/>
      </c>
      <c r="I112" s="263" t="b">
        <v>0</v>
      </c>
      <c r="J112" s="266"/>
      <c r="K112" s="266"/>
      <c r="L112" s="266"/>
      <c r="M112" s="266"/>
      <c r="N112" s="266"/>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row>
    <row r="113">
      <c r="A113" s="239"/>
      <c r="B113" s="239"/>
      <c r="C113" s="263" t="b">
        <v>0</v>
      </c>
      <c r="D113" s="264"/>
      <c r="E113" s="264"/>
      <c r="F113" s="264"/>
      <c r="G113" s="265"/>
      <c r="H113" s="266" t="str">
        <f t="shared" si="2"/>
        <v/>
      </c>
      <c r="I113" s="263" t="b">
        <v>0</v>
      </c>
      <c r="J113" s="266"/>
      <c r="K113" s="266"/>
      <c r="L113" s="266"/>
      <c r="M113" s="266"/>
      <c r="N113" s="266"/>
      <c r="O113" s="239"/>
      <c r="P113" s="239"/>
      <c r="Q113" s="239"/>
      <c r="R113" s="239"/>
      <c r="S113" s="239"/>
      <c r="T113" s="239"/>
      <c r="U113" s="239"/>
      <c r="V113" s="239"/>
      <c r="W113" s="239"/>
      <c r="X113" s="239"/>
      <c r="Y113" s="239"/>
      <c r="Z113" s="239"/>
      <c r="AA113" s="239"/>
      <c r="AB113" s="239"/>
      <c r="AC113" s="239"/>
      <c r="AD113" s="239"/>
      <c r="AE113" s="239"/>
      <c r="AF113" s="239"/>
      <c r="AG113" s="239"/>
      <c r="AH113" s="239"/>
      <c r="AI113" s="239"/>
      <c r="AJ113" s="239"/>
      <c r="AK113" s="239"/>
      <c r="AL113" s="239"/>
      <c r="AM113" s="239"/>
      <c r="AN113" s="239"/>
      <c r="AO113" s="239"/>
      <c r="AP113" s="239"/>
      <c r="AQ113" s="239"/>
      <c r="AR113" s="239"/>
      <c r="AS113" s="239"/>
      <c r="AT113" s="239"/>
      <c r="AU113" s="239"/>
      <c r="AV113" s="239"/>
      <c r="AW113" s="239"/>
      <c r="AX113" s="239"/>
      <c r="AY113" s="239"/>
      <c r="AZ113" s="239"/>
      <c r="BA113" s="239"/>
      <c r="BB113" s="239"/>
      <c r="BC113" s="239"/>
      <c r="BD113" s="239"/>
      <c r="BE113" s="239"/>
      <c r="BF113" s="239"/>
      <c r="BG113" s="239"/>
      <c r="BH113" s="239"/>
      <c r="BI113" s="239"/>
    </row>
    <row r="114">
      <c r="A114" s="239"/>
      <c r="B114" s="239"/>
      <c r="C114" s="263" t="b">
        <v>0</v>
      </c>
      <c r="D114" s="264"/>
      <c r="E114" s="264"/>
      <c r="F114" s="264"/>
      <c r="G114" s="265"/>
      <c r="H114" s="266" t="str">
        <f t="shared" si="2"/>
        <v/>
      </c>
      <c r="I114" s="263" t="b">
        <v>0</v>
      </c>
      <c r="J114" s="266"/>
      <c r="K114" s="266"/>
      <c r="L114" s="266"/>
      <c r="M114" s="266"/>
      <c r="N114" s="266"/>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c r="AJ114" s="239"/>
      <c r="AK114" s="239"/>
      <c r="AL114" s="239"/>
      <c r="AM114" s="239"/>
      <c r="AN114" s="239"/>
      <c r="AO114" s="239"/>
      <c r="AP114" s="239"/>
      <c r="AQ114" s="239"/>
      <c r="AR114" s="239"/>
      <c r="AS114" s="239"/>
      <c r="AT114" s="239"/>
      <c r="AU114" s="239"/>
      <c r="AV114" s="239"/>
      <c r="AW114" s="239"/>
      <c r="AX114" s="239"/>
      <c r="AY114" s="239"/>
      <c r="AZ114" s="239"/>
      <c r="BA114" s="239"/>
      <c r="BB114" s="239"/>
      <c r="BC114" s="239"/>
      <c r="BD114" s="239"/>
      <c r="BE114" s="239"/>
      <c r="BF114" s="239"/>
      <c r="BG114" s="239"/>
      <c r="BH114" s="239"/>
      <c r="BI114" s="239"/>
    </row>
    <row r="115">
      <c r="A115" s="239"/>
      <c r="B115" s="239"/>
      <c r="C115" s="263" t="b">
        <v>0</v>
      </c>
      <c r="D115" s="264"/>
      <c r="E115" s="264"/>
      <c r="F115" s="264"/>
      <c r="G115" s="265"/>
      <c r="H115" s="266" t="str">
        <f t="shared" si="2"/>
        <v/>
      </c>
      <c r="I115" s="263" t="b">
        <v>0</v>
      </c>
      <c r="J115" s="266"/>
      <c r="K115" s="266"/>
      <c r="L115" s="266"/>
      <c r="M115" s="266"/>
      <c r="N115" s="266"/>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row>
    <row r="116">
      <c r="A116" s="239"/>
      <c r="B116" s="239"/>
      <c r="C116" s="263" t="b">
        <v>0</v>
      </c>
      <c r="D116" s="264"/>
      <c r="E116" s="264"/>
      <c r="F116" s="264"/>
      <c r="G116" s="265"/>
      <c r="H116" s="266" t="str">
        <f t="shared" si="2"/>
        <v/>
      </c>
      <c r="I116" s="263" t="b">
        <v>0</v>
      </c>
      <c r="J116" s="266"/>
      <c r="K116" s="266"/>
      <c r="L116" s="266"/>
      <c r="M116" s="266"/>
      <c r="N116" s="266"/>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row>
    <row r="117">
      <c r="A117" s="239"/>
      <c r="B117" s="239"/>
      <c r="C117" s="263" t="b">
        <v>0</v>
      </c>
      <c r="D117" s="264"/>
      <c r="E117" s="264"/>
      <c r="F117" s="264"/>
      <c r="G117" s="265"/>
      <c r="H117" s="266" t="str">
        <f t="shared" si="2"/>
        <v/>
      </c>
      <c r="I117" s="263" t="b">
        <v>0</v>
      </c>
      <c r="J117" s="266"/>
      <c r="K117" s="266"/>
      <c r="L117" s="266"/>
      <c r="M117" s="266"/>
      <c r="N117" s="266"/>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row>
    <row r="118">
      <c r="A118" s="239"/>
      <c r="B118" s="239"/>
      <c r="C118" s="263" t="b">
        <v>0</v>
      </c>
      <c r="D118" s="264"/>
      <c r="E118" s="264"/>
      <c r="F118" s="264"/>
      <c r="G118" s="265"/>
      <c r="H118" s="266" t="str">
        <f t="shared" si="2"/>
        <v/>
      </c>
      <c r="I118" s="263" t="b">
        <v>0</v>
      </c>
      <c r="J118" s="266"/>
      <c r="K118" s="266"/>
      <c r="L118" s="266"/>
      <c r="M118" s="266"/>
      <c r="N118" s="266"/>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row>
    <row r="119">
      <c r="A119" s="239"/>
      <c r="B119" s="239"/>
      <c r="C119" s="263" t="b">
        <v>0</v>
      </c>
      <c r="D119" s="264"/>
      <c r="E119" s="264"/>
      <c r="F119" s="264"/>
      <c r="G119" s="265"/>
      <c r="H119" s="266" t="str">
        <f t="shared" si="2"/>
        <v/>
      </c>
      <c r="I119" s="263" t="b">
        <v>0</v>
      </c>
      <c r="J119" s="266"/>
      <c r="K119" s="266"/>
      <c r="L119" s="266"/>
      <c r="M119" s="266"/>
      <c r="N119" s="266"/>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row>
    <row r="120">
      <c r="A120" s="239"/>
      <c r="B120" s="239"/>
      <c r="C120" s="263" t="b">
        <v>0</v>
      </c>
      <c r="D120" s="264"/>
      <c r="E120" s="264"/>
      <c r="F120" s="264"/>
      <c r="G120" s="265"/>
      <c r="H120" s="266" t="str">
        <f t="shared" si="2"/>
        <v/>
      </c>
      <c r="I120" s="263" t="b">
        <v>0</v>
      </c>
      <c r="J120" s="266"/>
      <c r="K120" s="266"/>
      <c r="L120" s="266"/>
      <c r="M120" s="266"/>
      <c r="N120" s="266"/>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row>
    <row r="121">
      <c r="A121" s="239"/>
      <c r="B121" s="239"/>
      <c r="C121" s="263" t="b">
        <v>0</v>
      </c>
      <c r="D121" s="264"/>
      <c r="E121" s="264"/>
      <c r="F121" s="264"/>
      <c r="G121" s="265"/>
      <c r="H121" s="266" t="str">
        <f t="shared" si="2"/>
        <v/>
      </c>
      <c r="I121" s="263" t="b">
        <v>0</v>
      </c>
      <c r="J121" s="266"/>
      <c r="K121" s="266"/>
      <c r="L121" s="266"/>
      <c r="M121" s="266"/>
      <c r="N121" s="266"/>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c r="BD121" s="239"/>
      <c r="BE121" s="239"/>
      <c r="BF121" s="239"/>
      <c r="BG121" s="239"/>
      <c r="BH121" s="239"/>
      <c r="BI121" s="239"/>
    </row>
    <row r="122">
      <c r="A122" s="239"/>
      <c r="B122" s="239"/>
      <c r="C122" s="263" t="b">
        <v>0</v>
      </c>
      <c r="D122" s="264"/>
      <c r="E122" s="264"/>
      <c r="F122" s="264"/>
      <c r="G122" s="265"/>
      <c r="H122" s="266" t="str">
        <f t="shared" si="2"/>
        <v/>
      </c>
      <c r="I122" s="263" t="b">
        <v>0</v>
      </c>
      <c r="J122" s="266"/>
      <c r="K122" s="266"/>
      <c r="L122" s="266"/>
      <c r="M122" s="266"/>
      <c r="N122" s="266"/>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c r="BD122" s="239"/>
      <c r="BE122" s="239"/>
      <c r="BF122" s="239"/>
      <c r="BG122" s="239"/>
      <c r="BH122" s="239"/>
      <c r="BI122" s="239"/>
    </row>
    <row r="123">
      <c r="A123" s="239"/>
      <c r="B123" s="239"/>
      <c r="C123" s="263" t="b">
        <v>0</v>
      </c>
      <c r="D123" s="264"/>
      <c r="E123" s="264"/>
      <c r="F123" s="264"/>
      <c r="G123" s="265"/>
      <c r="H123" s="266" t="str">
        <f t="shared" si="2"/>
        <v/>
      </c>
      <c r="I123" s="263" t="b">
        <v>0</v>
      </c>
      <c r="J123" s="266"/>
      <c r="K123" s="266"/>
      <c r="L123" s="266"/>
      <c r="M123" s="266"/>
      <c r="N123" s="266"/>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row>
    <row r="124">
      <c r="A124" s="239"/>
      <c r="B124" s="239"/>
      <c r="C124" s="263" t="b">
        <v>0</v>
      </c>
      <c r="D124" s="264"/>
      <c r="E124" s="264"/>
      <c r="F124" s="264"/>
      <c r="G124" s="265"/>
      <c r="H124" s="266" t="str">
        <f t="shared" si="2"/>
        <v/>
      </c>
      <c r="I124" s="263" t="b">
        <v>0</v>
      </c>
      <c r="J124" s="266"/>
      <c r="K124" s="266"/>
      <c r="L124" s="266"/>
      <c r="M124" s="266"/>
      <c r="N124" s="266"/>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row>
    <row r="125">
      <c r="A125" s="239"/>
      <c r="B125" s="239"/>
      <c r="C125" s="263" t="b">
        <v>0</v>
      </c>
      <c r="D125" s="264"/>
      <c r="E125" s="264"/>
      <c r="F125" s="264"/>
      <c r="G125" s="265"/>
      <c r="H125" s="266" t="str">
        <f t="shared" si="2"/>
        <v/>
      </c>
      <c r="I125" s="263" t="b">
        <v>0</v>
      </c>
      <c r="J125" s="266"/>
      <c r="K125" s="266"/>
      <c r="L125" s="266"/>
      <c r="M125" s="266"/>
      <c r="N125" s="266"/>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row>
    <row r="126">
      <c r="A126" s="239"/>
      <c r="B126" s="239"/>
      <c r="C126" s="263" t="b">
        <v>0</v>
      </c>
      <c r="D126" s="264"/>
      <c r="E126" s="264"/>
      <c r="F126" s="264"/>
      <c r="G126" s="265"/>
      <c r="H126" s="266" t="str">
        <f t="shared" si="2"/>
        <v/>
      </c>
      <c r="I126" s="263" t="b">
        <v>0</v>
      </c>
      <c r="J126" s="266"/>
      <c r="K126" s="266"/>
      <c r="L126" s="266"/>
      <c r="M126" s="266"/>
      <c r="N126" s="266"/>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c r="BD126" s="239"/>
      <c r="BE126" s="239"/>
      <c r="BF126" s="239"/>
      <c r="BG126" s="239"/>
      <c r="BH126" s="239"/>
      <c r="BI126" s="239"/>
    </row>
    <row r="127">
      <c r="A127" s="239"/>
      <c r="B127" s="239"/>
      <c r="C127" s="263" t="b">
        <v>0</v>
      </c>
      <c r="D127" s="264"/>
      <c r="E127" s="264"/>
      <c r="F127" s="264"/>
      <c r="G127" s="265"/>
      <c r="H127" s="266" t="str">
        <f t="shared" si="2"/>
        <v/>
      </c>
      <c r="I127" s="263" t="b">
        <v>0</v>
      </c>
      <c r="J127" s="266"/>
      <c r="K127" s="266"/>
      <c r="L127" s="266"/>
      <c r="M127" s="266"/>
      <c r="N127" s="266"/>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row>
    <row r="128">
      <c r="A128" s="239"/>
      <c r="B128" s="239"/>
      <c r="C128" s="263" t="b">
        <v>0</v>
      </c>
      <c r="D128" s="264"/>
      <c r="E128" s="264"/>
      <c r="F128" s="264"/>
      <c r="G128" s="265"/>
      <c r="H128" s="266" t="str">
        <f t="shared" si="2"/>
        <v/>
      </c>
      <c r="I128" s="263" t="b">
        <v>0</v>
      </c>
      <c r="J128" s="266"/>
      <c r="K128" s="266"/>
      <c r="L128" s="266"/>
      <c r="M128" s="266"/>
      <c r="N128" s="266"/>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row>
    <row r="129">
      <c r="A129" s="239"/>
      <c r="B129" s="239"/>
      <c r="C129" s="263" t="b">
        <v>0</v>
      </c>
      <c r="D129" s="264"/>
      <c r="E129" s="264"/>
      <c r="F129" s="264"/>
      <c r="G129" s="265"/>
      <c r="H129" s="266" t="str">
        <f t="shared" si="2"/>
        <v/>
      </c>
      <c r="I129" s="263" t="b">
        <v>0</v>
      </c>
      <c r="J129" s="266"/>
      <c r="K129" s="266"/>
      <c r="L129" s="266"/>
      <c r="M129" s="266"/>
      <c r="N129" s="266"/>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c r="AL129" s="239"/>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row>
    <row r="130">
      <c r="A130" s="239"/>
      <c r="B130" s="239"/>
      <c r="C130" s="263" t="b">
        <v>0</v>
      </c>
      <c r="D130" s="264"/>
      <c r="E130" s="264"/>
      <c r="F130" s="264"/>
      <c r="G130" s="265"/>
      <c r="H130" s="266" t="str">
        <f t="shared" si="2"/>
        <v/>
      </c>
      <c r="I130" s="263" t="b">
        <v>0</v>
      </c>
      <c r="J130" s="266"/>
      <c r="K130" s="266"/>
      <c r="L130" s="266"/>
      <c r="M130" s="266"/>
      <c r="N130" s="266"/>
      <c r="O130" s="239"/>
      <c r="P130" s="239"/>
      <c r="Q130" s="239"/>
      <c r="R130" s="239"/>
      <c r="S130" s="239"/>
      <c r="T130" s="239"/>
      <c r="U130" s="239"/>
      <c r="V130" s="239"/>
      <c r="W130" s="239"/>
      <c r="X130" s="239"/>
      <c r="Y130" s="239"/>
      <c r="Z130" s="239"/>
      <c r="AA130" s="239"/>
      <c r="AB130" s="239"/>
      <c r="AC130" s="239"/>
      <c r="AD130" s="239"/>
      <c r="AE130" s="239"/>
      <c r="AF130" s="239"/>
      <c r="AG130" s="239"/>
      <c r="AH130" s="239"/>
      <c r="AI130" s="239"/>
      <c r="AJ130" s="239"/>
      <c r="AK130" s="239"/>
      <c r="AL130" s="239"/>
      <c r="AM130" s="239"/>
      <c r="AN130" s="239"/>
      <c r="AO130" s="239"/>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row>
    <row r="131">
      <c r="A131" s="239"/>
      <c r="B131" s="239"/>
      <c r="C131" s="263" t="b">
        <v>0</v>
      </c>
      <c r="D131" s="264"/>
      <c r="E131" s="264"/>
      <c r="F131" s="264"/>
      <c r="G131" s="265"/>
      <c r="H131" s="266" t="str">
        <f t="shared" si="2"/>
        <v/>
      </c>
      <c r="I131" s="263" t="b">
        <v>0</v>
      </c>
      <c r="J131" s="266"/>
      <c r="K131" s="266"/>
      <c r="L131" s="266"/>
      <c r="M131" s="266"/>
      <c r="N131" s="266"/>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c r="BD131" s="239"/>
      <c r="BE131" s="239"/>
      <c r="BF131" s="239"/>
      <c r="BG131" s="239"/>
      <c r="BH131" s="239"/>
      <c r="BI131" s="239"/>
    </row>
    <row r="132">
      <c r="A132" s="239"/>
      <c r="B132" s="239"/>
      <c r="C132" s="263" t="b">
        <v>0</v>
      </c>
      <c r="D132" s="264"/>
      <c r="E132" s="264"/>
      <c r="F132" s="264"/>
      <c r="G132" s="265"/>
      <c r="H132" s="266" t="str">
        <f t="shared" si="2"/>
        <v/>
      </c>
      <c r="I132" s="263" t="b">
        <v>0</v>
      </c>
      <c r="J132" s="266"/>
      <c r="K132" s="266"/>
      <c r="L132" s="266"/>
      <c r="M132" s="266"/>
      <c r="N132" s="266"/>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c r="BI132" s="239"/>
    </row>
    <row r="133">
      <c r="A133" s="239"/>
      <c r="B133" s="239"/>
      <c r="C133" s="263" t="b">
        <v>0</v>
      </c>
      <c r="D133" s="264"/>
      <c r="E133" s="264"/>
      <c r="F133" s="264"/>
      <c r="G133" s="265"/>
      <c r="H133" s="266" t="str">
        <f t="shared" si="2"/>
        <v/>
      </c>
      <c r="I133" s="263" t="b">
        <v>0</v>
      </c>
      <c r="J133" s="266"/>
      <c r="K133" s="266"/>
      <c r="L133" s="266"/>
      <c r="M133" s="266"/>
      <c r="N133" s="266"/>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c r="BI133" s="239"/>
    </row>
    <row r="134">
      <c r="A134" s="239"/>
      <c r="B134" s="239"/>
      <c r="C134" s="263" t="b">
        <v>0</v>
      </c>
      <c r="D134" s="264"/>
      <c r="E134" s="264"/>
      <c r="F134" s="264"/>
      <c r="G134" s="265"/>
      <c r="H134" s="266" t="str">
        <f t="shared" si="2"/>
        <v/>
      </c>
      <c r="I134" s="263" t="b">
        <v>0</v>
      </c>
      <c r="J134" s="266"/>
      <c r="K134" s="266"/>
      <c r="L134" s="266"/>
      <c r="M134" s="266"/>
      <c r="N134" s="266"/>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c r="BD134" s="239"/>
      <c r="BE134" s="239"/>
      <c r="BF134" s="239"/>
      <c r="BG134" s="239"/>
      <c r="BH134" s="239"/>
      <c r="BI134" s="239"/>
    </row>
    <row r="135">
      <c r="A135" s="239"/>
      <c r="B135" s="239"/>
      <c r="C135" s="263" t="b">
        <v>0</v>
      </c>
      <c r="D135" s="264"/>
      <c r="E135" s="264"/>
      <c r="F135" s="264"/>
      <c r="G135" s="265"/>
      <c r="H135" s="266" t="str">
        <f t="shared" si="2"/>
        <v/>
      </c>
      <c r="I135" s="263" t="b">
        <v>0</v>
      </c>
      <c r="J135" s="266"/>
      <c r="K135" s="266"/>
      <c r="L135" s="266"/>
      <c r="M135" s="266"/>
      <c r="N135" s="266"/>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c r="AK135" s="239"/>
      <c r="AL135" s="239"/>
      <c r="AM135" s="239"/>
      <c r="AN135" s="239"/>
      <c r="AO135" s="239"/>
      <c r="AP135" s="239"/>
      <c r="AQ135" s="239"/>
      <c r="AR135" s="239"/>
      <c r="AS135" s="239"/>
      <c r="AT135" s="239"/>
      <c r="AU135" s="239"/>
      <c r="AV135" s="239"/>
      <c r="AW135" s="239"/>
      <c r="AX135" s="239"/>
      <c r="AY135" s="239"/>
      <c r="AZ135" s="239"/>
      <c r="BA135" s="239"/>
      <c r="BB135" s="239"/>
      <c r="BC135" s="239"/>
      <c r="BD135" s="239"/>
      <c r="BE135" s="239"/>
      <c r="BF135" s="239"/>
      <c r="BG135" s="239"/>
      <c r="BH135" s="239"/>
      <c r="BI135" s="239"/>
    </row>
    <row r="136">
      <c r="A136" s="239"/>
      <c r="B136" s="239"/>
      <c r="C136" s="263" t="b">
        <v>0</v>
      </c>
      <c r="D136" s="264"/>
      <c r="E136" s="264"/>
      <c r="F136" s="264"/>
      <c r="G136" s="265"/>
      <c r="H136" s="266" t="str">
        <f t="shared" si="2"/>
        <v/>
      </c>
      <c r="I136" s="263" t="b">
        <v>0</v>
      </c>
      <c r="J136" s="266"/>
      <c r="K136" s="266"/>
      <c r="L136" s="266"/>
      <c r="M136" s="266"/>
      <c r="N136" s="266"/>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c r="AL136" s="239"/>
      <c r="AM136" s="239"/>
      <c r="AN136" s="239"/>
      <c r="AO136" s="239"/>
      <c r="AP136" s="239"/>
      <c r="AQ136" s="239"/>
      <c r="AR136" s="239"/>
      <c r="AS136" s="239"/>
      <c r="AT136" s="239"/>
      <c r="AU136" s="239"/>
      <c r="AV136" s="239"/>
      <c r="AW136" s="239"/>
      <c r="AX136" s="239"/>
      <c r="AY136" s="239"/>
      <c r="AZ136" s="239"/>
      <c r="BA136" s="239"/>
      <c r="BB136" s="239"/>
      <c r="BC136" s="239"/>
      <c r="BD136" s="239"/>
      <c r="BE136" s="239"/>
      <c r="BF136" s="239"/>
      <c r="BG136" s="239"/>
      <c r="BH136" s="239"/>
      <c r="BI136" s="239"/>
    </row>
    <row r="137">
      <c r="A137" s="239"/>
      <c r="B137" s="239"/>
      <c r="C137" s="263" t="b">
        <v>0</v>
      </c>
      <c r="D137" s="264"/>
      <c r="E137" s="264"/>
      <c r="F137" s="264"/>
      <c r="G137" s="265"/>
      <c r="H137" s="266" t="str">
        <f t="shared" si="2"/>
        <v/>
      </c>
      <c r="I137" s="263" t="b">
        <v>0</v>
      </c>
      <c r="J137" s="266"/>
      <c r="K137" s="266"/>
      <c r="L137" s="266"/>
      <c r="M137" s="266"/>
      <c r="N137" s="266"/>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c r="AL137" s="239"/>
      <c r="AM137" s="239"/>
      <c r="AN137" s="239"/>
      <c r="AO137" s="239"/>
      <c r="AP137" s="239"/>
      <c r="AQ137" s="239"/>
      <c r="AR137" s="239"/>
      <c r="AS137" s="239"/>
      <c r="AT137" s="239"/>
      <c r="AU137" s="239"/>
      <c r="AV137" s="239"/>
      <c r="AW137" s="239"/>
      <c r="AX137" s="239"/>
      <c r="AY137" s="239"/>
      <c r="AZ137" s="239"/>
      <c r="BA137" s="239"/>
      <c r="BB137" s="239"/>
      <c r="BC137" s="239"/>
      <c r="BD137" s="239"/>
      <c r="BE137" s="239"/>
      <c r="BF137" s="239"/>
      <c r="BG137" s="239"/>
      <c r="BH137" s="239"/>
      <c r="BI137" s="239"/>
    </row>
    <row r="138">
      <c r="A138" s="239"/>
      <c r="B138" s="239"/>
      <c r="C138" s="263" t="b">
        <v>0</v>
      </c>
      <c r="D138" s="264"/>
      <c r="E138" s="264"/>
      <c r="F138" s="264"/>
      <c r="G138" s="265"/>
      <c r="H138" s="266" t="str">
        <f t="shared" si="2"/>
        <v/>
      </c>
      <c r="I138" s="263" t="b">
        <v>0</v>
      </c>
      <c r="J138" s="266"/>
      <c r="K138" s="266"/>
      <c r="L138" s="266"/>
      <c r="M138" s="266"/>
      <c r="N138" s="266"/>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c r="BI138" s="239"/>
    </row>
    <row r="139">
      <c r="A139" s="239"/>
      <c r="B139" s="239"/>
      <c r="C139" s="263" t="b">
        <v>0</v>
      </c>
      <c r="D139" s="264"/>
      <c r="E139" s="264"/>
      <c r="F139" s="264"/>
      <c r="G139" s="265"/>
      <c r="H139" s="266" t="str">
        <f t="shared" si="2"/>
        <v/>
      </c>
      <c r="I139" s="263" t="b">
        <v>0</v>
      </c>
      <c r="J139" s="266"/>
      <c r="K139" s="266"/>
      <c r="L139" s="266"/>
      <c r="M139" s="266"/>
      <c r="N139" s="266"/>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c r="BD139" s="239"/>
      <c r="BE139" s="239"/>
      <c r="BF139" s="239"/>
      <c r="BG139" s="239"/>
      <c r="BH139" s="239"/>
      <c r="BI139" s="239"/>
    </row>
    <row r="140">
      <c r="A140" s="239"/>
      <c r="B140" s="239"/>
      <c r="C140" s="263" t="b">
        <v>0</v>
      </c>
      <c r="D140" s="264"/>
      <c r="E140" s="264"/>
      <c r="F140" s="264"/>
      <c r="G140" s="265"/>
      <c r="H140" s="266" t="str">
        <f t="shared" si="2"/>
        <v/>
      </c>
      <c r="I140" s="263" t="b">
        <v>0</v>
      </c>
      <c r="J140" s="266"/>
      <c r="K140" s="266"/>
      <c r="L140" s="266"/>
      <c r="M140" s="266"/>
      <c r="N140" s="266"/>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c r="BI140" s="239"/>
    </row>
    <row r="141">
      <c r="A141" s="239"/>
      <c r="B141" s="239"/>
      <c r="C141" s="263" t="b">
        <v>0</v>
      </c>
      <c r="D141" s="264"/>
      <c r="E141" s="264"/>
      <c r="F141" s="264"/>
      <c r="G141" s="265"/>
      <c r="H141" s="266" t="str">
        <f t="shared" si="2"/>
        <v/>
      </c>
      <c r="I141" s="263" t="b">
        <v>0</v>
      </c>
      <c r="J141" s="266"/>
      <c r="K141" s="266"/>
      <c r="L141" s="266"/>
      <c r="M141" s="266"/>
      <c r="N141" s="266"/>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c r="BD141" s="239"/>
      <c r="BE141" s="239"/>
      <c r="BF141" s="239"/>
      <c r="BG141" s="239"/>
      <c r="BH141" s="239"/>
      <c r="BI141" s="239"/>
    </row>
    <row r="142">
      <c r="A142" s="239"/>
      <c r="B142" s="239"/>
      <c r="C142" s="263" t="b">
        <v>0</v>
      </c>
      <c r="D142" s="264"/>
      <c r="E142" s="264"/>
      <c r="F142" s="264"/>
      <c r="G142" s="265"/>
      <c r="H142" s="266" t="str">
        <f t="shared" si="2"/>
        <v/>
      </c>
      <c r="I142" s="263" t="b">
        <v>0</v>
      </c>
      <c r="J142" s="266"/>
      <c r="K142" s="266"/>
      <c r="L142" s="266"/>
      <c r="M142" s="266"/>
      <c r="N142" s="266"/>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c r="AK142" s="239"/>
      <c r="AL142" s="239"/>
      <c r="AM142" s="239"/>
      <c r="AN142" s="239"/>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row>
    <row r="143">
      <c r="A143" s="239"/>
      <c r="B143" s="239"/>
      <c r="C143" s="263" t="b">
        <v>0</v>
      </c>
      <c r="D143" s="264"/>
      <c r="E143" s="264"/>
      <c r="F143" s="264"/>
      <c r="G143" s="265"/>
      <c r="H143" s="266" t="str">
        <f t="shared" si="2"/>
        <v/>
      </c>
      <c r="I143" s="263" t="b">
        <v>0</v>
      </c>
      <c r="J143" s="266"/>
      <c r="K143" s="266"/>
      <c r="L143" s="266"/>
      <c r="M143" s="266"/>
      <c r="N143" s="266"/>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c r="AO143" s="239"/>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row>
    <row r="144">
      <c r="A144" s="239"/>
      <c r="B144" s="239"/>
      <c r="C144" s="263" t="b">
        <v>0</v>
      </c>
      <c r="D144" s="264"/>
      <c r="E144" s="264"/>
      <c r="F144" s="264"/>
      <c r="G144" s="265"/>
      <c r="H144" s="266" t="str">
        <f t="shared" si="2"/>
        <v/>
      </c>
      <c r="I144" s="263" t="b">
        <v>0</v>
      </c>
      <c r="J144" s="266"/>
      <c r="K144" s="266"/>
      <c r="L144" s="266"/>
      <c r="M144" s="266"/>
      <c r="N144" s="266"/>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row>
    <row r="145">
      <c r="A145" s="239"/>
      <c r="B145" s="239"/>
      <c r="C145" s="263" t="b">
        <v>0</v>
      </c>
      <c r="D145" s="264"/>
      <c r="E145" s="264"/>
      <c r="F145" s="264"/>
      <c r="G145" s="265"/>
      <c r="H145" s="266" t="str">
        <f t="shared" si="2"/>
        <v/>
      </c>
      <c r="I145" s="263" t="b">
        <v>0</v>
      </c>
      <c r="J145" s="266"/>
      <c r="K145" s="266"/>
      <c r="L145" s="266"/>
      <c r="M145" s="266"/>
      <c r="N145" s="266"/>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c r="BD145" s="239"/>
      <c r="BE145" s="239"/>
      <c r="BF145" s="239"/>
      <c r="BG145" s="239"/>
      <c r="BH145" s="239"/>
      <c r="BI145" s="239"/>
    </row>
    <row r="146">
      <c r="A146" s="239"/>
      <c r="B146" s="239"/>
      <c r="C146" s="263" t="b">
        <v>0</v>
      </c>
      <c r="D146" s="264"/>
      <c r="E146" s="264"/>
      <c r="F146" s="264"/>
      <c r="G146" s="265"/>
      <c r="H146" s="266" t="str">
        <f t="shared" si="2"/>
        <v/>
      </c>
      <c r="I146" s="263" t="b">
        <v>0</v>
      </c>
      <c r="J146" s="266"/>
      <c r="K146" s="266"/>
      <c r="L146" s="266"/>
      <c r="M146" s="266"/>
      <c r="N146" s="266"/>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39"/>
      <c r="BE146" s="239"/>
      <c r="BF146" s="239"/>
      <c r="BG146" s="239"/>
      <c r="BH146" s="239"/>
      <c r="BI146" s="239"/>
    </row>
    <row r="147">
      <c r="A147" s="239"/>
      <c r="B147" s="239"/>
      <c r="C147" s="263" t="b">
        <v>0</v>
      </c>
      <c r="D147" s="264"/>
      <c r="E147" s="264"/>
      <c r="F147" s="264"/>
      <c r="G147" s="265"/>
      <c r="H147" s="266" t="str">
        <f t="shared" si="2"/>
        <v/>
      </c>
      <c r="I147" s="263" t="b">
        <v>0</v>
      </c>
      <c r="J147" s="266"/>
      <c r="K147" s="266"/>
      <c r="L147" s="266"/>
      <c r="M147" s="266"/>
      <c r="N147" s="266"/>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c r="AK147" s="239"/>
      <c r="AL147" s="239"/>
      <c r="AM147" s="239"/>
      <c r="AN147" s="239"/>
      <c r="AO147" s="239"/>
      <c r="AP147" s="239"/>
      <c r="AQ147" s="239"/>
      <c r="AR147" s="239"/>
      <c r="AS147" s="239"/>
      <c r="AT147" s="239"/>
      <c r="AU147" s="239"/>
      <c r="AV147" s="239"/>
      <c r="AW147" s="239"/>
      <c r="AX147" s="239"/>
      <c r="AY147" s="239"/>
      <c r="AZ147" s="239"/>
      <c r="BA147" s="239"/>
      <c r="BB147" s="239"/>
      <c r="BC147" s="239"/>
      <c r="BD147" s="239"/>
      <c r="BE147" s="239"/>
      <c r="BF147" s="239"/>
      <c r="BG147" s="239"/>
      <c r="BH147" s="239"/>
      <c r="BI147" s="239"/>
    </row>
    <row r="148">
      <c r="A148" s="239"/>
      <c r="B148" s="239"/>
      <c r="C148" s="263" t="b">
        <v>0</v>
      </c>
      <c r="D148" s="264"/>
      <c r="E148" s="264"/>
      <c r="F148" s="264"/>
      <c r="G148" s="265"/>
      <c r="H148" s="266" t="str">
        <f t="shared" si="2"/>
        <v/>
      </c>
      <c r="I148" s="263" t="b">
        <v>0</v>
      </c>
      <c r="J148" s="266"/>
      <c r="K148" s="266"/>
      <c r="L148" s="266"/>
      <c r="M148" s="266"/>
      <c r="N148" s="266"/>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c r="AL148" s="239"/>
      <c r="AM148" s="239"/>
      <c r="AN148" s="239"/>
      <c r="AO148" s="239"/>
      <c r="AP148" s="239"/>
      <c r="AQ148" s="239"/>
      <c r="AR148" s="239"/>
      <c r="AS148" s="239"/>
      <c r="AT148" s="239"/>
      <c r="AU148" s="239"/>
      <c r="AV148" s="239"/>
      <c r="AW148" s="239"/>
      <c r="AX148" s="239"/>
      <c r="AY148" s="239"/>
      <c r="AZ148" s="239"/>
      <c r="BA148" s="239"/>
      <c r="BB148" s="239"/>
      <c r="BC148" s="239"/>
      <c r="BD148" s="239"/>
      <c r="BE148" s="239"/>
      <c r="BF148" s="239"/>
      <c r="BG148" s="239"/>
      <c r="BH148" s="239"/>
      <c r="BI148" s="239"/>
    </row>
    <row r="149">
      <c r="A149" s="239"/>
      <c r="B149" s="239"/>
      <c r="C149" s="263" t="b">
        <v>0</v>
      </c>
      <c r="D149" s="264"/>
      <c r="E149" s="264"/>
      <c r="F149" s="264"/>
      <c r="G149" s="265"/>
      <c r="H149" s="266" t="str">
        <f t="shared" si="2"/>
        <v/>
      </c>
      <c r="I149" s="263" t="b">
        <v>0</v>
      </c>
      <c r="J149" s="266"/>
      <c r="K149" s="266"/>
      <c r="L149" s="266"/>
      <c r="M149" s="266"/>
      <c r="N149" s="266"/>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c r="AL149" s="239"/>
      <c r="AM149" s="239"/>
      <c r="AN149" s="239"/>
      <c r="AO149" s="239"/>
      <c r="AP149" s="239"/>
      <c r="AQ149" s="239"/>
      <c r="AR149" s="239"/>
      <c r="AS149" s="239"/>
      <c r="AT149" s="239"/>
      <c r="AU149" s="239"/>
      <c r="AV149" s="239"/>
      <c r="AW149" s="239"/>
      <c r="AX149" s="239"/>
      <c r="AY149" s="239"/>
      <c r="AZ149" s="239"/>
      <c r="BA149" s="239"/>
      <c r="BB149" s="239"/>
      <c r="BC149" s="239"/>
      <c r="BD149" s="239"/>
      <c r="BE149" s="239"/>
      <c r="BF149" s="239"/>
      <c r="BG149" s="239"/>
      <c r="BH149" s="239"/>
      <c r="BI149" s="239"/>
    </row>
    <row r="150">
      <c r="A150" s="239"/>
      <c r="B150" s="239"/>
      <c r="C150" s="263" t="b">
        <v>0</v>
      </c>
      <c r="D150" s="264"/>
      <c r="E150" s="264"/>
      <c r="F150" s="264"/>
      <c r="G150" s="265"/>
      <c r="H150" s="266" t="str">
        <f t="shared" si="2"/>
        <v/>
      </c>
      <c r="I150" s="263" t="b">
        <v>0</v>
      </c>
      <c r="J150" s="266"/>
      <c r="K150" s="266"/>
      <c r="L150" s="266"/>
      <c r="M150" s="266"/>
      <c r="N150" s="266"/>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c r="BD150" s="239"/>
      <c r="BE150" s="239"/>
      <c r="BF150" s="239"/>
      <c r="BG150" s="239"/>
      <c r="BH150" s="239"/>
      <c r="BI150" s="239"/>
    </row>
    <row r="151">
      <c r="A151" s="239"/>
      <c r="B151" s="239"/>
      <c r="C151" s="263" t="b">
        <v>0</v>
      </c>
      <c r="D151" s="264"/>
      <c r="E151" s="264"/>
      <c r="F151" s="264"/>
      <c r="G151" s="265"/>
      <c r="H151" s="266" t="str">
        <f t="shared" si="2"/>
        <v/>
      </c>
      <c r="I151" s="263" t="b">
        <v>0</v>
      </c>
      <c r="J151" s="266"/>
      <c r="K151" s="266"/>
      <c r="L151" s="266"/>
      <c r="M151" s="266"/>
      <c r="N151" s="266"/>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c r="BD151" s="239"/>
      <c r="BE151" s="239"/>
      <c r="BF151" s="239"/>
      <c r="BG151" s="239"/>
      <c r="BH151" s="239"/>
      <c r="BI151" s="239"/>
    </row>
    <row r="152">
      <c r="A152" s="239"/>
      <c r="B152" s="239"/>
      <c r="C152" s="263" t="b">
        <v>0</v>
      </c>
      <c r="D152" s="264"/>
      <c r="E152" s="264"/>
      <c r="F152" s="264"/>
      <c r="G152" s="265"/>
      <c r="H152" s="266" t="str">
        <f t="shared" si="2"/>
        <v/>
      </c>
      <c r="I152" s="263" t="b">
        <v>0</v>
      </c>
      <c r="J152" s="266"/>
      <c r="K152" s="266"/>
      <c r="L152" s="266"/>
      <c r="M152" s="266"/>
      <c r="N152" s="266"/>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c r="AO152" s="239"/>
      <c r="AP152" s="239"/>
      <c r="AQ152" s="239"/>
      <c r="AR152" s="239"/>
      <c r="AS152" s="239"/>
      <c r="AT152" s="239"/>
      <c r="AU152" s="239"/>
      <c r="AV152" s="239"/>
      <c r="AW152" s="239"/>
      <c r="AX152" s="239"/>
      <c r="AY152" s="239"/>
      <c r="AZ152" s="239"/>
      <c r="BA152" s="239"/>
      <c r="BB152" s="239"/>
      <c r="BC152" s="239"/>
      <c r="BD152" s="239"/>
      <c r="BE152" s="239"/>
      <c r="BF152" s="239"/>
      <c r="BG152" s="239"/>
      <c r="BH152" s="239"/>
      <c r="BI152" s="239"/>
    </row>
    <row r="153">
      <c r="A153" s="239"/>
      <c r="B153" s="239"/>
      <c r="C153" s="263" t="b">
        <v>0</v>
      </c>
      <c r="D153" s="264"/>
      <c r="E153" s="264"/>
      <c r="F153" s="264"/>
      <c r="G153" s="265"/>
      <c r="H153" s="266" t="str">
        <f t="shared" si="2"/>
        <v/>
      </c>
      <c r="I153" s="263" t="b">
        <v>0</v>
      </c>
      <c r="J153" s="266"/>
      <c r="K153" s="266"/>
      <c r="L153" s="266"/>
      <c r="M153" s="266"/>
      <c r="N153" s="266"/>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row>
    <row r="154">
      <c r="A154" s="239"/>
      <c r="B154" s="239"/>
      <c r="C154" s="263" t="b">
        <v>0</v>
      </c>
      <c r="D154" s="264"/>
      <c r="E154" s="264"/>
      <c r="F154" s="264"/>
      <c r="G154" s="265"/>
      <c r="H154" s="266" t="str">
        <f t="shared" si="2"/>
        <v/>
      </c>
      <c r="I154" s="263" t="b">
        <v>0</v>
      </c>
      <c r="J154" s="266"/>
      <c r="K154" s="266"/>
      <c r="L154" s="266"/>
      <c r="M154" s="266"/>
      <c r="N154" s="266"/>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row>
    <row r="155">
      <c r="A155" s="239"/>
      <c r="B155" s="239"/>
      <c r="C155" s="263" t="b">
        <v>0</v>
      </c>
      <c r="D155" s="264"/>
      <c r="E155" s="264"/>
      <c r="F155" s="264"/>
      <c r="G155" s="265"/>
      <c r="H155" s="266" t="str">
        <f t="shared" si="2"/>
        <v/>
      </c>
      <c r="I155" s="263" t="b">
        <v>0</v>
      </c>
      <c r="J155" s="266"/>
      <c r="K155" s="266"/>
      <c r="L155" s="266"/>
      <c r="M155" s="266"/>
      <c r="N155" s="266"/>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row>
    <row r="156">
      <c r="A156" s="239"/>
      <c r="B156" s="239"/>
      <c r="C156" s="263" t="b">
        <v>0</v>
      </c>
      <c r="D156" s="264"/>
      <c r="E156" s="264"/>
      <c r="F156" s="264"/>
      <c r="G156" s="265"/>
      <c r="H156" s="266" t="str">
        <f t="shared" si="2"/>
        <v/>
      </c>
      <c r="I156" s="263" t="b">
        <v>0</v>
      </c>
      <c r="J156" s="266"/>
      <c r="K156" s="266"/>
      <c r="L156" s="266"/>
      <c r="M156" s="266"/>
      <c r="N156" s="266"/>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c r="BI156" s="239"/>
    </row>
    <row r="157">
      <c r="A157" s="239"/>
      <c r="B157" s="239"/>
      <c r="C157" s="263" t="b">
        <v>0</v>
      </c>
      <c r="D157" s="264"/>
      <c r="E157" s="264"/>
      <c r="F157" s="264"/>
      <c r="G157" s="265"/>
      <c r="H157" s="266" t="str">
        <f t="shared" si="2"/>
        <v/>
      </c>
      <c r="I157" s="263" t="b">
        <v>0</v>
      </c>
      <c r="J157" s="266"/>
      <c r="K157" s="266"/>
      <c r="L157" s="266"/>
      <c r="M157" s="266"/>
      <c r="N157" s="266"/>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c r="AL157" s="239"/>
      <c r="AM157" s="239"/>
      <c r="AN157" s="239"/>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c r="BI157" s="239"/>
    </row>
    <row r="158">
      <c r="A158" s="239"/>
      <c r="B158" s="239"/>
      <c r="C158" s="263" t="b">
        <v>0</v>
      </c>
      <c r="D158" s="264"/>
      <c r="E158" s="264"/>
      <c r="F158" s="264"/>
      <c r="G158" s="265"/>
      <c r="H158" s="266" t="str">
        <f t="shared" si="2"/>
        <v/>
      </c>
      <c r="I158" s="263" t="b">
        <v>0</v>
      </c>
      <c r="J158" s="266"/>
      <c r="K158" s="266"/>
      <c r="L158" s="266"/>
      <c r="M158" s="266"/>
      <c r="N158" s="266"/>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c r="BI158" s="239"/>
    </row>
    <row r="159">
      <c r="A159" s="239"/>
      <c r="B159" s="239"/>
      <c r="C159" s="263" t="b">
        <v>0</v>
      </c>
      <c r="D159" s="264"/>
      <c r="E159" s="264"/>
      <c r="F159" s="264"/>
      <c r="G159" s="265"/>
      <c r="H159" s="266" t="str">
        <f t="shared" si="2"/>
        <v/>
      </c>
      <c r="I159" s="263" t="b">
        <v>0</v>
      </c>
      <c r="J159" s="266"/>
      <c r="K159" s="266"/>
      <c r="L159" s="266"/>
      <c r="M159" s="266"/>
      <c r="N159" s="266"/>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c r="AK159" s="239"/>
      <c r="AL159" s="239"/>
      <c r="AM159" s="239"/>
      <c r="AN159" s="239"/>
      <c r="AO159" s="239"/>
      <c r="AP159" s="239"/>
      <c r="AQ159" s="239"/>
      <c r="AR159" s="239"/>
      <c r="AS159" s="239"/>
      <c r="AT159" s="239"/>
      <c r="AU159" s="239"/>
      <c r="AV159" s="239"/>
      <c r="AW159" s="239"/>
      <c r="AX159" s="239"/>
      <c r="AY159" s="239"/>
      <c r="AZ159" s="239"/>
      <c r="BA159" s="239"/>
      <c r="BB159" s="239"/>
      <c r="BC159" s="239"/>
      <c r="BD159" s="239"/>
      <c r="BE159" s="239"/>
      <c r="BF159" s="239"/>
      <c r="BG159" s="239"/>
      <c r="BH159" s="239"/>
      <c r="BI159" s="239"/>
    </row>
    <row r="160">
      <c r="A160" s="239"/>
      <c r="B160" s="239"/>
      <c r="C160" s="263" t="b">
        <v>0</v>
      </c>
      <c r="D160" s="264"/>
      <c r="E160" s="264"/>
      <c r="F160" s="264"/>
      <c r="G160" s="265"/>
      <c r="H160" s="266" t="str">
        <f t="shared" si="2"/>
        <v/>
      </c>
      <c r="I160" s="263" t="b">
        <v>0</v>
      </c>
      <c r="J160" s="266"/>
      <c r="K160" s="266"/>
      <c r="L160" s="266"/>
      <c r="M160" s="266"/>
      <c r="N160" s="266"/>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c r="AL160" s="239"/>
      <c r="AM160" s="239"/>
      <c r="AN160" s="239"/>
      <c r="AO160" s="239"/>
      <c r="AP160" s="239"/>
      <c r="AQ160" s="239"/>
      <c r="AR160" s="239"/>
      <c r="AS160" s="239"/>
      <c r="AT160" s="239"/>
      <c r="AU160" s="239"/>
      <c r="AV160" s="239"/>
      <c r="AW160" s="239"/>
      <c r="AX160" s="239"/>
      <c r="AY160" s="239"/>
      <c r="AZ160" s="239"/>
      <c r="BA160" s="239"/>
      <c r="BB160" s="239"/>
      <c r="BC160" s="239"/>
      <c r="BD160" s="239"/>
      <c r="BE160" s="239"/>
      <c r="BF160" s="239"/>
      <c r="BG160" s="239"/>
      <c r="BH160" s="239"/>
      <c r="BI160" s="239"/>
    </row>
    <row r="161">
      <c r="A161" s="239"/>
      <c r="B161" s="239"/>
      <c r="C161" s="263" t="b">
        <v>0</v>
      </c>
      <c r="D161" s="264"/>
      <c r="E161" s="264"/>
      <c r="F161" s="264"/>
      <c r="G161" s="265"/>
      <c r="H161" s="266" t="str">
        <f t="shared" si="2"/>
        <v/>
      </c>
      <c r="I161" s="263" t="b">
        <v>0</v>
      </c>
      <c r="J161" s="266"/>
      <c r="K161" s="266"/>
      <c r="L161" s="266"/>
      <c r="M161" s="266"/>
      <c r="N161" s="266"/>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c r="AL161" s="239"/>
      <c r="AM161" s="239"/>
      <c r="AN161" s="239"/>
      <c r="AO161" s="239"/>
      <c r="AP161" s="239"/>
      <c r="AQ161" s="239"/>
      <c r="AR161" s="239"/>
      <c r="AS161" s="239"/>
      <c r="AT161" s="239"/>
      <c r="AU161" s="239"/>
      <c r="AV161" s="239"/>
      <c r="AW161" s="239"/>
      <c r="AX161" s="239"/>
      <c r="AY161" s="239"/>
      <c r="AZ161" s="239"/>
      <c r="BA161" s="239"/>
      <c r="BB161" s="239"/>
      <c r="BC161" s="239"/>
      <c r="BD161" s="239"/>
      <c r="BE161" s="239"/>
      <c r="BF161" s="239"/>
      <c r="BG161" s="239"/>
      <c r="BH161" s="239"/>
      <c r="BI161" s="239"/>
    </row>
    <row r="162">
      <c r="A162" s="239"/>
      <c r="B162" s="239"/>
      <c r="C162" s="263" t="b">
        <v>0</v>
      </c>
      <c r="D162" s="264"/>
      <c r="E162" s="264"/>
      <c r="F162" s="264"/>
      <c r="G162" s="265"/>
      <c r="H162" s="266" t="str">
        <f t="shared" si="2"/>
        <v/>
      </c>
      <c r="I162" s="263" t="b">
        <v>0</v>
      </c>
      <c r="J162" s="266"/>
      <c r="K162" s="266"/>
      <c r="L162" s="266"/>
      <c r="M162" s="266"/>
      <c r="N162" s="266"/>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c r="AL162" s="239"/>
      <c r="AM162" s="239"/>
      <c r="AN162" s="239"/>
      <c r="AO162" s="239"/>
      <c r="AP162" s="239"/>
      <c r="AQ162" s="239"/>
      <c r="AR162" s="239"/>
      <c r="AS162" s="239"/>
      <c r="AT162" s="239"/>
      <c r="AU162" s="239"/>
      <c r="AV162" s="239"/>
      <c r="AW162" s="239"/>
      <c r="AX162" s="239"/>
      <c r="AY162" s="239"/>
      <c r="AZ162" s="239"/>
      <c r="BA162" s="239"/>
      <c r="BB162" s="239"/>
      <c r="BC162" s="239"/>
      <c r="BD162" s="239"/>
      <c r="BE162" s="239"/>
      <c r="BF162" s="239"/>
      <c r="BG162" s="239"/>
      <c r="BH162" s="239"/>
      <c r="BI162" s="239"/>
    </row>
    <row r="163">
      <c r="A163" s="239"/>
      <c r="B163" s="239"/>
      <c r="C163" s="263" t="b">
        <v>0</v>
      </c>
      <c r="D163" s="264"/>
      <c r="E163" s="264"/>
      <c r="F163" s="264"/>
      <c r="G163" s="265"/>
      <c r="H163" s="266" t="str">
        <f t="shared" si="2"/>
        <v/>
      </c>
      <c r="I163" s="263" t="b">
        <v>0</v>
      </c>
      <c r="J163" s="266"/>
      <c r="K163" s="266"/>
      <c r="L163" s="266"/>
      <c r="M163" s="266"/>
      <c r="N163" s="266"/>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c r="BD163" s="239"/>
      <c r="BE163" s="239"/>
      <c r="BF163" s="239"/>
      <c r="BG163" s="239"/>
      <c r="BH163" s="239"/>
      <c r="BI163" s="239"/>
    </row>
    <row r="164">
      <c r="A164" s="239"/>
      <c r="B164" s="239"/>
      <c r="C164" s="263" t="b">
        <v>0</v>
      </c>
      <c r="D164" s="264"/>
      <c r="E164" s="264"/>
      <c r="F164" s="264"/>
      <c r="G164" s="265"/>
      <c r="H164" s="266" t="str">
        <f t="shared" si="2"/>
        <v/>
      </c>
      <c r="I164" s="263" t="b">
        <v>0</v>
      </c>
      <c r="J164" s="266"/>
      <c r="K164" s="266"/>
      <c r="L164" s="266"/>
      <c r="M164" s="266"/>
      <c r="N164" s="266"/>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c r="BD164" s="239"/>
      <c r="BE164" s="239"/>
      <c r="BF164" s="239"/>
      <c r="BG164" s="239"/>
      <c r="BH164" s="239"/>
      <c r="BI164" s="239"/>
    </row>
    <row r="165">
      <c r="A165" s="239"/>
      <c r="B165" s="239"/>
      <c r="C165" s="263" t="b">
        <v>0</v>
      </c>
      <c r="D165" s="264"/>
      <c r="E165" s="264"/>
      <c r="F165" s="264"/>
      <c r="G165" s="265"/>
      <c r="H165" s="266" t="str">
        <f t="shared" si="2"/>
        <v/>
      </c>
      <c r="I165" s="263" t="b">
        <v>0</v>
      </c>
      <c r="J165" s="266"/>
      <c r="K165" s="266"/>
      <c r="L165" s="266"/>
      <c r="M165" s="266"/>
      <c r="N165" s="266"/>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row>
    <row r="166">
      <c r="A166" s="239"/>
      <c r="B166" s="239"/>
      <c r="C166" s="263" t="b">
        <v>0</v>
      </c>
      <c r="D166" s="264"/>
      <c r="E166" s="264"/>
      <c r="F166" s="264"/>
      <c r="G166" s="265"/>
      <c r="H166" s="266" t="str">
        <f t="shared" si="2"/>
        <v/>
      </c>
      <c r="I166" s="263" t="b">
        <v>0</v>
      </c>
      <c r="J166" s="266"/>
      <c r="K166" s="266"/>
      <c r="L166" s="266"/>
      <c r="M166" s="266"/>
      <c r="N166" s="266"/>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row>
    <row r="167">
      <c r="A167" s="239"/>
      <c r="B167" s="239"/>
      <c r="C167" s="263" t="b">
        <v>0</v>
      </c>
      <c r="D167" s="264"/>
      <c r="E167" s="264"/>
      <c r="F167" s="264"/>
      <c r="G167" s="265"/>
      <c r="H167" s="266" t="str">
        <f t="shared" si="2"/>
        <v/>
      </c>
      <c r="I167" s="263" t="b">
        <v>0</v>
      </c>
      <c r="J167" s="266"/>
      <c r="K167" s="266"/>
      <c r="L167" s="266"/>
      <c r="M167" s="266"/>
      <c r="N167" s="266"/>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row>
    <row r="168">
      <c r="A168" s="239"/>
      <c r="B168" s="239"/>
      <c r="C168" s="263" t="b">
        <v>0</v>
      </c>
      <c r="D168" s="264"/>
      <c r="E168" s="264"/>
      <c r="F168" s="264"/>
      <c r="G168" s="265"/>
      <c r="H168" s="266" t="str">
        <f t="shared" si="2"/>
        <v/>
      </c>
      <c r="I168" s="263" t="b">
        <v>0</v>
      </c>
      <c r="J168" s="266"/>
      <c r="K168" s="266"/>
      <c r="L168" s="266"/>
      <c r="M168" s="266"/>
      <c r="N168" s="266"/>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row>
    <row r="169">
      <c r="A169" s="239"/>
      <c r="B169" s="239"/>
      <c r="C169" s="263" t="b">
        <v>0</v>
      </c>
      <c r="D169" s="264"/>
      <c r="E169" s="264"/>
      <c r="F169" s="264"/>
      <c r="G169" s="265"/>
      <c r="H169" s="266" t="str">
        <f t="shared" si="2"/>
        <v/>
      </c>
      <c r="I169" s="263" t="b">
        <v>0</v>
      </c>
      <c r="J169" s="266"/>
      <c r="K169" s="266"/>
      <c r="L169" s="266"/>
      <c r="M169" s="266"/>
      <c r="N169" s="266"/>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row>
    <row r="170">
      <c r="A170" s="239"/>
      <c r="B170" s="239"/>
      <c r="C170" s="263" t="b">
        <v>0</v>
      </c>
      <c r="D170" s="264"/>
      <c r="E170" s="264"/>
      <c r="F170" s="264"/>
      <c r="G170" s="265"/>
      <c r="H170" s="266" t="str">
        <f t="shared" si="2"/>
        <v/>
      </c>
      <c r="I170" s="263" t="b">
        <v>0</v>
      </c>
      <c r="J170" s="266"/>
      <c r="K170" s="266"/>
      <c r="L170" s="266"/>
      <c r="M170" s="266"/>
      <c r="N170" s="266"/>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c r="BD170" s="239"/>
      <c r="BE170" s="239"/>
      <c r="BF170" s="239"/>
      <c r="BG170" s="239"/>
      <c r="BH170" s="239"/>
      <c r="BI170" s="239"/>
    </row>
    <row r="171">
      <c r="A171" s="239"/>
      <c r="B171" s="239"/>
      <c r="C171" s="263" t="b">
        <v>0</v>
      </c>
      <c r="D171" s="264"/>
      <c r="E171" s="264"/>
      <c r="F171" s="264"/>
      <c r="G171" s="265"/>
      <c r="H171" s="266" t="str">
        <f t="shared" si="2"/>
        <v/>
      </c>
      <c r="I171" s="263" t="b">
        <v>0</v>
      </c>
      <c r="J171" s="266"/>
      <c r="K171" s="266"/>
      <c r="L171" s="266"/>
      <c r="M171" s="266"/>
      <c r="N171" s="266"/>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c r="AL171" s="239"/>
      <c r="AM171" s="239"/>
      <c r="AN171" s="239"/>
      <c r="AO171" s="239"/>
      <c r="AP171" s="239"/>
      <c r="AQ171" s="239"/>
      <c r="AR171" s="239"/>
      <c r="AS171" s="239"/>
      <c r="AT171" s="239"/>
      <c r="AU171" s="239"/>
      <c r="AV171" s="239"/>
      <c r="AW171" s="239"/>
      <c r="AX171" s="239"/>
      <c r="AY171" s="239"/>
      <c r="AZ171" s="239"/>
      <c r="BA171" s="239"/>
      <c r="BB171" s="239"/>
      <c r="BC171" s="239"/>
      <c r="BD171" s="239"/>
      <c r="BE171" s="239"/>
      <c r="BF171" s="239"/>
      <c r="BG171" s="239"/>
      <c r="BH171" s="239"/>
      <c r="BI171" s="239"/>
    </row>
    <row r="172">
      <c r="A172" s="239"/>
      <c r="B172" s="239"/>
      <c r="C172" s="263" t="b">
        <v>0</v>
      </c>
      <c r="D172" s="264"/>
      <c r="E172" s="264"/>
      <c r="F172" s="264"/>
      <c r="G172" s="265"/>
      <c r="H172" s="266" t="str">
        <f t="shared" si="2"/>
        <v/>
      </c>
      <c r="I172" s="263" t="b">
        <v>0</v>
      </c>
      <c r="J172" s="266"/>
      <c r="K172" s="266"/>
      <c r="L172" s="266"/>
      <c r="M172" s="266"/>
      <c r="N172" s="266"/>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c r="BD172" s="239"/>
      <c r="BE172" s="239"/>
      <c r="BF172" s="239"/>
      <c r="BG172" s="239"/>
      <c r="BH172" s="239"/>
      <c r="BI172" s="239"/>
    </row>
    <row r="173">
      <c r="A173" s="239"/>
      <c r="B173" s="239"/>
      <c r="C173" s="263" t="b">
        <v>0</v>
      </c>
      <c r="D173" s="264"/>
      <c r="E173" s="264"/>
      <c r="F173" s="264"/>
      <c r="G173" s="265"/>
      <c r="H173" s="266" t="str">
        <f t="shared" si="2"/>
        <v/>
      </c>
      <c r="I173" s="263" t="b">
        <v>0</v>
      </c>
      <c r="J173" s="266"/>
      <c r="K173" s="266"/>
      <c r="L173" s="266"/>
      <c r="M173" s="266"/>
      <c r="N173" s="266"/>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c r="BD173" s="239"/>
      <c r="BE173" s="239"/>
      <c r="BF173" s="239"/>
      <c r="BG173" s="239"/>
      <c r="BH173" s="239"/>
      <c r="BI173" s="239"/>
    </row>
    <row r="174">
      <c r="A174" s="239"/>
      <c r="B174" s="239"/>
      <c r="C174" s="263" t="b">
        <v>0</v>
      </c>
      <c r="D174" s="264"/>
      <c r="E174" s="264"/>
      <c r="F174" s="264"/>
      <c r="G174" s="265"/>
      <c r="H174" s="266" t="str">
        <f t="shared" si="2"/>
        <v/>
      </c>
      <c r="I174" s="263" t="b">
        <v>0</v>
      </c>
      <c r="J174" s="266"/>
      <c r="K174" s="266"/>
      <c r="L174" s="266"/>
      <c r="M174" s="266"/>
      <c r="N174" s="266"/>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row>
    <row r="175">
      <c r="A175" s="239"/>
      <c r="B175" s="239"/>
      <c r="C175" s="263" t="b">
        <v>0</v>
      </c>
      <c r="D175" s="264"/>
      <c r="E175" s="264"/>
      <c r="F175" s="264"/>
      <c r="G175" s="265"/>
      <c r="H175" s="266" t="str">
        <f t="shared" si="2"/>
        <v/>
      </c>
      <c r="I175" s="263" t="b">
        <v>0</v>
      </c>
      <c r="J175" s="266"/>
      <c r="K175" s="266"/>
      <c r="L175" s="266"/>
      <c r="M175" s="266"/>
      <c r="N175" s="266"/>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row>
    <row r="176">
      <c r="A176" s="239"/>
      <c r="B176" s="239"/>
      <c r="C176" s="263" t="b">
        <v>0</v>
      </c>
      <c r="D176" s="264"/>
      <c r="E176" s="264"/>
      <c r="F176" s="264"/>
      <c r="G176" s="265"/>
      <c r="H176" s="266" t="str">
        <f t="shared" si="2"/>
        <v/>
      </c>
      <c r="I176" s="263" t="b">
        <v>0</v>
      </c>
      <c r="J176" s="266"/>
      <c r="K176" s="266"/>
      <c r="L176" s="266"/>
      <c r="M176" s="266"/>
      <c r="N176" s="266"/>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c r="AK176" s="239"/>
      <c r="AL176" s="239"/>
      <c r="AM176" s="239"/>
      <c r="AN176" s="239"/>
      <c r="AO176" s="239"/>
      <c r="AP176" s="239"/>
      <c r="AQ176" s="239"/>
      <c r="AR176" s="239"/>
      <c r="AS176" s="239"/>
      <c r="AT176" s="239"/>
      <c r="AU176" s="239"/>
      <c r="AV176" s="239"/>
      <c r="AW176" s="239"/>
      <c r="AX176" s="239"/>
      <c r="AY176" s="239"/>
      <c r="AZ176" s="239"/>
      <c r="BA176" s="239"/>
      <c r="BB176" s="239"/>
      <c r="BC176" s="239"/>
      <c r="BD176" s="239"/>
      <c r="BE176" s="239"/>
      <c r="BF176" s="239"/>
      <c r="BG176" s="239"/>
      <c r="BH176" s="239"/>
      <c r="BI176" s="239"/>
    </row>
    <row r="177">
      <c r="A177" s="239"/>
      <c r="B177" s="239"/>
      <c r="C177" s="263" t="b">
        <v>0</v>
      </c>
      <c r="D177" s="264"/>
      <c r="E177" s="264"/>
      <c r="F177" s="264"/>
      <c r="G177" s="265"/>
      <c r="H177" s="266" t="str">
        <f t="shared" si="2"/>
        <v/>
      </c>
      <c r="I177" s="263" t="b">
        <v>0</v>
      </c>
      <c r="J177" s="266"/>
      <c r="K177" s="266"/>
      <c r="L177" s="266"/>
      <c r="M177" s="266"/>
      <c r="N177" s="266"/>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c r="AK177" s="239"/>
      <c r="AL177" s="239"/>
      <c r="AM177" s="239"/>
      <c r="AN177" s="239"/>
      <c r="AO177" s="239"/>
      <c r="AP177" s="239"/>
      <c r="AQ177" s="239"/>
      <c r="AR177" s="239"/>
      <c r="AS177" s="239"/>
      <c r="AT177" s="239"/>
      <c r="AU177" s="239"/>
      <c r="AV177" s="239"/>
      <c r="AW177" s="239"/>
      <c r="AX177" s="239"/>
      <c r="AY177" s="239"/>
      <c r="AZ177" s="239"/>
      <c r="BA177" s="239"/>
      <c r="BB177" s="239"/>
      <c r="BC177" s="239"/>
      <c r="BD177" s="239"/>
      <c r="BE177" s="239"/>
      <c r="BF177" s="239"/>
      <c r="BG177" s="239"/>
      <c r="BH177" s="239"/>
      <c r="BI177" s="239"/>
    </row>
    <row r="178">
      <c r="A178" s="239"/>
      <c r="B178" s="239"/>
      <c r="C178" s="263" t="b">
        <v>0</v>
      </c>
      <c r="D178" s="264"/>
      <c r="E178" s="264"/>
      <c r="F178" s="264"/>
      <c r="G178" s="265"/>
      <c r="H178" s="266" t="str">
        <f t="shared" si="2"/>
        <v/>
      </c>
      <c r="I178" s="263" t="b">
        <v>0</v>
      </c>
      <c r="J178" s="266"/>
      <c r="K178" s="266"/>
      <c r="L178" s="266"/>
      <c r="M178" s="266"/>
      <c r="N178" s="266"/>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c r="AK178" s="239"/>
      <c r="AL178" s="239"/>
      <c r="AM178" s="239"/>
      <c r="AN178" s="239"/>
      <c r="AO178" s="239"/>
      <c r="AP178" s="239"/>
      <c r="AQ178" s="239"/>
      <c r="AR178" s="239"/>
      <c r="AS178" s="239"/>
      <c r="AT178" s="239"/>
      <c r="AU178" s="239"/>
      <c r="AV178" s="239"/>
      <c r="AW178" s="239"/>
      <c r="AX178" s="239"/>
      <c r="AY178" s="239"/>
      <c r="AZ178" s="239"/>
      <c r="BA178" s="239"/>
      <c r="BB178" s="239"/>
      <c r="BC178" s="239"/>
      <c r="BD178" s="239"/>
      <c r="BE178" s="239"/>
      <c r="BF178" s="239"/>
      <c r="BG178" s="239"/>
      <c r="BH178" s="239"/>
      <c r="BI178" s="239"/>
    </row>
    <row r="179">
      <c r="A179" s="239"/>
      <c r="B179" s="239"/>
      <c r="C179" s="263" t="b">
        <v>0</v>
      </c>
      <c r="D179" s="264"/>
      <c r="E179" s="264"/>
      <c r="F179" s="264"/>
      <c r="G179" s="265"/>
      <c r="H179" s="266" t="str">
        <f t="shared" si="2"/>
        <v/>
      </c>
      <c r="I179" s="263" t="b">
        <v>0</v>
      </c>
      <c r="J179" s="266"/>
      <c r="K179" s="266"/>
      <c r="L179" s="266"/>
      <c r="M179" s="266"/>
      <c r="N179" s="266"/>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c r="AJ179" s="239"/>
      <c r="AK179" s="239"/>
      <c r="AL179" s="239"/>
      <c r="AM179" s="239"/>
      <c r="AN179" s="239"/>
      <c r="AO179" s="239"/>
      <c r="AP179" s="239"/>
      <c r="AQ179" s="239"/>
      <c r="AR179" s="239"/>
      <c r="AS179" s="239"/>
      <c r="AT179" s="239"/>
      <c r="AU179" s="239"/>
      <c r="AV179" s="239"/>
      <c r="AW179" s="239"/>
      <c r="AX179" s="239"/>
      <c r="AY179" s="239"/>
      <c r="AZ179" s="239"/>
      <c r="BA179" s="239"/>
      <c r="BB179" s="239"/>
      <c r="BC179" s="239"/>
      <c r="BD179" s="239"/>
      <c r="BE179" s="239"/>
      <c r="BF179" s="239"/>
      <c r="BG179" s="239"/>
      <c r="BH179" s="239"/>
      <c r="BI179" s="239"/>
    </row>
    <row r="180">
      <c r="A180" s="239"/>
      <c r="B180" s="239"/>
      <c r="C180" s="263" t="b">
        <v>0</v>
      </c>
      <c r="D180" s="264"/>
      <c r="E180" s="264"/>
      <c r="F180" s="264"/>
      <c r="G180" s="265"/>
      <c r="H180" s="266" t="str">
        <f t="shared" si="2"/>
        <v/>
      </c>
      <c r="I180" s="263" t="b">
        <v>0</v>
      </c>
      <c r="J180" s="266"/>
      <c r="K180" s="266"/>
      <c r="L180" s="266"/>
      <c r="M180" s="266"/>
      <c r="N180" s="266"/>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c r="AK180" s="239"/>
      <c r="AL180" s="239"/>
      <c r="AM180" s="239"/>
      <c r="AN180" s="239"/>
      <c r="AO180" s="239"/>
      <c r="AP180" s="239"/>
      <c r="AQ180" s="239"/>
      <c r="AR180" s="239"/>
      <c r="AS180" s="239"/>
      <c r="AT180" s="239"/>
      <c r="AU180" s="239"/>
      <c r="AV180" s="239"/>
      <c r="AW180" s="239"/>
      <c r="AX180" s="239"/>
      <c r="AY180" s="239"/>
      <c r="AZ180" s="239"/>
      <c r="BA180" s="239"/>
      <c r="BB180" s="239"/>
      <c r="BC180" s="239"/>
      <c r="BD180" s="239"/>
      <c r="BE180" s="239"/>
      <c r="BF180" s="239"/>
      <c r="BG180" s="239"/>
      <c r="BH180" s="239"/>
      <c r="BI180" s="239"/>
    </row>
    <row r="181">
      <c r="A181" s="239"/>
      <c r="B181" s="239"/>
      <c r="C181" s="263" t="b">
        <v>0</v>
      </c>
      <c r="D181" s="264"/>
      <c r="E181" s="264"/>
      <c r="F181" s="264"/>
      <c r="G181" s="265"/>
      <c r="H181" s="266" t="str">
        <f t="shared" si="2"/>
        <v/>
      </c>
      <c r="I181" s="263" t="b">
        <v>0</v>
      </c>
      <c r="J181" s="266"/>
      <c r="K181" s="266"/>
      <c r="L181" s="266"/>
      <c r="M181" s="266"/>
      <c r="N181" s="266"/>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c r="AK181" s="239"/>
      <c r="AL181" s="239"/>
      <c r="AM181" s="239"/>
      <c r="AN181" s="239"/>
      <c r="AO181" s="239"/>
      <c r="AP181" s="239"/>
      <c r="AQ181" s="239"/>
      <c r="AR181" s="239"/>
      <c r="AS181" s="239"/>
      <c r="AT181" s="239"/>
      <c r="AU181" s="239"/>
      <c r="AV181" s="239"/>
      <c r="AW181" s="239"/>
      <c r="AX181" s="239"/>
      <c r="AY181" s="239"/>
      <c r="AZ181" s="239"/>
      <c r="BA181" s="239"/>
      <c r="BB181" s="239"/>
      <c r="BC181" s="239"/>
      <c r="BD181" s="239"/>
      <c r="BE181" s="239"/>
      <c r="BF181" s="239"/>
      <c r="BG181" s="239"/>
      <c r="BH181" s="239"/>
      <c r="BI181" s="239"/>
    </row>
    <row r="182">
      <c r="A182" s="239"/>
      <c r="B182" s="239"/>
      <c r="C182" s="263" t="b">
        <v>0</v>
      </c>
      <c r="D182" s="264"/>
      <c r="E182" s="264"/>
      <c r="F182" s="264"/>
      <c r="G182" s="265"/>
      <c r="H182" s="266" t="str">
        <f t="shared" si="2"/>
        <v/>
      </c>
      <c r="I182" s="263" t="b">
        <v>0</v>
      </c>
      <c r="J182" s="266"/>
      <c r="K182" s="266"/>
      <c r="L182" s="266"/>
      <c r="M182" s="266"/>
      <c r="N182" s="266"/>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c r="AK182" s="239"/>
      <c r="AL182" s="239"/>
      <c r="AM182" s="239"/>
      <c r="AN182" s="239"/>
      <c r="AO182" s="239"/>
      <c r="AP182" s="239"/>
      <c r="AQ182" s="239"/>
      <c r="AR182" s="239"/>
      <c r="AS182" s="239"/>
      <c r="AT182" s="239"/>
      <c r="AU182" s="239"/>
      <c r="AV182" s="239"/>
      <c r="AW182" s="239"/>
      <c r="AX182" s="239"/>
      <c r="AY182" s="239"/>
      <c r="AZ182" s="239"/>
      <c r="BA182" s="239"/>
      <c r="BB182" s="239"/>
      <c r="BC182" s="239"/>
      <c r="BD182" s="239"/>
      <c r="BE182" s="239"/>
      <c r="BF182" s="239"/>
      <c r="BG182" s="239"/>
      <c r="BH182" s="239"/>
      <c r="BI182" s="239"/>
    </row>
    <row r="183">
      <c r="A183" s="239"/>
      <c r="B183" s="239"/>
      <c r="C183" s="263" t="b">
        <v>0</v>
      </c>
      <c r="D183" s="264"/>
      <c r="E183" s="264"/>
      <c r="F183" s="264"/>
      <c r="G183" s="265"/>
      <c r="H183" s="266" t="str">
        <f t="shared" si="2"/>
        <v/>
      </c>
      <c r="I183" s="263" t="b">
        <v>0</v>
      </c>
      <c r="J183" s="266"/>
      <c r="K183" s="266"/>
      <c r="L183" s="266"/>
      <c r="M183" s="266"/>
      <c r="N183" s="266"/>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c r="AK183" s="239"/>
      <c r="AL183" s="239"/>
      <c r="AM183" s="239"/>
      <c r="AN183" s="239"/>
      <c r="AO183" s="239"/>
      <c r="AP183" s="239"/>
      <c r="AQ183" s="239"/>
      <c r="AR183" s="239"/>
      <c r="AS183" s="239"/>
      <c r="AT183" s="239"/>
      <c r="AU183" s="239"/>
      <c r="AV183" s="239"/>
      <c r="AW183" s="239"/>
      <c r="AX183" s="239"/>
      <c r="AY183" s="239"/>
      <c r="AZ183" s="239"/>
      <c r="BA183" s="239"/>
      <c r="BB183" s="239"/>
      <c r="BC183" s="239"/>
      <c r="BD183" s="239"/>
      <c r="BE183" s="239"/>
      <c r="BF183" s="239"/>
      <c r="BG183" s="239"/>
      <c r="BH183" s="239"/>
      <c r="BI183" s="239"/>
    </row>
    <row r="184">
      <c r="A184" s="239"/>
      <c r="B184" s="239"/>
      <c r="C184" s="263" t="b">
        <v>0</v>
      </c>
      <c r="D184" s="264"/>
      <c r="E184" s="264"/>
      <c r="F184" s="264"/>
      <c r="G184" s="265"/>
      <c r="H184" s="266" t="str">
        <f t="shared" si="2"/>
        <v/>
      </c>
      <c r="I184" s="263" t="b">
        <v>0</v>
      </c>
      <c r="J184" s="266"/>
      <c r="K184" s="266"/>
      <c r="L184" s="266"/>
      <c r="M184" s="266"/>
      <c r="N184" s="266"/>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c r="AL184" s="239"/>
      <c r="AM184" s="239"/>
      <c r="AN184" s="239"/>
      <c r="AO184" s="239"/>
      <c r="AP184" s="239"/>
      <c r="AQ184" s="239"/>
      <c r="AR184" s="239"/>
      <c r="AS184" s="239"/>
      <c r="AT184" s="239"/>
      <c r="AU184" s="239"/>
      <c r="AV184" s="239"/>
      <c r="AW184" s="239"/>
      <c r="AX184" s="239"/>
      <c r="AY184" s="239"/>
      <c r="AZ184" s="239"/>
      <c r="BA184" s="239"/>
      <c r="BB184" s="239"/>
      <c r="BC184" s="239"/>
      <c r="BD184" s="239"/>
      <c r="BE184" s="239"/>
      <c r="BF184" s="239"/>
      <c r="BG184" s="239"/>
      <c r="BH184" s="239"/>
      <c r="BI184" s="239"/>
    </row>
    <row r="185">
      <c r="A185" s="239"/>
      <c r="B185" s="239"/>
      <c r="C185" s="263" t="b">
        <v>0</v>
      </c>
      <c r="D185" s="264"/>
      <c r="E185" s="264"/>
      <c r="F185" s="264"/>
      <c r="G185" s="265"/>
      <c r="H185" s="266" t="str">
        <f t="shared" si="2"/>
        <v/>
      </c>
      <c r="I185" s="263" t="b">
        <v>0</v>
      </c>
      <c r="J185" s="266"/>
      <c r="K185" s="266"/>
      <c r="L185" s="266"/>
      <c r="M185" s="266"/>
      <c r="N185" s="266"/>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c r="AK185" s="239"/>
      <c r="AL185" s="239"/>
      <c r="AM185" s="239"/>
      <c r="AN185" s="239"/>
      <c r="AO185" s="239"/>
      <c r="AP185" s="239"/>
      <c r="AQ185" s="239"/>
      <c r="AR185" s="239"/>
      <c r="AS185" s="239"/>
      <c r="AT185" s="239"/>
      <c r="AU185" s="239"/>
      <c r="AV185" s="239"/>
      <c r="AW185" s="239"/>
      <c r="AX185" s="239"/>
      <c r="AY185" s="239"/>
      <c r="AZ185" s="239"/>
      <c r="BA185" s="239"/>
      <c r="BB185" s="239"/>
      <c r="BC185" s="239"/>
      <c r="BD185" s="239"/>
      <c r="BE185" s="239"/>
      <c r="BF185" s="239"/>
      <c r="BG185" s="239"/>
      <c r="BH185" s="239"/>
      <c r="BI185" s="239"/>
    </row>
    <row r="186">
      <c r="A186" s="239"/>
      <c r="B186" s="239"/>
      <c r="C186" s="263" t="b">
        <v>0</v>
      </c>
      <c r="D186" s="264"/>
      <c r="E186" s="264"/>
      <c r="F186" s="264"/>
      <c r="G186" s="265"/>
      <c r="H186" s="266" t="str">
        <f t="shared" si="2"/>
        <v/>
      </c>
      <c r="I186" s="263" t="b">
        <v>0</v>
      </c>
      <c r="J186" s="266"/>
      <c r="K186" s="266"/>
      <c r="L186" s="266"/>
      <c r="M186" s="266"/>
      <c r="N186" s="266"/>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c r="AK186" s="239"/>
      <c r="AL186" s="239"/>
      <c r="AM186" s="239"/>
      <c r="AN186" s="239"/>
      <c r="AO186" s="239"/>
      <c r="AP186" s="239"/>
      <c r="AQ186" s="239"/>
      <c r="AR186" s="239"/>
      <c r="AS186" s="239"/>
      <c r="AT186" s="239"/>
      <c r="AU186" s="239"/>
      <c r="AV186" s="239"/>
      <c r="AW186" s="239"/>
      <c r="AX186" s="239"/>
      <c r="AY186" s="239"/>
      <c r="AZ186" s="239"/>
      <c r="BA186" s="239"/>
      <c r="BB186" s="239"/>
      <c r="BC186" s="239"/>
      <c r="BD186" s="239"/>
      <c r="BE186" s="239"/>
      <c r="BF186" s="239"/>
      <c r="BG186" s="239"/>
      <c r="BH186" s="239"/>
      <c r="BI186" s="239"/>
    </row>
    <row r="187">
      <c r="A187" s="239"/>
      <c r="B187" s="239"/>
      <c r="C187" s="263" t="b">
        <v>0</v>
      </c>
      <c r="D187" s="264"/>
      <c r="E187" s="264"/>
      <c r="F187" s="264"/>
      <c r="G187" s="265"/>
      <c r="H187" s="266" t="str">
        <f t="shared" si="2"/>
        <v/>
      </c>
      <c r="I187" s="263" t="b">
        <v>0</v>
      </c>
      <c r="J187" s="266"/>
      <c r="K187" s="266"/>
      <c r="L187" s="266"/>
      <c r="M187" s="266"/>
      <c r="N187" s="266"/>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c r="AJ187" s="239"/>
      <c r="AK187" s="239"/>
      <c r="AL187" s="239"/>
      <c r="AM187" s="239"/>
      <c r="AN187" s="239"/>
      <c r="AO187" s="239"/>
      <c r="AP187" s="239"/>
      <c r="AQ187" s="239"/>
      <c r="AR187" s="239"/>
      <c r="AS187" s="239"/>
      <c r="AT187" s="239"/>
      <c r="AU187" s="239"/>
      <c r="AV187" s="239"/>
      <c r="AW187" s="239"/>
      <c r="AX187" s="239"/>
      <c r="AY187" s="239"/>
      <c r="AZ187" s="239"/>
      <c r="BA187" s="239"/>
      <c r="BB187" s="239"/>
      <c r="BC187" s="239"/>
      <c r="BD187" s="239"/>
      <c r="BE187" s="239"/>
      <c r="BF187" s="239"/>
      <c r="BG187" s="239"/>
      <c r="BH187" s="239"/>
      <c r="BI187" s="239"/>
    </row>
    <row r="188">
      <c r="A188" s="239"/>
      <c r="B188" s="239"/>
      <c r="C188" s="263" t="b">
        <v>0</v>
      </c>
      <c r="D188" s="264"/>
      <c r="E188" s="264"/>
      <c r="F188" s="264"/>
      <c r="G188" s="265"/>
      <c r="H188" s="266" t="str">
        <f t="shared" si="2"/>
        <v/>
      </c>
      <c r="I188" s="263" t="b">
        <v>0</v>
      </c>
      <c r="J188" s="266"/>
      <c r="K188" s="266"/>
      <c r="L188" s="266"/>
      <c r="M188" s="266"/>
      <c r="N188" s="266"/>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c r="AK188" s="239"/>
      <c r="AL188" s="239"/>
      <c r="AM188" s="239"/>
      <c r="AN188" s="239"/>
      <c r="AO188" s="239"/>
      <c r="AP188" s="239"/>
      <c r="AQ188" s="239"/>
      <c r="AR188" s="239"/>
      <c r="AS188" s="239"/>
      <c r="AT188" s="239"/>
      <c r="AU188" s="239"/>
      <c r="AV188" s="239"/>
      <c r="AW188" s="239"/>
      <c r="AX188" s="239"/>
      <c r="AY188" s="239"/>
      <c r="AZ188" s="239"/>
      <c r="BA188" s="239"/>
      <c r="BB188" s="239"/>
      <c r="BC188" s="239"/>
      <c r="BD188" s="239"/>
      <c r="BE188" s="239"/>
      <c r="BF188" s="239"/>
      <c r="BG188" s="239"/>
      <c r="BH188" s="239"/>
      <c r="BI188" s="239"/>
    </row>
    <row r="189">
      <c r="A189" s="239"/>
      <c r="B189" s="239"/>
      <c r="C189" s="263" t="b">
        <v>0</v>
      </c>
      <c r="D189" s="264"/>
      <c r="E189" s="264"/>
      <c r="F189" s="264"/>
      <c r="G189" s="265"/>
      <c r="H189" s="266" t="str">
        <f t="shared" si="2"/>
        <v/>
      </c>
      <c r="I189" s="263" t="b">
        <v>0</v>
      </c>
      <c r="J189" s="266"/>
      <c r="K189" s="266"/>
      <c r="L189" s="266"/>
      <c r="M189" s="266"/>
      <c r="N189" s="266"/>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c r="AK189" s="239"/>
      <c r="AL189" s="239"/>
      <c r="AM189" s="239"/>
      <c r="AN189" s="239"/>
      <c r="AO189" s="239"/>
      <c r="AP189" s="239"/>
      <c r="AQ189" s="239"/>
      <c r="AR189" s="239"/>
      <c r="AS189" s="239"/>
      <c r="AT189" s="239"/>
      <c r="AU189" s="239"/>
      <c r="AV189" s="239"/>
      <c r="AW189" s="239"/>
      <c r="AX189" s="239"/>
      <c r="AY189" s="239"/>
      <c r="AZ189" s="239"/>
      <c r="BA189" s="239"/>
      <c r="BB189" s="239"/>
      <c r="BC189" s="239"/>
      <c r="BD189" s="239"/>
      <c r="BE189" s="239"/>
      <c r="BF189" s="239"/>
      <c r="BG189" s="239"/>
      <c r="BH189" s="239"/>
      <c r="BI189" s="239"/>
    </row>
    <row r="190">
      <c r="A190" s="239"/>
      <c r="B190" s="239"/>
      <c r="C190" s="263" t="b">
        <v>0</v>
      </c>
      <c r="D190" s="264"/>
      <c r="E190" s="264"/>
      <c r="F190" s="264"/>
      <c r="G190" s="265"/>
      <c r="H190" s="266" t="str">
        <f t="shared" si="2"/>
        <v/>
      </c>
      <c r="I190" s="263" t="b">
        <v>0</v>
      </c>
      <c r="J190" s="266"/>
      <c r="K190" s="266"/>
      <c r="L190" s="266"/>
      <c r="M190" s="266"/>
      <c r="N190" s="266"/>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row>
    <row r="191">
      <c r="A191" s="239"/>
      <c r="B191" s="239"/>
      <c r="C191" s="263" t="b">
        <v>0</v>
      </c>
      <c r="D191" s="264"/>
      <c r="E191" s="264"/>
      <c r="F191" s="264"/>
      <c r="G191" s="265"/>
      <c r="H191" s="266" t="str">
        <f t="shared" si="2"/>
        <v/>
      </c>
      <c r="I191" s="263" t="b">
        <v>0</v>
      </c>
      <c r="J191" s="266"/>
      <c r="K191" s="266"/>
      <c r="L191" s="266"/>
      <c r="M191" s="266"/>
      <c r="N191" s="266"/>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row>
    <row r="192">
      <c r="A192" s="269"/>
      <c r="B192" s="269"/>
      <c r="C192" s="263" t="b">
        <v>0</v>
      </c>
      <c r="D192" s="264"/>
      <c r="E192" s="264"/>
      <c r="F192" s="264"/>
      <c r="G192" s="270"/>
      <c r="H192" s="266" t="str">
        <f t="shared" si="2"/>
        <v/>
      </c>
      <c r="I192" s="263" t="b">
        <v>0</v>
      </c>
      <c r="J192" s="266"/>
      <c r="K192" s="266"/>
      <c r="L192" s="266"/>
      <c r="M192" s="266"/>
      <c r="N192" s="266"/>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row>
    <row r="193">
      <c r="A193" s="239"/>
      <c r="B193" s="239"/>
      <c r="C193" s="263" t="b">
        <v>0</v>
      </c>
      <c r="D193" s="264"/>
      <c r="E193" s="264"/>
      <c r="F193" s="264"/>
      <c r="G193" s="270"/>
      <c r="H193" s="266" t="str">
        <f t="shared" si="2"/>
        <v/>
      </c>
      <c r="I193" s="263" t="b">
        <v>0</v>
      </c>
      <c r="J193" s="266"/>
      <c r="K193" s="266"/>
      <c r="L193" s="266"/>
      <c r="M193" s="266"/>
      <c r="N193" s="266"/>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row>
    <row r="194">
      <c r="A194" s="239"/>
      <c r="B194" s="239"/>
      <c r="C194" s="263" t="b">
        <v>0</v>
      </c>
      <c r="D194" s="264"/>
      <c r="E194" s="264"/>
      <c r="F194" s="264"/>
      <c r="G194" s="270"/>
      <c r="H194" s="266" t="str">
        <f t="shared" si="2"/>
        <v/>
      </c>
      <c r="I194" s="263" t="b">
        <v>0</v>
      </c>
      <c r="J194" s="266"/>
      <c r="K194" s="266"/>
      <c r="L194" s="266"/>
      <c r="M194" s="266"/>
      <c r="N194" s="266"/>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row>
    <row r="195">
      <c r="A195" s="239"/>
      <c r="B195" s="239"/>
      <c r="C195" s="263" t="b">
        <v>0</v>
      </c>
      <c r="D195" s="264"/>
      <c r="E195" s="264"/>
      <c r="F195" s="264"/>
      <c r="G195" s="270"/>
      <c r="H195" s="266" t="str">
        <f t="shared" si="2"/>
        <v/>
      </c>
      <c r="I195" s="263" t="b">
        <v>0</v>
      </c>
      <c r="J195" s="266"/>
      <c r="K195" s="266"/>
      <c r="L195" s="266"/>
      <c r="M195" s="266"/>
      <c r="N195" s="266"/>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row>
    <row r="196">
      <c r="A196" s="239"/>
      <c r="B196" s="239"/>
      <c r="C196" s="263" t="b">
        <v>0</v>
      </c>
      <c r="D196" s="264"/>
      <c r="E196" s="264"/>
      <c r="F196" s="264"/>
      <c r="G196" s="270"/>
      <c r="H196" s="266" t="str">
        <f t="shared" si="2"/>
        <v/>
      </c>
      <c r="I196" s="263" t="b">
        <v>0</v>
      </c>
      <c r="J196" s="266"/>
      <c r="K196" s="266"/>
      <c r="L196" s="266"/>
      <c r="M196" s="266"/>
      <c r="N196" s="266"/>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c r="BD196" s="239"/>
      <c r="BE196" s="239"/>
      <c r="BF196" s="239"/>
      <c r="BG196" s="239"/>
      <c r="BH196" s="239"/>
      <c r="BI196" s="239"/>
    </row>
    <row r="197">
      <c r="A197" s="239"/>
      <c r="B197" s="239"/>
      <c r="C197" s="263" t="b">
        <v>0</v>
      </c>
      <c r="D197" s="264"/>
      <c r="E197" s="264"/>
      <c r="F197" s="264"/>
      <c r="G197" s="270"/>
      <c r="H197" s="266" t="str">
        <f t="shared" si="2"/>
        <v/>
      </c>
      <c r="I197" s="263" t="b">
        <v>0</v>
      </c>
      <c r="J197" s="266"/>
      <c r="K197" s="266"/>
      <c r="L197" s="266"/>
      <c r="M197" s="266"/>
      <c r="N197" s="266"/>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c r="BD197" s="239"/>
      <c r="BE197" s="239"/>
      <c r="BF197" s="239"/>
      <c r="BG197" s="239"/>
      <c r="BH197" s="239"/>
      <c r="BI197" s="239"/>
    </row>
    <row r="198">
      <c r="A198" s="239"/>
      <c r="B198" s="239"/>
      <c r="C198" s="263" t="b">
        <v>0</v>
      </c>
      <c r="D198" s="264"/>
      <c r="E198" s="264"/>
      <c r="F198" s="264"/>
      <c r="G198" s="270"/>
      <c r="H198" s="266" t="str">
        <f t="shared" si="2"/>
        <v/>
      </c>
      <c r="I198" s="263" t="b">
        <v>0</v>
      </c>
      <c r="J198" s="266"/>
      <c r="K198" s="266"/>
      <c r="L198" s="266"/>
      <c r="M198" s="266"/>
      <c r="N198" s="266"/>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c r="BD198" s="239"/>
      <c r="BE198" s="239"/>
      <c r="BF198" s="239"/>
      <c r="BG198" s="239"/>
      <c r="BH198" s="239"/>
      <c r="BI198" s="239"/>
    </row>
    <row r="199">
      <c r="A199" s="239"/>
      <c r="B199" s="239"/>
      <c r="C199" s="263" t="b">
        <v>0</v>
      </c>
      <c r="D199" s="264"/>
      <c r="E199" s="264"/>
      <c r="F199" s="264"/>
      <c r="G199" s="270"/>
      <c r="H199" s="266" t="str">
        <f t="shared" si="2"/>
        <v/>
      </c>
      <c r="I199" s="263" t="b">
        <v>0</v>
      </c>
      <c r="J199" s="266"/>
      <c r="K199" s="266"/>
      <c r="L199" s="266"/>
      <c r="M199" s="266"/>
      <c r="N199" s="266"/>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c r="BD199" s="239"/>
      <c r="BE199" s="239"/>
      <c r="BF199" s="239"/>
      <c r="BG199" s="239"/>
      <c r="BH199" s="239"/>
      <c r="BI199" s="239"/>
    </row>
    <row r="200">
      <c r="A200" s="239"/>
      <c r="B200" s="239"/>
      <c r="C200" s="263" t="b">
        <v>0</v>
      </c>
      <c r="D200" s="264"/>
      <c r="E200" s="264"/>
      <c r="F200" s="264"/>
      <c r="G200" s="270"/>
      <c r="H200" s="266" t="str">
        <f t="shared" si="2"/>
        <v/>
      </c>
      <c r="I200" s="263" t="b">
        <v>0</v>
      </c>
      <c r="J200" s="266"/>
      <c r="K200" s="266"/>
      <c r="L200" s="266"/>
      <c r="M200" s="266"/>
      <c r="N200" s="266"/>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c r="BD200" s="239"/>
      <c r="BE200" s="239"/>
      <c r="BF200" s="239"/>
      <c r="BG200" s="239"/>
      <c r="BH200" s="239"/>
      <c r="BI200" s="239"/>
    </row>
    <row r="201">
      <c r="A201" s="239"/>
      <c r="B201" s="239"/>
      <c r="C201" s="263" t="b">
        <v>0</v>
      </c>
      <c r="D201" s="264"/>
      <c r="E201" s="264"/>
      <c r="F201" s="264"/>
      <c r="G201" s="270"/>
      <c r="H201" s="266" t="str">
        <f t="shared" si="2"/>
        <v/>
      </c>
      <c r="I201" s="263" t="b">
        <v>0</v>
      </c>
      <c r="J201" s="266"/>
      <c r="K201" s="266"/>
      <c r="L201" s="266"/>
      <c r="M201" s="266"/>
      <c r="N201" s="266"/>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c r="BD201" s="239"/>
      <c r="BE201" s="239"/>
      <c r="BF201" s="239"/>
      <c r="BG201" s="239"/>
      <c r="BH201" s="239"/>
      <c r="BI201" s="239"/>
    </row>
    <row r="202">
      <c r="A202" s="239"/>
      <c r="B202" s="239"/>
      <c r="C202" s="263" t="b">
        <v>0</v>
      </c>
      <c r="D202" s="264"/>
      <c r="E202" s="264"/>
      <c r="F202" s="264"/>
      <c r="G202" s="270"/>
      <c r="H202" s="266" t="str">
        <f t="shared" si="2"/>
        <v/>
      </c>
      <c r="I202" s="263" t="b">
        <v>0</v>
      </c>
      <c r="J202" s="266"/>
      <c r="K202" s="266"/>
      <c r="L202" s="266"/>
      <c r="M202" s="266"/>
      <c r="N202" s="266"/>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c r="BD202" s="239"/>
      <c r="BE202" s="239"/>
      <c r="BF202" s="239"/>
      <c r="BG202" s="239"/>
      <c r="BH202" s="239"/>
      <c r="BI202" s="239"/>
    </row>
    <row r="203">
      <c r="A203" s="239"/>
      <c r="B203" s="239"/>
      <c r="C203" s="263" t="b">
        <v>0</v>
      </c>
      <c r="D203" s="264"/>
      <c r="E203" s="264"/>
      <c r="F203" s="264"/>
      <c r="G203" s="270"/>
      <c r="H203" s="266" t="str">
        <f t="shared" si="2"/>
        <v/>
      </c>
      <c r="I203" s="263" t="b">
        <v>0</v>
      </c>
      <c r="J203" s="266"/>
      <c r="K203" s="266"/>
      <c r="L203" s="266"/>
      <c r="M203" s="266"/>
      <c r="N203" s="266"/>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row>
    <row r="204">
      <c r="A204" s="239"/>
      <c r="B204" s="239"/>
      <c r="C204" s="263" t="b">
        <v>0</v>
      </c>
      <c r="D204" s="264"/>
      <c r="E204" s="264"/>
      <c r="F204" s="264"/>
      <c r="G204" s="270"/>
      <c r="H204" s="266" t="str">
        <f t="shared" si="2"/>
        <v/>
      </c>
      <c r="I204" s="263" t="b">
        <v>0</v>
      </c>
      <c r="J204" s="266"/>
      <c r="K204" s="266"/>
      <c r="L204" s="266"/>
      <c r="M204" s="266"/>
      <c r="N204" s="266"/>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c r="BD204" s="239"/>
      <c r="BE204" s="239"/>
      <c r="BF204" s="239"/>
      <c r="BG204" s="239"/>
      <c r="BH204" s="239"/>
      <c r="BI204" s="239"/>
    </row>
    <row r="205">
      <c r="A205" s="239"/>
      <c r="B205" s="239"/>
      <c r="C205" s="263" t="b">
        <v>0</v>
      </c>
      <c r="D205" s="264"/>
      <c r="E205" s="264"/>
      <c r="F205" s="264"/>
      <c r="G205" s="270"/>
      <c r="H205" s="266" t="str">
        <f t="shared" si="2"/>
        <v/>
      </c>
      <c r="I205" s="263" t="b">
        <v>0</v>
      </c>
      <c r="J205" s="266"/>
      <c r="K205" s="266"/>
      <c r="L205" s="266"/>
      <c r="M205" s="266"/>
      <c r="N205" s="266"/>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c r="BD205" s="239"/>
      <c r="BE205" s="239"/>
      <c r="BF205" s="239"/>
      <c r="BG205" s="239"/>
      <c r="BH205" s="239"/>
      <c r="BI205" s="239"/>
    </row>
    <row r="206">
      <c r="A206" s="239"/>
      <c r="B206" s="239"/>
      <c r="C206" s="263" t="b">
        <v>0</v>
      </c>
      <c r="D206" s="264"/>
      <c r="E206" s="264"/>
      <c r="F206" s="264"/>
      <c r="G206" s="270"/>
      <c r="H206" s="266" t="str">
        <f t="shared" si="2"/>
        <v/>
      </c>
      <c r="I206" s="263" t="b">
        <v>0</v>
      </c>
      <c r="J206" s="266"/>
      <c r="K206" s="266"/>
      <c r="L206" s="266"/>
      <c r="M206" s="266"/>
      <c r="N206" s="266"/>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c r="BD206" s="239"/>
      <c r="BE206" s="239"/>
      <c r="BF206" s="239"/>
      <c r="BG206" s="239"/>
      <c r="BH206" s="239"/>
      <c r="BI206" s="239"/>
    </row>
    <row r="207">
      <c r="A207" s="239"/>
      <c r="B207" s="239"/>
      <c r="C207" s="263" t="b">
        <v>0</v>
      </c>
      <c r="D207" s="264"/>
      <c r="E207" s="264"/>
      <c r="F207" s="264"/>
      <c r="G207" s="270"/>
      <c r="H207" s="266" t="str">
        <f t="shared" si="2"/>
        <v/>
      </c>
      <c r="I207" s="263" t="b">
        <v>0</v>
      </c>
      <c r="J207" s="266"/>
      <c r="K207" s="266"/>
      <c r="L207" s="266"/>
      <c r="M207" s="266"/>
      <c r="N207" s="266"/>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c r="BD207" s="239"/>
      <c r="BE207" s="239"/>
      <c r="BF207" s="239"/>
      <c r="BG207" s="239"/>
      <c r="BH207" s="239"/>
      <c r="BI207" s="239"/>
    </row>
    <row r="208">
      <c r="A208" s="239"/>
      <c r="B208" s="239"/>
      <c r="C208" s="263" t="b">
        <v>0</v>
      </c>
      <c r="D208" s="264"/>
      <c r="E208" s="264"/>
      <c r="F208" s="264"/>
      <c r="G208" s="270"/>
      <c r="H208" s="266" t="str">
        <f t="shared" si="2"/>
        <v/>
      </c>
      <c r="I208" s="263" t="b">
        <v>0</v>
      </c>
      <c r="J208" s="266"/>
      <c r="K208" s="266"/>
      <c r="L208" s="266"/>
      <c r="M208" s="266"/>
      <c r="N208" s="266"/>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c r="BD208" s="239"/>
      <c r="BE208" s="239"/>
      <c r="BF208" s="239"/>
      <c r="BG208" s="239"/>
      <c r="BH208" s="239"/>
      <c r="BI208" s="239"/>
    </row>
    <row r="209">
      <c r="A209" s="239"/>
      <c r="B209" s="239"/>
      <c r="C209" s="263" t="b">
        <v>0</v>
      </c>
      <c r="D209" s="264"/>
      <c r="E209" s="264"/>
      <c r="F209" s="264"/>
      <c r="G209" s="270"/>
      <c r="H209" s="266" t="str">
        <f t="shared" si="2"/>
        <v/>
      </c>
      <c r="I209" s="263" t="b">
        <v>0</v>
      </c>
      <c r="J209" s="266"/>
      <c r="K209" s="266"/>
      <c r="L209" s="266"/>
      <c r="M209" s="266"/>
      <c r="N209" s="266"/>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c r="BD209" s="239"/>
      <c r="BE209" s="239"/>
      <c r="BF209" s="239"/>
      <c r="BG209" s="239"/>
      <c r="BH209" s="239"/>
      <c r="BI209" s="239"/>
    </row>
    <row r="210">
      <c r="A210" s="239"/>
      <c r="B210" s="239"/>
      <c r="C210" s="263" t="b">
        <v>0</v>
      </c>
      <c r="D210" s="264"/>
      <c r="E210" s="264"/>
      <c r="F210" s="264"/>
      <c r="G210" s="270"/>
      <c r="H210" s="266" t="str">
        <f t="shared" si="2"/>
        <v/>
      </c>
      <c r="I210" s="263" t="b">
        <v>0</v>
      </c>
      <c r="J210" s="266"/>
      <c r="K210" s="266"/>
      <c r="L210" s="266"/>
      <c r="M210" s="266"/>
      <c r="N210" s="266"/>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c r="BD210" s="239"/>
      <c r="BE210" s="239"/>
      <c r="BF210" s="239"/>
      <c r="BG210" s="239"/>
      <c r="BH210" s="239"/>
      <c r="BI210" s="239"/>
    </row>
    <row r="211">
      <c r="A211" s="239"/>
      <c r="B211" s="239"/>
      <c r="C211" s="263" t="b">
        <v>0</v>
      </c>
      <c r="D211" s="264"/>
      <c r="E211" s="264"/>
      <c r="F211" s="264"/>
      <c r="G211" s="270"/>
      <c r="H211" s="266" t="str">
        <f t="shared" si="2"/>
        <v/>
      </c>
      <c r="I211" s="263" t="b">
        <v>0</v>
      </c>
      <c r="J211" s="266"/>
      <c r="K211" s="266"/>
      <c r="L211" s="266"/>
      <c r="M211" s="266"/>
      <c r="N211" s="266"/>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c r="BD211" s="239"/>
      <c r="BE211" s="239"/>
      <c r="BF211" s="239"/>
      <c r="BG211" s="239"/>
      <c r="BH211" s="239"/>
      <c r="BI211" s="239"/>
    </row>
    <row r="212">
      <c r="A212" s="239"/>
      <c r="B212" s="239"/>
      <c r="C212" s="263" t="b">
        <v>0</v>
      </c>
      <c r="D212" s="264"/>
      <c r="E212" s="264"/>
      <c r="F212" s="264"/>
      <c r="G212" s="270"/>
      <c r="H212" s="266" t="str">
        <f t="shared" si="2"/>
        <v/>
      </c>
      <c r="I212" s="263" t="b">
        <v>0</v>
      </c>
      <c r="J212" s="266"/>
      <c r="K212" s="266"/>
      <c r="L212" s="266"/>
      <c r="M212" s="266"/>
      <c r="N212" s="266"/>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row>
    <row r="213">
      <c r="A213" s="239"/>
      <c r="B213" s="239"/>
      <c r="C213" s="263" t="b">
        <v>0</v>
      </c>
      <c r="D213" s="264"/>
      <c r="E213" s="264"/>
      <c r="F213" s="264"/>
      <c r="G213" s="270"/>
      <c r="H213" s="266" t="str">
        <f t="shared" si="2"/>
        <v/>
      </c>
      <c r="I213" s="263" t="b">
        <v>0</v>
      </c>
      <c r="J213" s="266"/>
      <c r="K213" s="266"/>
      <c r="L213" s="266"/>
      <c r="M213" s="266"/>
      <c r="N213" s="266"/>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row>
    <row r="214">
      <c r="A214" s="239"/>
      <c r="B214" s="239"/>
      <c r="C214" s="263" t="b">
        <v>0</v>
      </c>
      <c r="D214" s="264"/>
      <c r="E214" s="264"/>
      <c r="F214" s="264"/>
      <c r="G214" s="270"/>
      <c r="H214" s="266" t="str">
        <f t="shared" si="2"/>
        <v/>
      </c>
      <c r="I214" s="263" t="b">
        <v>0</v>
      </c>
      <c r="J214" s="266"/>
      <c r="K214" s="266"/>
      <c r="L214" s="266"/>
      <c r="M214" s="266"/>
      <c r="N214" s="266"/>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row>
    <row r="215">
      <c r="A215" s="239"/>
      <c r="B215" s="239"/>
      <c r="C215" s="263" t="b">
        <v>0</v>
      </c>
      <c r="D215" s="264"/>
      <c r="E215" s="264"/>
      <c r="F215" s="264"/>
      <c r="G215" s="270"/>
      <c r="H215" s="266" t="str">
        <f t="shared" si="2"/>
        <v/>
      </c>
      <c r="I215" s="263" t="b">
        <v>0</v>
      </c>
      <c r="J215" s="266"/>
      <c r="K215" s="266"/>
      <c r="L215" s="266"/>
      <c r="M215" s="266"/>
      <c r="N215" s="266"/>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row>
    <row r="216">
      <c r="A216" s="239"/>
      <c r="B216" s="239"/>
      <c r="C216" s="263" t="b">
        <v>0</v>
      </c>
      <c r="D216" s="264"/>
      <c r="E216" s="264"/>
      <c r="F216" s="264"/>
      <c r="G216" s="270"/>
      <c r="H216" s="266" t="str">
        <f t="shared" si="2"/>
        <v/>
      </c>
      <c r="I216" s="263" t="b">
        <v>0</v>
      </c>
      <c r="J216" s="266"/>
      <c r="K216" s="266"/>
      <c r="L216" s="266"/>
      <c r="M216" s="266"/>
      <c r="N216" s="266"/>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row>
    <row r="217">
      <c r="A217" s="239"/>
      <c r="B217" s="239"/>
      <c r="C217" s="263" t="b">
        <v>0</v>
      </c>
      <c r="D217" s="264"/>
      <c r="E217" s="264"/>
      <c r="F217" s="264"/>
      <c r="G217" s="270"/>
      <c r="H217" s="266" t="str">
        <f t="shared" si="2"/>
        <v/>
      </c>
      <c r="I217" s="263" t="b">
        <v>0</v>
      </c>
      <c r="J217" s="266"/>
      <c r="K217" s="266"/>
      <c r="L217" s="266"/>
      <c r="M217" s="266"/>
      <c r="N217" s="266"/>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row>
    <row r="218">
      <c r="A218" s="239"/>
      <c r="B218" s="239"/>
      <c r="C218" s="263" t="b">
        <v>0</v>
      </c>
      <c r="D218" s="264"/>
      <c r="E218" s="264"/>
      <c r="F218" s="264"/>
      <c r="G218" s="270"/>
      <c r="H218" s="266" t="str">
        <f t="shared" si="2"/>
        <v/>
      </c>
      <c r="I218" s="263" t="b">
        <v>0</v>
      </c>
      <c r="J218" s="266"/>
      <c r="K218" s="266"/>
      <c r="L218" s="266"/>
      <c r="M218" s="266"/>
      <c r="N218" s="266"/>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c r="AK218" s="239"/>
      <c r="AL218" s="239"/>
      <c r="AM218" s="239"/>
      <c r="AN218" s="239"/>
      <c r="AO218" s="239"/>
      <c r="AP218" s="239"/>
      <c r="AQ218" s="239"/>
      <c r="AR218" s="239"/>
      <c r="AS218" s="239"/>
      <c r="AT218" s="239"/>
      <c r="AU218" s="239"/>
      <c r="AV218" s="239"/>
      <c r="AW218" s="239"/>
      <c r="AX218" s="239"/>
      <c r="AY218" s="239"/>
      <c r="AZ218" s="239"/>
      <c r="BA218" s="239"/>
      <c r="BB218" s="239"/>
      <c r="BC218" s="239"/>
      <c r="BD218" s="239"/>
      <c r="BE218" s="239"/>
      <c r="BF218" s="239"/>
      <c r="BG218" s="239"/>
      <c r="BH218" s="239"/>
      <c r="BI218" s="239"/>
    </row>
    <row r="219">
      <c r="A219" s="239"/>
      <c r="B219" s="239"/>
      <c r="C219" s="263" t="b">
        <v>0</v>
      </c>
      <c r="D219" s="264"/>
      <c r="E219" s="264"/>
      <c r="F219" s="264"/>
      <c r="G219" s="270"/>
      <c r="H219" s="266" t="str">
        <f t="shared" si="2"/>
        <v/>
      </c>
      <c r="I219" s="263" t="b">
        <v>0</v>
      </c>
      <c r="J219" s="266"/>
      <c r="K219" s="266"/>
      <c r="L219" s="266"/>
      <c r="M219" s="266"/>
      <c r="N219" s="266"/>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row>
    <row r="220">
      <c r="A220" s="239"/>
      <c r="B220" s="239"/>
      <c r="C220" s="263" t="b">
        <v>0</v>
      </c>
      <c r="D220" s="264"/>
      <c r="E220" s="264"/>
      <c r="F220" s="264"/>
      <c r="G220" s="270"/>
      <c r="H220" s="266" t="str">
        <f t="shared" si="2"/>
        <v/>
      </c>
      <c r="I220" s="263" t="b">
        <v>0</v>
      </c>
      <c r="J220" s="266"/>
      <c r="K220" s="266"/>
      <c r="L220" s="266"/>
      <c r="M220" s="266"/>
      <c r="N220" s="266"/>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c r="AK220" s="239"/>
      <c r="AL220" s="239"/>
      <c r="AM220" s="239"/>
      <c r="AN220" s="239"/>
      <c r="AO220" s="239"/>
      <c r="AP220" s="239"/>
      <c r="AQ220" s="239"/>
      <c r="AR220" s="239"/>
      <c r="AS220" s="239"/>
      <c r="AT220" s="239"/>
      <c r="AU220" s="239"/>
      <c r="AV220" s="239"/>
      <c r="AW220" s="239"/>
      <c r="AX220" s="239"/>
      <c r="AY220" s="239"/>
      <c r="AZ220" s="239"/>
      <c r="BA220" s="239"/>
      <c r="BB220" s="239"/>
      <c r="BC220" s="239"/>
      <c r="BD220" s="239"/>
      <c r="BE220" s="239"/>
      <c r="BF220" s="239"/>
      <c r="BG220" s="239"/>
      <c r="BH220" s="239"/>
      <c r="BI220" s="239"/>
    </row>
    <row r="221">
      <c r="A221" s="239"/>
      <c r="B221" s="239"/>
      <c r="C221" s="263" t="b">
        <v>0</v>
      </c>
      <c r="D221" s="264"/>
      <c r="E221" s="264"/>
      <c r="F221" s="264"/>
      <c r="G221" s="270"/>
      <c r="H221" s="266" t="str">
        <f t="shared" si="2"/>
        <v/>
      </c>
      <c r="I221" s="263" t="b">
        <v>0</v>
      </c>
      <c r="J221" s="266"/>
      <c r="K221" s="266"/>
      <c r="L221" s="266"/>
      <c r="M221" s="266"/>
      <c r="N221" s="266"/>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row>
    <row r="222">
      <c r="A222" s="239"/>
      <c r="B222" s="239"/>
      <c r="C222" s="263" t="b">
        <v>0</v>
      </c>
      <c r="D222" s="264"/>
      <c r="E222" s="264"/>
      <c r="F222" s="264"/>
      <c r="G222" s="270"/>
      <c r="H222" s="266" t="str">
        <f t="shared" si="2"/>
        <v/>
      </c>
      <c r="I222" s="263" t="b">
        <v>0</v>
      </c>
      <c r="J222" s="266"/>
      <c r="K222" s="266"/>
      <c r="L222" s="266"/>
      <c r="M222" s="266"/>
      <c r="N222" s="266"/>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c r="AJ222" s="239"/>
      <c r="AK222" s="239"/>
      <c r="AL222" s="239"/>
      <c r="AM222" s="239"/>
      <c r="AN222" s="239"/>
      <c r="AO222" s="239"/>
      <c r="AP222" s="239"/>
      <c r="AQ222" s="239"/>
      <c r="AR222" s="239"/>
      <c r="AS222" s="239"/>
      <c r="AT222" s="239"/>
      <c r="AU222" s="239"/>
      <c r="AV222" s="239"/>
      <c r="AW222" s="239"/>
      <c r="AX222" s="239"/>
      <c r="AY222" s="239"/>
      <c r="AZ222" s="239"/>
      <c r="BA222" s="239"/>
      <c r="BB222" s="239"/>
      <c r="BC222" s="239"/>
      <c r="BD222" s="239"/>
      <c r="BE222" s="239"/>
      <c r="BF222" s="239"/>
      <c r="BG222" s="239"/>
      <c r="BH222" s="239"/>
      <c r="BI222" s="239"/>
    </row>
    <row r="223">
      <c r="A223" s="239"/>
      <c r="B223" s="239"/>
      <c r="C223" s="263" t="b">
        <v>0</v>
      </c>
      <c r="D223" s="264"/>
      <c r="E223" s="264"/>
      <c r="F223" s="264"/>
      <c r="G223" s="270"/>
      <c r="H223" s="266" t="str">
        <f t="shared" si="2"/>
        <v/>
      </c>
      <c r="I223" s="263" t="b">
        <v>0</v>
      </c>
      <c r="J223" s="266"/>
      <c r="K223" s="266"/>
      <c r="L223" s="266"/>
      <c r="M223" s="266"/>
      <c r="N223" s="266"/>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c r="BD223" s="239"/>
      <c r="BE223" s="239"/>
      <c r="BF223" s="239"/>
      <c r="BG223" s="239"/>
      <c r="BH223" s="239"/>
      <c r="BI223" s="239"/>
    </row>
    <row r="224">
      <c r="A224" s="239"/>
      <c r="B224" s="239"/>
      <c r="C224" s="263" t="b">
        <v>0</v>
      </c>
      <c r="D224" s="264"/>
      <c r="E224" s="264"/>
      <c r="F224" s="264"/>
      <c r="G224" s="270"/>
      <c r="H224" s="266" t="str">
        <f t="shared" si="2"/>
        <v/>
      </c>
      <c r="I224" s="263" t="b">
        <v>0</v>
      </c>
      <c r="J224" s="266"/>
      <c r="K224" s="266"/>
      <c r="L224" s="266"/>
      <c r="M224" s="266"/>
      <c r="N224" s="266"/>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c r="AK224" s="239"/>
      <c r="AL224" s="239"/>
      <c r="AM224" s="239"/>
      <c r="AN224" s="239"/>
      <c r="AO224" s="239"/>
      <c r="AP224" s="239"/>
      <c r="AQ224" s="239"/>
      <c r="AR224" s="239"/>
      <c r="AS224" s="239"/>
      <c r="AT224" s="239"/>
      <c r="AU224" s="239"/>
      <c r="AV224" s="239"/>
      <c r="AW224" s="239"/>
      <c r="AX224" s="239"/>
      <c r="AY224" s="239"/>
      <c r="AZ224" s="239"/>
      <c r="BA224" s="239"/>
      <c r="BB224" s="239"/>
      <c r="BC224" s="239"/>
      <c r="BD224" s="239"/>
      <c r="BE224" s="239"/>
      <c r="BF224" s="239"/>
      <c r="BG224" s="239"/>
      <c r="BH224" s="239"/>
      <c r="BI224" s="239"/>
    </row>
    <row r="225">
      <c r="A225" s="239"/>
      <c r="B225" s="239"/>
      <c r="C225" s="263" t="b">
        <v>0</v>
      </c>
      <c r="D225" s="264"/>
      <c r="E225" s="264"/>
      <c r="F225" s="264"/>
      <c r="G225" s="270"/>
      <c r="H225" s="266" t="str">
        <f t="shared" si="2"/>
        <v/>
      </c>
      <c r="I225" s="263" t="b">
        <v>0</v>
      </c>
      <c r="J225" s="266"/>
      <c r="K225" s="266"/>
      <c r="L225" s="266"/>
      <c r="M225" s="266"/>
      <c r="N225" s="266"/>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c r="AK225" s="239"/>
      <c r="AL225" s="239"/>
      <c r="AM225" s="239"/>
      <c r="AN225" s="239"/>
      <c r="AO225" s="239"/>
      <c r="AP225" s="239"/>
      <c r="AQ225" s="239"/>
      <c r="AR225" s="239"/>
      <c r="AS225" s="239"/>
      <c r="AT225" s="239"/>
      <c r="AU225" s="239"/>
      <c r="AV225" s="239"/>
      <c r="AW225" s="239"/>
      <c r="AX225" s="239"/>
      <c r="AY225" s="239"/>
      <c r="AZ225" s="239"/>
      <c r="BA225" s="239"/>
      <c r="BB225" s="239"/>
      <c r="BC225" s="239"/>
      <c r="BD225" s="239"/>
      <c r="BE225" s="239"/>
      <c r="BF225" s="239"/>
      <c r="BG225" s="239"/>
      <c r="BH225" s="239"/>
      <c r="BI225" s="239"/>
    </row>
    <row r="226">
      <c r="A226" s="239"/>
      <c r="B226" s="239"/>
      <c r="C226" s="263" t="b">
        <v>0</v>
      </c>
      <c r="D226" s="264"/>
      <c r="E226" s="264"/>
      <c r="F226" s="264"/>
      <c r="G226" s="270"/>
      <c r="H226" s="266" t="str">
        <f t="shared" si="2"/>
        <v/>
      </c>
      <c r="I226" s="263" t="b">
        <v>0</v>
      </c>
      <c r="J226" s="266"/>
      <c r="K226" s="266"/>
      <c r="L226" s="266"/>
      <c r="M226" s="266"/>
      <c r="N226" s="266"/>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c r="AK226" s="239"/>
      <c r="AL226" s="239"/>
      <c r="AM226" s="239"/>
      <c r="AN226" s="239"/>
      <c r="AO226" s="239"/>
      <c r="AP226" s="239"/>
      <c r="AQ226" s="239"/>
      <c r="AR226" s="239"/>
      <c r="AS226" s="239"/>
      <c r="AT226" s="239"/>
      <c r="AU226" s="239"/>
      <c r="AV226" s="239"/>
      <c r="AW226" s="239"/>
      <c r="AX226" s="239"/>
      <c r="AY226" s="239"/>
      <c r="AZ226" s="239"/>
      <c r="BA226" s="239"/>
      <c r="BB226" s="239"/>
      <c r="BC226" s="239"/>
      <c r="BD226" s="239"/>
      <c r="BE226" s="239"/>
      <c r="BF226" s="239"/>
      <c r="BG226" s="239"/>
      <c r="BH226" s="239"/>
      <c r="BI226" s="239"/>
    </row>
    <row r="227">
      <c r="A227" s="239"/>
      <c r="B227" s="239"/>
      <c r="C227" s="263" t="b">
        <v>0</v>
      </c>
      <c r="D227" s="264"/>
      <c r="E227" s="264"/>
      <c r="F227" s="264"/>
      <c r="G227" s="270"/>
      <c r="H227" s="266" t="str">
        <f t="shared" si="2"/>
        <v/>
      </c>
      <c r="I227" s="263" t="b">
        <v>0</v>
      </c>
      <c r="J227" s="266"/>
      <c r="K227" s="266"/>
      <c r="L227" s="266"/>
      <c r="M227" s="266"/>
      <c r="N227" s="266"/>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c r="BD227" s="239"/>
      <c r="BE227" s="239"/>
      <c r="BF227" s="239"/>
      <c r="BG227" s="239"/>
      <c r="BH227" s="239"/>
      <c r="BI227" s="239"/>
    </row>
    <row r="228">
      <c r="A228" s="239"/>
      <c r="B228" s="239"/>
      <c r="C228" s="263" t="b">
        <v>0</v>
      </c>
      <c r="D228" s="264"/>
      <c r="E228" s="264"/>
      <c r="F228" s="264"/>
      <c r="G228" s="270"/>
      <c r="H228" s="266" t="str">
        <f t="shared" si="2"/>
        <v/>
      </c>
      <c r="I228" s="263" t="b">
        <v>0</v>
      </c>
      <c r="J228" s="266"/>
      <c r="K228" s="266"/>
      <c r="L228" s="266"/>
      <c r="M228" s="266"/>
      <c r="N228" s="266"/>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c r="BD228" s="239"/>
      <c r="BE228" s="239"/>
      <c r="BF228" s="239"/>
      <c r="BG228" s="239"/>
      <c r="BH228" s="239"/>
      <c r="BI228" s="239"/>
    </row>
    <row r="229">
      <c r="A229" s="239"/>
      <c r="B229" s="239"/>
      <c r="C229" s="263" t="b">
        <v>0</v>
      </c>
      <c r="D229" s="264"/>
      <c r="E229" s="264"/>
      <c r="F229" s="264"/>
      <c r="G229" s="270"/>
      <c r="H229" s="266" t="str">
        <f t="shared" si="2"/>
        <v/>
      </c>
      <c r="I229" s="263" t="b">
        <v>0</v>
      </c>
      <c r="J229" s="266"/>
      <c r="K229" s="266"/>
      <c r="L229" s="266"/>
      <c r="M229" s="266"/>
      <c r="N229" s="266"/>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c r="AL229" s="239"/>
      <c r="AM229" s="239"/>
      <c r="AN229" s="239"/>
      <c r="AO229" s="239"/>
      <c r="AP229" s="239"/>
      <c r="AQ229" s="239"/>
      <c r="AR229" s="239"/>
      <c r="AS229" s="239"/>
      <c r="AT229" s="239"/>
      <c r="AU229" s="239"/>
      <c r="AV229" s="239"/>
      <c r="AW229" s="239"/>
      <c r="AX229" s="239"/>
      <c r="AY229" s="239"/>
      <c r="AZ229" s="239"/>
      <c r="BA229" s="239"/>
      <c r="BB229" s="239"/>
      <c r="BC229" s="239"/>
      <c r="BD229" s="239"/>
      <c r="BE229" s="239"/>
      <c r="BF229" s="239"/>
      <c r="BG229" s="239"/>
      <c r="BH229" s="239"/>
      <c r="BI229" s="239"/>
    </row>
    <row r="230">
      <c r="A230" s="239"/>
      <c r="B230" s="239"/>
      <c r="C230" s="263" t="b">
        <v>0</v>
      </c>
      <c r="D230" s="264"/>
      <c r="E230" s="264"/>
      <c r="F230" s="264"/>
      <c r="G230" s="270"/>
      <c r="H230" s="266" t="str">
        <f t="shared" si="2"/>
        <v/>
      </c>
      <c r="I230" s="263" t="b">
        <v>0</v>
      </c>
      <c r="J230" s="266"/>
      <c r="K230" s="266"/>
      <c r="L230" s="266"/>
      <c r="M230" s="266"/>
      <c r="N230" s="266"/>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c r="BD230" s="239"/>
      <c r="BE230" s="239"/>
      <c r="BF230" s="239"/>
      <c r="BG230" s="239"/>
      <c r="BH230" s="239"/>
      <c r="BI230" s="239"/>
    </row>
    <row r="231">
      <c r="A231" s="239"/>
      <c r="B231" s="239"/>
      <c r="C231" s="263" t="b">
        <v>0</v>
      </c>
      <c r="D231" s="264"/>
      <c r="E231" s="264"/>
      <c r="F231" s="264"/>
      <c r="G231" s="270"/>
      <c r="H231" s="266" t="str">
        <f t="shared" si="2"/>
        <v/>
      </c>
      <c r="I231" s="263" t="b">
        <v>0</v>
      </c>
      <c r="J231" s="266"/>
      <c r="K231" s="266"/>
      <c r="L231" s="266"/>
      <c r="M231" s="266"/>
      <c r="N231" s="266"/>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39"/>
      <c r="AX231" s="239"/>
      <c r="AY231" s="239"/>
      <c r="AZ231" s="239"/>
      <c r="BA231" s="239"/>
      <c r="BB231" s="239"/>
      <c r="BC231" s="239"/>
      <c r="BD231" s="239"/>
      <c r="BE231" s="239"/>
      <c r="BF231" s="239"/>
      <c r="BG231" s="239"/>
      <c r="BH231" s="239"/>
      <c r="BI231" s="239"/>
    </row>
    <row r="232">
      <c r="A232" s="239"/>
      <c r="B232" s="239"/>
      <c r="C232" s="263" t="b">
        <v>0</v>
      </c>
      <c r="D232" s="264"/>
      <c r="E232" s="264"/>
      <c r="F232" s="264"/>
      <c r="G232" s="270"/>
      <c r="H232" s="266" t="str">
        <f t="shared" si="2"/>
        <v/>
      </c>
      <c r="I232" s="263" t="b">
        <v>0</v>
      </c>
      <c r="J232" s="266"/>
      <c r="K232" s="266"/>
      <c r="L232" s="266"/>
      <c r="M232" s="266"/>
      <c r="N232" s="266"/>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c r="AL232" s="239"/>
      <c r="AM232" s="239"/>
      <c r="AN232" s="239"/>
      <c r="AO232" s="239"/>
      <c r="AP232" s="239"/>
      <c r="AQ232" s="239"/>
      <c r="AR232" s="239"/>
      <c r="AS232" s="239"/>
      <c r="AT232" s="239"/>
      <c r="AU232" s="239"/>
      <c r="AV232" s="239"/>
      <c r="AW232" s="239"/>
      <c r="AX232" s="239"/>
      <c r="AY232" s="239"/>
      <c r="AZ232" s="239"/>
      <c r="BA232" s="239"/>
      <c r="BB232" s="239"/>
      <c r="BC232" s="239"/>
      <c r="BD232" s="239"/>
      <c r="BE232" s="239"/>
      <c r="BF232" s="239"/>
      <c r="BG232" s="239"/>
      <c r="BH232" s="239"/>
      <c r="BI232" s="239"/>
    </row>
    <row r="233">
      <c r="A233" s="239"/>
      <c r="B233" s="239"/>
      <c r="C233" s="263" t="b">
        <v>0</v>
      </c>
      <c r="D233" s="264"/>
      <c r="E233" s="264"/>
      <c r="F233" s="264"/>
      <c r="G233" s="270"/>
      <c r="H233" s="266" t="str">
        <f t="shared" si="2"/>
        <v/>
      </c>
      <c r="I233" s="263" t="b">
        <v>0</v>
      </c>
      <c r="J233" s="266"/>
      <c r="K233" s="266"/>
      <c r="L233" s="266"/>
      <c r="M233" s="266"/>
      <c r="N233" s="266"/>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c r="AK233" s="239"/>
      <c r="AL233" s="239"/>
      <c r="AM233" s="239"/>
      <c r="AN233" s="239"/>
      <c r="AO233" s="239"/>
      <c r="AP233" s="239"/>
      <c r="AQ233" s="239"/>
      <c r="AR233" s="239"/>
      <c r="AS233" s="239"/>
      <c r="AT233" s="239"/>
      <c r="AU233" s="239"/>
      <c r="AV233" s="239"/>
      <c r="AW233" s="239"/>
      <c r="AX233" s="239"/>
      <c r="AY233" s="239"/>
      <c r="AZ233" s="239"/>
      <c r="BA233" s="239"/>
      <c r="BB233" s="239"/>
      <c r="BC233" s="239"/>
      <c r="BD233" s="239"/>
      <c r="BE233" s="239"/>
      <c r="BF233" s="239"/>
      <c r="BG233" s="239"/>
      <c r="BH233" s="239"/>
      <c r="BI233" s="239"/>
    </row>
    <row r="234">
      <c r="A234" s="239"/>
      <c r="B234" s="239"/>
      <c r="C234" s="263" t="b">
        <v>0</v>
      </c>
      <c r="D234" s="264"/>
      <c r="E234" s="264"/>
      <c r="F234" s="264"/>
      <c r="G234" s="270"/>
      <c r="H234" s="266" t="str">
        <f t="shared" si="2"/>
        <v/>
      </c>
      <c r="I234" s="263" t="b">
        <v>0</v>
      </c>
      <c r="J234" s="266"/>
      <c r="K234" s="266"/>
      <c r="L234" s="266"/>
      <c r="M234" s="266"/>
      <c r="N234" s="266"/>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c r="AK234" s="239"/>
      <c r="AL234" s="239"/>
      <c r="AM234" s="239"/>
      <c r="AN234" s="239"/>
      <c r="AO234" s="239"/>
      <c r="AP234" s="239"/>
      <c r="AQ234" s="239"/>
      <c r="AR234" s="239"/>
      <c r="AS234" s="239"/>
      <c r="AT234" s="239"/>
      <c r="AU234" s="239"/>
      <c r="AV234" s="239"/>
      <c r="AW234" s="239"/>
      <c r="AX234" s="239"/>
      <c r="AY234" s="239"/>
      <c r="AZ234" s="239"/>
      <c r="BA234" s="239"/>
      <c r="BB234" s="239"/>
      <c r="BC234" s="239"/>
      <c r="BD234" s="239"/>
      <c r="BE234" s="239"/>
      <c r="BF234" s="239"/>
      <c r="BG234" s="239"/>
      <c r="BH234" s="239"/>
      <c r="BI234" s="239"/>
    </row>
    <row r="235">
      <c r="A235" s="239"/>
      <c r="B235" s="239"/>
      <c r="C235" s="263" t="b">
        <v>0</v>
      </c>
      <c r="D235" s="264"/>
      <c r="E235" s="264"/>
      <c r="F235" s="264"/>
      <c r="G235" s="270"/>
      <c r="H235" s="266" t="str">
        <f t="shared" si="2"/>
        <v/>
      </c>
      <c r="I235" s="263" t="b">
        <v>0</v>
      </c>
      <c r="J235" s="266"/>
      <c r="K235" s="266"/>
      <c r="L235" s="266"/>
      <c r="M235" s="266"/>
      <c r="N235" s="266"/>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c r="AK235" s="239"/>
      <c r="AL235" s="239"/>
      <c r="AM235" s="239"/>
      <c r="AN235" s="239"/>
      <c r="AO235" s="239"/>
      <c r="AP235" s="239"/>
      <c r="AQ235" s="239"/>
      <c r="AR235" s="239"/>
      <c r="AS235" s="239"/>
      <c r="AT235" s="239"/>
      <c r="AU235" s="239"/>
      <c r="AV235" s="239"/>
      <c r="AW235" s="239"/>
      <c r="AX235" s="239"/>
      <c r="AY235" s="239"/>
      <c r="AZ235" s="239"/>
      <c r="BA235" s="239"/>
      <c r="BB235" s="239"/>
      <c r="BC235" s="239"/>
      <c r="BD235" s="239"/>
      <c r="BE235" s="239"/>
      <c r="BF235" s="239"/>
      <c r="BG235" s="239"/>
      <c r="BH235" s="239"/>
      <c r="BI235" s="239"/>
    </row>
    <row r="236">
      <c r="A236" s="239"/>
      <c r="B236" s="239"/>
      <c r="C236" s="263" t="b">
        <v>0</v>
      </c>
      <c r="D236" s="264"/>
      <c r="E236" s="264"/>
      <c r="F236" s="264"/>
      <c r="G236" s="270"/>
      <c r="H236" s="266" t="str">
        <f t="shared" si="2"/>
        <v/>
      </c>
      <c r="I236" s="263" t="b">
        <v>0</v>
      </c>
      <c r="J236" s="266"/>
      <c r="K236" s="266"/>
      <c r="L236" s="266"/>
      <c r="M236" s="266"/>
      <c r="N236" s="266"/>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c r="AJ236" s="239"/>
      <c r="AK236" s="239"/>
      <c r="AL236" s="239"/>
      <c r="AM236" s="239"/>
      <c r="AN236" s="239"/>
      <c r="AO236" s="239"/>
      <c r="AP236" s="239"/>
      <c r="AQ236" s="239"/>
      <c r="AR236" s="239"/>
      <c r="AS236" s="239"/>
      <c r="AT236" s="239"/>
      <c r="AU236" s="239"/>
      <c r="AV236" s="239"/>
      <c r="AW236" s="239"/>
      <c r="AX236" s="239"/>
      <c r="AY236" s="239"/>
      <c r="AZ236" s="239"/>
      <c r="BA236" s="239"/>
      <c r="BB236" s="239"/>
      <c r="BC236" s="239"/>
      <c r="BD236" s="239"/>
      <c r="BE236" s="239"/>
      <c r="BF236" s="239"/>
      <c r="BG236" s="239"/>
      <c r="BH236" s="239"/>
      <c r="BI236" s="239"/>
    </row>
    <row r="237">
      <c r="A237" s="239"/>
      <c r="B237" s="239"/>
      <c r="C237" s="263" t="b">
        <v>0</v>
      </c>
      <c r="D237" s="264"/>
      <c r="E237" s="264"/>
      <c r="F237" s="264"/>
      <c r="G237" s="270"/>
      <c r="H237" s="266" t="str">
        <f t="shared" si="2"/>
        <v/>
      </c>
      <c r="I237" s="263" t="b">
        <v>0</v>
      </c>
      <c r="J237" s="266"/>
      <c r="K237" s="266"/>
      <c r="L237" s="266"/>
      <c r="M237" s="266"/>
      <c r="N237" s="266"/>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c r="AK237" s="239"/>
      <c r="AL237" s="239"/>
      <c r="AM237" s="239"/>
      <c r="AN237" s="239"/>
      <c r="AO237" s="239"/>
      <c r="AP237" s="239"/>
      <c r="AQ237" s="239"/>
      <c r="AR237" s="239"/>
      <c r="AS237" s="239"/>
      <c r="AT237" s="239"/>
      <c r="AU237" s="239"/>
      <c r="AV237" s="239"/>
      <c r="AW237" s="239"/>
      <c r="AX237" s="239"/>
      <c r="AY237" s="239"/>
      <c r="AZ237" s="239"/>
      <c r="BA237" s="239"/>
      <c r="BB237" s="239"/>
      <c r="BC237" s="239"/>
      <c r="BD237" s="239"/>
      <c r="BE237" s="239"/>
      <c r="BF237" s="239"/>
      <c r="BG237" s="239"/>
      <c r="BH237" s="239"/>
      <c r="BI237" s="239"/>
    </row>
    <row r="238">
      <c r="A238" s="239"/>
      <c r="B238" s="239"/>
      <c r="C238" s="263" t="b">
        <v>0</v>
      </c>
      <c r="D238" s="264"/>
      <c r="E238" s="264"/>
      <c r="F238" s="264"/>
      <c r="G238" s="270"/>
      <c r="H238" s="266" t="str">
        <f t="shared" si="2"/>
        <v/>
      </c>
      <c r="I238" s="263" t="b">
        <v>0</v>
      </c>
      <c r="J238" s="266"/>
      <c r="K238" s="266"/>
      <c r="L238" s="266"/>
      <c r="M238" s="266"/>
      <c r="N238" s="266"/>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c r="AK238" s="239"/>
      <c r="AL238" s="239"/>
      <c r="AM238" s="239"/>
      <c r="AN238" s="239"/>
      <c r="AO238" s="239"/>
      <c r="AP238" s="239"/>
      <c r="AQ238" s="239"/>
      <c r="AR238" s="239"/>
      <c r="AS238" s="239"/>
      <c r="AT238" s="239"/>
      <c r="AU238" s="239"/>
      <c r="AV238" s="239"/>
      <c r="AW238" s="239"/>
      <c r="AX238" s="239"/>
      <c r="AY238" s="239"/>
      <c r="AZ238" s="239"/>
      <c r="BA238" s="239"/>
      <c r="BB238" s="239"/>
      <c r="BC238" s="239"/>
      <c r="BD238" s="239"/>
      <c r="BE238" s="239"/>
      <c r="BF238" s="239"/>
      <c r="BG238" s="239"/>
      <c r="BH238" s="239"/>
      <c r="BI238" s="239"/>
    </row>
    <row r="239">
      <c r="A239" s="239"/>
      <c r="B239" s="239"/>
      <c r="C239" s="263" t="b">
        <v>0</v>
      </c>
      <c r="D239" s="264"/>
      <c r="E239" s="264"/>
      <c r="F239" s="264"/>
      <c r="G239" s="270"/>
      <c r="H239" s="266" t="str">
        <f t="shared" si="2"/>
        <v/>
      </c>
      <c r="I239" s="263" t="b">
        <v>0</v>
      </c>
      <c r="J239" s="266"/>
      <c r="K239" s="266"/>
      <c r="L239" s="266"/>
      <c r="M239" s="266"/>
      <c r="N239" s="266"/>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c r="AL239" s="239"/>
      <c r="AM239" s="239"/>
      <c r="AN239" s="239"/>
      <c r="AO239" s="239"/>
      <c r="AP239" s="239"/>
      <c r="AQ239" s="239"/>
      <c r="AR239" s="239"/>
      <c r="AS239" s="239"/>
      <c r="AT239" s="239"/>
      <c r="AU239" s="239"/>
      <c r="AV239" s="239"/>
      <c r="AW239" s="239"/>
      <c r="AX239" s="239"/>
      <c r="AY239" s="239"/>
      <c r="AZ239" s="239"/>
      <c r="BA239" s="239"/>
      <c r="BB239" s="239"/>
      <c r="BC239" s="239"/>
      <c r="BD239" s="239"/>
      <c r="BE239" s="239"/>
      <c r="BF239" s="239"/>
      <c r="BG239" s="239"/>
      <c r="BH239" s="239"/>
      <c r="BI239" s="239"/>
    </row>
    <row r="240">
      <c r="A240" s="239"/>
      <c r="B240" s="239"/>
      <c r="C240" s="263" t="b">
        <v>0</v>
      </c>
      <c r="D240" s="264"/>
      <c r="E240" s="264"/>
      <c r="F240" s="264"/>
      <c r="G240" s="270"/>
      <c r="H240" s="266" t="str">
        <f t="shared" si="2"/>
        <v/>
      </c>
      <c r="I240" s="263" t="b">
        <v>0</v>
      </c>
      <c r="J240" s="266"/>
      <c r="K240" s="266"/>
      <c r="L240" s="266"/>
      <c r="M240" s="266"/>
      <c r="N240" s="266"/>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c r="AK240" s="239"/>
      <c r="AL240" s="239"/>
      <c r="AM240" s="239"/>
      <c r="AN240" s="239"/>
      <c r="AO240" s="239"/>
      <c r="AP240" s="239"/>
      <c r="AQ240" s="239"/>
      <c r="AR240" s="239"/>
      <c r="AS240" s="239"/>
      <c r="AT240" s="239"/>
      <c r="AU240" s="239"/>
      <c r="AV240" s="239"/>
      <c r="AW240" s="239"/>
      <c r="AX240" s="239"/>
      <c r="AY240" s="239"/>
      <c r="AZ240" s="239"/>
      <c r="BA240" s="239"/>
      <c r="BB240" s="239"/>
      <c r="BC240" s="239"/>
      <c r="BD240" s="239"/>
      <c r="BE240" s="239"/>
      <c r="BF240" s="239"/>
      <c r="BG240" s="239"/>
      <c r="BH240" s="239"/>
      <c r="BI240" s="239"/>
    </row>
    <row r="241">
      <c r="A241" s="239"/>
      <c r="B241" s="239"/>
      <c r="C241" s="263" t="b">
        <v>0</v>
      </c>
      <c r="D241" s="264"/>
      <c r="E241" s="264"/>
      <c r="F241" s="264"/>
      <c r="G241" s="270"/>
      <c r="H241" s="266" t="str">
        <f t="shared" si="2"/>
        <v/>
      </c>
      <c r="I241" s="263" t="b">
        <v>0</v>
      </c>
      <c r="J241" s="266"/>
      <c r="K241" s="266"/>
      <c r="L241" s="266"/>
      <c r="M241" s="266"/>
      <c r="N241" s="266"/>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c r="AJ241" s="239"/>
      <c r="AK241" s="239"/>
      <c r="AL241" s="239"/>
      <c r="AM241" s="239"/>
      <c r="AN241" s="239"/>
      <c r="AO241" s="239"/>
      <c r="AP241" s="239"/>
      <c r="AQ241" s="239"/>
      <c r="AR241" s="239"/>
      <c r="AS241" s="239"/>
      <c r="AT241" s="239"/>
      <c r="AU241" s="239"/>
      <c r="AV241" s="239"/>
      <c r="AW241" s="239"/>
      <c r="AX241" s="239"/>
      <c r="AY241" s="239"/>
      <c r="AZ241" s="239"/>
      <c r="BA241" s="239"/>
      <c r="BB241" s="239"/>
      <c r="BC241" s="239"/>
      <c r="BD241" s="239"/>
      <c r="BE241" s="239"/>
      <c r="BF241" s="239"/>
      <c r="BG241" s="239"/>
      <c r="BH241" s="239"/>
      <c r="BI241" s="239"/>
    </row>
    <row r="242">
      <c r="A242" s="239"/>
      <c r="B242" s="239"/>
      <c r="C242" s="263" t="b">
        <v>0</v>
      </c>
      <c r="D242" s="264"/>
      <c r="E242" s="264"/>
      <c r="F242" s="264"/>
      <c r="G242" s="270"/>
      <c r="H242" s="266" t="str">
        <f t="shared" si="2"/>
        <v/>
      </c>
      <c r="I242" s="263" t="b">
        <v>0</v>
      </c>
      <c r="J242" s="266"/>
      <c r="K242" s="266"/>
      <c r="L242" s="266"/>
      <c r="M242" s="266"/>
      <c r="N242" s="266"/>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c r="AK242" s="239"/>
      <c r="AL242" s="239"/>
      <c r="AM242" s="239"/>
      <c r="AN242" s="239"/>
      <c r="AO242" s="239"/>
      <c r="AP242" s="239"/>
      <c r="AQ242" s="239"/>
      <c r="AR242" s="239"/>
      <c r="AS242" s="239"/>
      <c r="AT242" s="239"/>
      <c r="AU242" s="239"/>
      <c r="AV242" s="239"/>
      <c r="AW242" s="239"/>
      <c r="AX242" s="239"/>
      <c r="AY242" s="239"/>
      <c r="AZ242" s="239"/>
      <c r="BA242" s="239"/>
      <c r="BB242" s="239"/>
      <c r="BC242" s="239"/>
      <c r="BD242" s="239"/>
      <c r="BE242" s="239"/>
      <c r="BF242" s="239"/>
      <c r="BG242" s="239"/>
      <c r="BH242" s="239"/>
      <c r="BI242" s="239"/>
    </row>
    <row r="243">
      <c r="A243" s="239"/>
      <c r="B243" s="239"/>
      <c r="C243" s="263" t="b">
        <v>0</v>
      </c>
      <c r="D243" s="264"/>
      <c r="E243" s="264"/>
      <c r="F243" s="264"/>
      <c r="G243" s="270"/>
      <c r="H243" s="266" t="str">
        <f t="shared" si="2"/>
        <v/>
      </c>
      <c r="I243" s="263" t="b">
        <v>0</v>
      </c>
      <c r="J243" s="266"/>
      <c r="K243" s="266"/>
      <c r="L243" s="266"/>
      <c r="M243" s="266"/>
      <c r="N243" s="266"/>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c r="AK243" s="239"/>
      <c r="AL243" s="239"/>
      <c r="AM243" s="239"/>
      <c r="AN243" s="239"/>
      <c r="AO243" s="239"/>
      <c r="AP243" s="239"/>
      <c r="AQ243" s="239"/>
      <c r="AR243" s="239"/>
      <c r="AS243" s="239"/>
      <c r="AT243" s="239"/>
      <c r="AU243" s="239"/>
      <c r="AV243" s="239"/>
      <c r="AW243" s="239"/>
      <c r="AX243" s="239"/>
      <c r="AY243" s="239"/>
      <c r="AZ243" s="239"/>
      <c r="BA243" s="239"/>
      <c r="BB243" s="239"/>
      <c r="BC243" s="239"/>
      <c r="BD243" s="239"/>
      <c r="BE243" s="239"/>
      <c r="BF243" s="239"/>
      <c r="BG243" s="239"/>
      <c r="BH243" s="239"/>
      <c r="BI243" s="239"/>
    </row>
    <row r="244">
      <c r="A244" s="239"/>
      <c r="B244" s="239"/>
      <c r="C244" s="263" t="b">
        <v>0</v>
      </c>
      <c r="D244" s="264"/>
      <c r="E244" s="264"/>
      <c r="F244" s="264"/>
      <c r="G244" s="270"/>
      <c r="H244" s="266" t="str">
        <f t="shared" si="2"/>
        <v/>
      </c>
      <c r="I244" s="263" t="b">
        <v>0</v>
      </c>
      <c r="J244" s="266"/>
      <c r="K244" s="266"/>
      <c r="L244" s="266"/>
      <c r="M244" s="266"/>
      <c r="N244" s="266"/>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c r="AK244" s="239"/>
      <c r="AL244" s="239"/>
      <c r="AM244" s="239"/>
      <c r="AN244" s="239"/>
      <c r="AO244" s="239"/>
      <c r="AP244" s="239"/>
      <c r="AQ244" s="239"/>
      <c r="AR244" s="239"/>
      <c r="AS244" s="239"/>
      <c r="AT244" s="239"/>
      <c r="AU244" s="239"/>
      <c r="AV244" s="239"/>
      <c r="AW244" s="239"/>
      <c r="AX244" s="239"/>
      <c r="AY244" s="239"/>
      <c r="AZ244" s="239"/>
      <c r="BA244" s="239"/>
      <c r="BB244" s="239"/>
      <c r="BC244" s="239"/>
      <c r="BD244" s="239"/>
      <c r="BE244" s="239"/>
      <c r="BF244" s="239"/>
      <c r="BG244" s="239"/>
      <c r="BH244" s="239"/>
      <c r="BI244" s="239"/>
    </row>
    <row r="245">
      <c r="A245" s="239"/>
      <c r="B245" s="239"/>
      <c r="C245" s="263" t="b">
        <v>0</v>
      </c>
      <c r="D245" s="264"/>
      <c r="E245" s="264"/>
      <c r="F245" s="264"/>
      <c r="G245" s="270"/>
      <c r="H245" s="266" t="str">
        <f t="shared" si="2"/>
        <v/>
      </c>
      <c r="I245" s="263" t="b">
        <v>0</v>
      </c>
      <c r="J245" s="266"/>
      <c r="K245" s="266"/>
      <c r="L245" s="266"/>
      <c r="M245" s="266"/>
      <c r="N245" s="266"/>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c r="AK245" s="239"/>
      <c r="AL245" s="239"/>
      <c r="AM245" s="239"/>
      <c r="AN245" s="239"/>
      <c r="AO245" s="239"/>
      <c r="AP245" s="239"/>
      <c r="AQ245" s="239"/>
      <c r="AR245" s="239"/>
      <c r="AS245" s="239"/>
      <c r="AT245" s="239"/>
      <c r="AU245" s="239"/>
      <c r="AV245" s="239"/>
      <c r="AW245" s="239"/>
      <c r="AX245" s="239"/>
      <c r="AY245" s="239"/>
      <c r="AZ245" s="239"/>
      <c r="BA245" s="239"/>
      <c r="BB245" s="239"/>
      <c r="BC245" s="239"/>
      <c r="BD245" s="239"/>
      <c r="BE245" s="239"/>
      <c r="BF245" s="239"/>
      <c r="BG245" s="239"/>
      <c r="BH245" s="239"/>
      <c r="BI245" s="239"/>
    </row>
    <row r="246">
      <c r="A246" s="239"/>
      <c r="B246" s="239"/>
      <c r="C246" s="263" t="b">
        <v>0</v>
      </c>
      <c r="D246" s="264"/>
      <c r="E246" s="264"/>
      <c r="F246" s="264"/>
      <c r="G246" s="270"/>
      <c r="H246" s="266" t="str">
        <f t="shared" si="2"/>
        <v/>
      </c>
      <c r="I246" s="263" t="b">
        <v>0</v>
      </c>
      <c r="J246" s="266"/>
      <c r="K246" s="266"/>
      <c r="L246" s="266"/>
      <c r="M246" s="266"/>
      <c r="N246" s="266"/>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c r="AL246" s="239"/>
      <c r="AM246" s="239"/>
      <c r="AN246" s="239"/>
      <c r="AO246" s="239"/>
      <c r="AP246" s="239"/>
      <c r="AQ246" s="239"/>
      <c r="AR246" s="239"/>
      <c r="AS246" s="239"/>
      <c r="AT246" s="239"/>
      <c r="AU246" s="239"/>
      <c r="AV246" s="239"/>
      <c r="AW246" s="239"/>
      <c r="AX246" s="239"/>
      <c r="AY246" s="239"/>
      <c r="AZ246" s="239"/>
      <c r="BA246" s="239"/>
      <c r="BB246" s="239"/>
      <c r="BC246" s="239"/>
      <c r="BD246" s="239"/>
      <c r="BE246" s="239"/>
      <c r="BF246" s="239"/>
      <c r="BG246" s="239"/>
      <c r="BH246" s="239"/>
      <c r="BI246" s="239"/>
    </row>
    <row r="247">
      <c r="A247" s="239"/>
      <c r="B247" s="239"/>
      <c r="C247" s="263" t="b">
        <v>0</v>
      </c>
      <c r="D247" s="264"/>
      <c r="E247" s="264"/>
      <c r="F247" s="264"/>
      <c r="G247" s="270"/>
      <c r="H247" s="266" t="str">
        <f t="shared" si="2"/>
        <v/>
      </c>
      <c r="I247" s="263" t="b">
        <v>0</v>
      </c>
      <c r="J247" s="266"/>
      <c r="K247" s="266"/>
      <c r="L247" s="266"/>
      <c r="M247" s="266"/>
      <c r="N247" s="266"/>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c r="BA247" s="239"/>
      <c r="BB247" s="239"/>
      <c r="BC247" s="239"/>
      <c r="BD247" s="239"/>
      <c r="BE247" s="239"/>
      <c r="BF247" s="239"/>
      <c r="BG247" s="239"/>
      <c r="BH247" s="239"/>
      <c r="BI247" s="239"/>
    </row>
    <row r="248">
      <c r="A248" s="239"/>
      <c r="B248" s="239"/>
      <c r="C248" s="263" t="b">
        <v>0</v>
      </c>
      <c r="D248" s="264"/>
      <c r="E248" s="264"/>
      <c r="F248" s="264"/>
      <c r="G248" s="270"/>
      <c r="H248" s="266" t="str">
        <f t="shared" si="2"/>
        <v/>
      </c>
      <c r="I248" s="263" t="b">
        <v>0</v>
      </c>
      <c r="J248" s="266"/>
      <c r="K248" s="266"/>
      <c r="L248" s="266"/>
      <c r="M248" s="266"/>
      <c r="N248" s="266"/>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c r="AL248" s="239"/>
      <c r="AM248" s="239"/>
      <c r="AN248" s="239"/>
      <c r="AO248" s="239"/>
      <c r="AP248" s="239"/>
      <c r="AQ248" s="239"/>
      <c r="AR248" s="239"/>
      <c r="AS248" s="239"/>
      <c r="AT248" s="239"/>
      <c r="AU248" s="239"/>
      <c r="AV248" s="239"/>
      <c r="AW248" s="239"/>
      <c r="AX248" s="239"/>
      <c r="AY248" s="239"/>
      <c r="AZ248" s="239"/>
      <c r="BA248" s="239"/>
      <c r="BB248" s="239"/>
      <c r="BC248" s="239"/>
      <c r="BD248" s="239"/>
      <c r="BE248" s="239"/>
      <c r="BF248" s="239"/>
      <c r="BG248" s="239"/>
      <c r="BH248" s="239"/>
      <c r="BI248" s="239"/>
    </row>
    <row r="249">
      <c r="A249" s="239"/>
      <c r="B249" s="239"/>
      <c r="C249" s="263" t="b">
        <v>0</v>
      </c>
      <c r="D249" s="264"/>
      <c r="E249" s="264"/>
      <c r="F249" s="264"/>
      <c r="G249" s="270"/>
      <c r="H249" s="266" t="str">
        <f t="shared" si="2"/>
        <v/>
      </c>
      <c r="I249" s="263" t="b">
        <v>0</v>
      </c>
      <c r="J249" s="266"/>
      <c r="K249" s="266"/>
      <c r="L249" s="266"/>
      <c r="M249" s="266"/>
      <c r="N249" s="266"/>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c r="AL249" s="239"/>
      <c r="AM249" s="239"/>
      <c r="AN249" s="239"/>
      <c r="AO249" s="239"/>
      <c r="AP249" s="239"/>
      <c r="AQ249" s="239"/>
      <c r="AR249" s="239"/>
      <c r="AS249" s="239"/>
      <c r="AT249" s="239"/>
      <c r="AU249" s="239"/>
      <c r="AV249" s="239"/>
      <c r="AW249" s="239"/>
      <c r="AX249" s="239"/>
      <c r="AY249" s="239"/>
      <c r="AZ249" s="239"/>
      <c r="BA249" s="239"/>
      <c r="BB249" s="239"/>
      <c r="BC249" s="239"/>
      <c r="BD249" s="239"/>
      <c r="BE249" s="239"/>
      <c r="BF249" s="239"/>
      <c r="BG249" s="239"/>
      <c r="BH249" s="239"/>
      <c r="BI249" s="239"/>
    </row>
    <row r="250">
      <c r="A250" s="239"/>
      <c r="B250" s="239"/>
      <c r="C250" s="263" t="b">
        <v>0</v>
      </c>
      <c r="D250" s="264"/>
      <c r="E250" s="264"/>
      <c r="F250" s="264"/>
      <c r="G250" s="270"/>
      <c r="H250" s="266" t="str">
        <f t="shared" si="2"/>
        <v/>
      </c>
      <c r="I250" s="263" t="b">
        <v>0</v>
      </c>
      <c r="J250" s="266"/>
      <c r="K250" s="266"/>
      <c r="L250" s="266"/>
      <c r="M250" s="266"/>
      <c r="N250" s="266"/>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c r="AK250" s="239"/>
      <c r="AL250" s="239"/>
      <c r="AM250" s="239"/>
      <c r="AN250" s="239"/>
      <c r="AO250" s="239"/>
      <c r="AP250" s="239"/>
      <c r="AQ250" s="239"/>
      <c r="AR250" s="239"/>
      <c r="AS250" s="239"/>
      <c r="AT250" s="239"/>
      <c r="AU250" s="239"/>
      <c r="AV250" s="239"/>
      <c r="AW250" s="239"/>
      <c r="AX250" s="239"/>
      <c r="AY250" s="239"/>
      <c r="AZ250" s="239"/>
      <c r="BA250" s="239"/>
      <c r="BB250" s="239"/>
      <c r="BC250" s="239"/>
      <c r="BD250" s="239"/>
      <c r="BE250" s="239"/>
      <c r="BF250" s="239"/>
      <c r="BG250" s="239"/>
      <c r="BH250" s="239"/>
      <c r="BI250" s="239"/>
    </row>
    <row r="251">
      <c r="A251" s="239"/>
      <c r="B251" s="239"/>
      <c r="C251" s="263" t="b">
        <v>0</v>
      </c>
      <c r="D251" s="264"/>
      <c r="E251" s="264"/>
      <c r="F251" s="264"/>
      <c r="G251" s="270"/>
      <c r="H251" s="266" t="str">
        <f t="shared" si="2"/>
        <v/>
      </c>
      <c r="I251" s="263" t="b">
        <v>0</v>
      </c>
      <c r="J251" s="266"/>
      <c r="K251" s="266"/>
      <c r="L251" s="266"/>
      <c r="M251" s="266"/>
      <c r="N251" s="266"/>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c r="AL251" s="239"/>
      <c r="AM251" s="239"/>
      <c r="AN251" s="239"/>
      <c r="AO251" s="239"/>
      <c r="AP251" s="239"/>
      <c r="AQ251" s="239"/>
      <c r="AR251" s="239"/>
      <c r="AS251" s="239"/>
      <c r="AT251" s="239"/>
      <c r="AU251" s="239"/>
      <c r="AV251" s="239"/>
      <c r="AW251" s="239"/>
      <c r="AX251" s="239"/>
      <c r="AY251" s="239"/>
      <c r="AZ251" s="239"/>
      <c r="BA251" s="239"/>
      <c r="BB251" s="239"/>
      <c r="BC251" s="239"/>
      <c r="BD251" s="239"/>
      <c r="BE251" s="239"/>
      <c r="BF251" s="239"/>
      <c r="BG251" s="239"/>
      <c r="BH251" s="239"/>
      <c r="BI251" s="239"/>
    </row>
    <row r="252">
      <c r="A252" s="239"/>
      <c r="B252" s="239"/>
      <c r="C252" s="263" t="b">
        <v>0</v>
      </c>
      <c r="D252" s="264"/>
      <c r="E252" s="264"/>
      <c r="F252" s="264"/>
      <c r="G252" s="270"/>
      <c r="H252" s="266" t="str">
        <f t="shared" si="2"/>
        <v/>
      </c>
      <c r="I252" s="263" t="b">
        <v>0</v>
      </c>
      <c r="J252" s="266"/>
      <c r="K252" s="266"/>
      <c r="L252" s="266"/>
      <c r="M252" s="266"/>
      <c r="N252" s="266"/>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c r="AL252" s="239"/>
      <c r="AM252" s="239"/>
      <c r="AN252" s="239"/>
      <c r="AO252" s="239"/>
      <c r="AP252" s="239"/>
      <c r="AQ252" s="239"/>
      <c r="AR252" s="239"/>
      <c r="AS252" s="239"/>
      <c r="AT252" s="239"/>
      <c r="AU252" s="239"/>
      <c r="AV252" s="239"/>
      <c r="AW252" s="239"/>
      <c r="AX252" s="239"/>
      <c r="AY252" s="239"/>
      <c r="AZ252" s="239"/>
      <c r="BA252" s="239"/>
      <c r="BB252" s="239"/>
      <c r="BC252" s="239"/>
      <c r="BD252" s="239"/>
      <c r="BE252" s="239"/>
      <c r="BF252" s="239"/>
      <c r="BG252" s="239"/>
      <c r="BH252" s="239"/>
      <c r="BI252" s="239"/>
    </row>
    <row r="253">
      <c r="A253" s="239"/>
      <c r="B253" s="239"/>
      <c r="C253" s="263" t="b">
        <v>0</v>
      </c>
      <c r="D253" s="264"/>
      <c r="E253" s="264"/>
      <c r="F253" s="264"/>
      <c r="G253" s="270"/>
      <c r="H253" s="266" t="str">
        <f t="shared" si="2"/>
        <v/>
      </c>
      <c r="I253" s="263" t="b">
        <v>0</v>
      </c>
      <c r="J253" s="266"/>
      <c r="K253" s="266"/>
      <c r="L253" s="266"/>
      <c r="M253" s="266"/>
      <c r="N253" s="266"/>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c r="AK253" s="239"/>
      <c r="AL253" s="239"/>
      <c r="AM253" s="239"/>
      <c r="AN253" s="239"/>
      <c r="AO253" s="239"/>
      <c r="AP253" s="239"/>
      <c r="AQ253" s="239"/>
      <c r="AR253" s="239"/>
      <c r="AS253" s="239"/>
      <c r="AT253" s="239"/>
      <c r="AU253" s="239"/>
      <c r="AV253" s="239"/>
      <c r="AW253" s="239"/>
      <c r="AX253" s="239"/>
      <c r="AY253" s="239"/>
      <c r="AZ253" s="239"/>
      <c r="BA253" s="239"/>
      <c r="BB253" s="239"/>
      <c r="BC253" s="239"/>
      <c r="BD253" s="239"/>
      <c r="BE253" s="239"/>
      <c r="BF253" s="239"/>
      <c r="BG253" s="239"/>
      <c r="BH253" s="239"/>
      <c r="BI253" s="239"/>
    </row>
    <row r="254">
      <c r="A254" s="239"/>
      <c r="B254" s="239"/>
      <c r="C254" s="263" t="b">
        <v>0</v>
      </c>
      <c r="D254" s="264"/>
      <c r="E254" s="264"/>
      <c r="F254" s="264"/>
      <c r="G254" s="270"/>
      <c r="H254" s="266" t="str">
        <f t="shared" si="2"/>
        <v/>
      </c>
      <c r="I254" s="263" t="b">
        <v>0</v>
      </c>
      <c r="J254" s="266"/>
      <c r="K254" s="266"/>
      <c r="L254" s="266"/>
      <c r="M254" s="266"/>
      <c r="N254" s="266"/>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c r="AK254" s="239"/>
      <c r="AL254" s="239"/>
      <c r="AM254" s="239"/>
      <c r="AN254" s="239"/>
      <c r="AO254" s="239"/>
      <c r="AP254" s="239"/>
      <c r="AQ254" s="239"/>
      <c r="AR254" s="239"/>
      <c r="AS254" s="239"/>
      <c r="AT254" s="239"/>
      <c r="AU254" s="239"/>
      <c r="AV254" s="239"/>
      <c r="AW254" s="239"/>
      <c r="AX254" s="239"/>
      <c r="AY254" s="239"/>
      <c r="AZ254" s="239"/>
      <c r="BA254" s="239"/>
      <c r="BB254" s="239"/>
      <c r="BC254" s="239"/>
      <c r="BD254" s="239"/>
      <c r="BE254" s="239"/>
      <c r="BF254" s="239"/>
      <c r="BG254" s="239"/>
      <c r="BH254" s="239"/>
      <c r="BI254" s="239"/>
    </row>
    <row r="255">
      <c r="A255" s="239"/>
      <c r="B255" s="239"/>
      <c r="C255" s="263" t="b">
        <v>0</v>
      </c>
      <c r="D255" s="264"/>
      <c r="E255" s="264"/>
      <c r="F255" s="264"/>
      <c r="G255" s="270"/>
      <c r="H255" s="266" t="str">
        <f t="shared" si="2"/>
        <v/>
      </c>
      <c r="I255" s="263" t="b">
        <v>0</v>
      </c>
      <c r="J255" s="266"/>
      <c r="K255" s="266"/>
      <c r="L255" s="266"/>
      <c r="M255" s="266"/>
      <c r="N255" s="266"/>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c r="AK255" s="239"/>
      <c r="AL255" s="239"/>
      <c r="AM255" s="239"/>
      <c r="AN255" s="239"/>
      <c r="AO255" s="239"/>
      <c r="AP255" s="239"/>
      <c r="AQ255" s="239"/>
      <c r="AR255" s="239"/>
      <c r="AS255" s="239"/>
      <c r="AT255" s="239"/>
      <c r="AU255" s="239"/>
      <c r="AV255" s="239"/>
      <c r="AW255" s="239"/>
      <c r="AX255" s="239"/>
      <c r="AY255" s="239"/>
      <c r="AZ255" s="239"/>
      <c r="BA255" s="239"/>
      <c r="BB255" s="239"/>
      <c r="BC255" s="239"/>
      <c r="BD255" s="239"/>
      <c r="BE255" s="239"/>
      <c r="BF255" s="239"/>
      <c r="BG255" s="239"/>
      <c r="BH255" s="239"/>
      <c r="BI255" s="239"/>
    </row>
    <row r="256">
      <c r="A256" s="239"/>
      <c r="B256" s="239"/>
      <c r="C256" s="263" t="b">
        <v>0</v>
      </c>
      <c r="D256" s="264"/>
      <c r="E256" s="264"/>
      <c r="F256" s="264"/>
      <c r="G256" s="270"/>
      <c r="H256" s="266" t="str">
        <f t="shared" si="2"/>
        <v/>
      </c>
      <c r="I256" s="263" t="b">
        <v>0</v>
      </c>
      <c r="J256" s="266"/>
      <c r="K256" s="266"/>
      <c r="L256" s="266"/>
      <c r="M256" s="266"/>
      <c r="N256" s="266"/>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c r="AK256" s="239"/>
      <c r="AL256" s="239"/>
      <c r="AM256" s="239"/>
      <c r="AN256" s="239"/>
      <c r="AO256" s="239"/>
      <c r="AP256" s="239"/>
      <c r="AQ256" s="239"/>
      <c r="AR256" s="239"/>
      <c r="AS256" s="239"/>
      <c r="AT256" s="239"/>
      <c r="AU256" s="239"/>
      <c r="AV256" s="239"/>
      <c r="AW256" s="239"/>
      <c r="AX256" s="239"/>
      <c r="AY256" s="239"/>
      <c r="AZ256" s="239"/>
      <c r="BA256" s="239"/>
      <c r="BB256" s="239"/>
      <c r="BC256" s="239"/>
      <c r="BD256" s="239"/>
      <c r="BE256" s="239"/>
      <c r="BF256" s="239"/>
      <c r="BG256" s="239"/>
      <c r="BH256" s="239"/>
      <c r="BI256" s="239"/>
    </row>
    <row r="257">
      <c r="A257" s="239"/>
      <c r="B257" s="239"/>
      <c r="C257" s="263" t="b">
        <v>0</v>
      </c>
      <c r="D257" s="264"/>
      <c r="E257" s="264"/>
      <c r="F257" s="264"/>
      <c r="G257" s="270"/>
      <c r="H257" s="266" t="str">
        <f t="shared" si="2"/>
        <v/>
      </c>
      <c r="I257" s="263" t="b">
        <v>0</v>
      </c>
      <c r="J257" s="266"/>
      <c r="K257" s="266"/>
      <c r="L257" s="266"/>
      <c r="M257" s="266"/>
      <c r="N257" s="266"/>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c r="AK257" s="239"/>
      <c r="AL257" s="239"/>
      <c r="AM257" s="239"/>
      <c r="AN257" s="239"/>
      <c r="AO257" s="239"/>
      <c r="AP257" s="239"/>
      <c r="AQ257" s="239"/>
      <c r="AR257" s="239"/>
      <c r="AS257" s="239"/>
      <c r="AT257" s="239"/>
      <c r="AU257" s="239"/>
      <c r="AV257" s="239"/>
      <c r="AW257" s="239"/>
      <c r="AX257" s="239"/>
      <c r="AY257" s="239"/>
      <c r="AZ257" s="239"/>
      <c r="BA257" s="239"/>
      <c r="BB257" s="239"/>
      <c r="BC257" s="239"/>
      <c r="BD257" s="239"/>
      <c r="BE257" s="239"/>
      <c r="BF257" s="239"/>
      <c r="BG257" s="239"/>
      <c r="BH257" s="239"/>
      <c r="BI257" s="239"/>
    </row>
    <row r="258">
      <c r="A258" s="239"/>
      <c r="B258" s="239"/>
      <c r="C258" s="263" t="b">
        <v>0</v>
      </c>
      <c r="D258" s="264"/>
      <c r="E258" s="264"/>
      <c r="F258" s="264"/>
      <c r="G258" s="270"/>
      <c r="H258" s="266" t="str">
        <f t="shared" si="2"/>
        <v/>
      </c>
      <c r="I258" s="263" t="b">
        <v>0</v>
      </c>
      <c r="J258" s="266"/>
      <c r="K258" s="266"/>
      <c r="L258" s="266"/>
      <c r="M258" s="266"/>
      <c r="N258" s="266"/>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c r="AK258" s="239"/>
      <c r="AL258" s="239"/>
      <c r="AM258" s="239"/>
      <c r="AN258" s="239"/>
      <c r="AO258" s="239"/>
      <c r="AP258" s="239"/>
      <c r="AQ258" s="239"/>
      <c r="AR258" s="239"/>
      <c r="AS258" s="239"/>
      <c r="AT258" s="239"/>
      <c r="AU258" s="239"/>
      <c r="AV258" s="239"/>
      <c r="AW258" s="239"/>
      <c r="AX258" s="239"/>
      <c r="AY258" s="239"/>
      <c r="AZ258" s="239"/>
      <c r="BA258" s="239"/>
      <c r="BB258" s="239"/>
      <c r="BC258" s="239"/>
      <c r="BD258" s="239"/>
      <c r="BE258" s="239"/>
      <c r="BF258" s="239"/>
      <c r="BG258" s="239"/>
      <c r="BH258" s="239"/>
      <c r="BI258" s="239"/>
    </row>
    <row r="259">
      <c r="A259" s="239"/>
      <c r="B259" s="239"/>
      <c r="C259" s="263" t="b">
        <v>0</v>
      </c>
      <c r="D259" s="264"/>
      <c r="E259" s="264"/>
      <c r="F259" s="264"/>
      <c r="G259" s="270"/>
      <c r="H259" s="266" t="str">
        <f t="shared" si="2"/>
        <v/>
      </c>
      <c r="I259" s="263" t="b">
        <v>0</v>
      </c>
      <c r="J259" s="266"/>
      <c r="K259" s="266"/>
      <c r="L259" s="266"/>
      <c r="M259" s="266"/>
      <c r="N259" s="266"/>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c r="AK259" s="239"/>
      <c r="AL259" s="239"/>
      <c r="AM259" s="239"/>
      <c r="AN259" s="239"/>
      <c r="AO259" s="239"/>
      <c r="AP259" s="239"/>
      <c r="AQ259" s="239"/>
      <c r="AR259" s="239"/>
      <c r="AS259" s="239"/>
      <c r="AT259" s="239"/>
      <c r="AU259" s="239"/>
      <c r="AV259" s="239"/>
      <c r="AW259" s="239"/>
      <c r="AX259" s="239"/>
      <c r="AY259" s="239"/>
      <c r="AZ259" s="239"/>
      <c r="BA259" s="239"/>
      <c r="BB259" s="239"/>
      <c r="BC259" s="239"/>
      <c r="BD259" s="239"/>
      <c r="BE259" s="239"/>
      <c r="BF259" s="239"/>
      <c r="BG259" s="239"/>
      <c r="BH259" s="239"/>
      <c r="BI259" s="239"/>
    </row>
    <row r="260">
      <c r="A260" s="239"/>
      <c r="B260" s="239"/>
      <c r="C260" s="263" t="b">
        <v>0</v>
      </c>
      <c r="D260" s="264"/>
      <c r="E260" s="264"/>
      <c r="F260" s="264"/>
      <c r="G260" s="270"/>
      <c r="H260" s="266" t="str">
        <f t="shared" si="2"/>
        <v/>
      </c>
      <c r="I260" s="263" t="b">
        <v>0</v>
      </c>
      <c r="J260" s="266"/>
      <c r="K260" s="266"/>
      <c r="L260" s="266"/>
      <c r="M260" s="266"/>
      <c r="N260" s="266"/>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c r="AK260" s="239"/>
      <c r="AL260" s="239"/>
      <c r="AM260" s="239"/>
      <c r="AN260" s="239"/>
      <c r="AO260" s="239"/>
      <c r="AP260" s="239"/>
      <c r="AQ260" s="239"/>
      <c r="AR260" s="239"/>
      <c r="AS260" s="239"/>
      <c r="AT260" s="239"/>
      <c r="AU260" s="239"/>
      <c r="AV260" s="239"/>
      <c r="AW260" s="239"/>
      <c r="AX260" s="239"/>
      <c r="AY260" s="239"/>
      <c r="AZ260" s="239"/>
      <c r="BA260" s="239"/>
      <c r="BB260" s="239"/>
      <c r="BC260" s="239"/>
      <c r="BD260" s="239"/>
      <c r="BE260" s="239"/>
      <c r="BF260" s="239"/>
      <c r="BG260" s="239"/>
      <c r="BH260" s="239"/>
      <c r="BI260" s="239"/>
    </row>
    <row r="261">
      <c r="A261" s="239"/>
      <c r="B261" s="239"/>
      <c r="C261" s="263" t="b">
        <v>0</v>
      </c>
      <c r="D261" s="264"/>
      <c r="E261" s="264"/>
      <c r="F261" s="264"/>
      <c r="G261" s="270"/>
      <c r="H261" s="266" t="str">
        <f t="shared" si="2"/>
        <v/>
      </c>
      <c r="I261" s="263" t="b">
        <v>0</v>
      </c>
      <c r="J261" s="266"/>
      <c r="K261" s="266"/>
      <c r="L261" s="266"/>
      <c r="M261" s="266"/>
      <c r="N261" s="266"/>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c r="AK261" s="239"/>
      <c r="AL261" s="239"/>
      <c r="AM261" s="239"/>
      <c r="AN261" s="239"/>
      <c r="AO261" s="239"/>
      <c r="AP261" s="239"/>
      <c r="AQ261" s="239"/>
      <c r="AR261" s="239"/>
      <c r="AS261" s="239"/>
      <c r="AT261" s="239"/>
      <c r="AU261" s="239"/>
      <c r="AV261" s="239"/>
      <c r="AW261" s="239"/>
      <c r="AX261" s="239"/>
      <c r="AY261" s="239"/>
      <c r="AZ261" s="239"/>
      <c r="BA261" s="239"/>
      <c r="BB261" s="239"/>
      <c r="BC261" s="239"/>
      <c r="BD261" s="239"/>
      <c r="BE261" s="239"/>
      <c r="BF261" s="239"/>
      <c r="BG261" s="239"/>
      <c r="BH261" s="239"/>
      <c r="BI261" s="239"/>
    </row>
    <row r="262">
      <c r="A262" s="239"/>
      <c r="B262" s="239"/>
      <c r="C262" s="263" t="b">
        <v>0</v>
      </c>
      <c r="D262" s="264"/>
      <c r="E262" s="264"/>
      <c r="F262" s="264"/>
      <c r="G262" s="270"/>
      <c r="H262" s="266" t="str">
        <f t="shared" si="2"/>
        <v/>
      </c>
      <c r="I262" s="263" t="b">
        <v>0</v>
      </c>
      <c r="J262" s="266"/>
      <c r="K262" s="266"/>
      <c r="L262" s="266"/>
      <c r="M262" s="266"/>
      <c r="N262" s="266"/>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c r="AK262" s="239"/>
      <c r="AL262" s="239"/>
      <c r="AM262" s="239"/>
      <c r="AN262" s="239"/>
      <c r="AO262" s="239"/>
      <c r="AP262" s="239"/>
      <c r="AQ262" s="239"/>
      <c r="AR262" s="239"/>
      <c r="AS262" s="239"/>
      <c r="AT262" s="239"/>
      <c r="AU262" s="239"/>
      <c r="AV262" s="239"/>
      <c r="AW262" s="239"/>
      <c r="AX262" s="239"/>
      <c r="AY262" s="239"/>
      <c r="AZ262" s="239"/>
      <c r="BA262" s="239"/>
      <c r="BB262" s="239"/>
      <c r="BC262" s="239"/>
      <c r="BD262" s="239"/>
      <c r="BE262" s="239"/>
      <c r="BF262" s="239"/>
      <c r="BG262" s="239"/>
      <c r="BH262" s="239"/>
      <c r="BI262" s="239"/>
    </row>
    <row r="263">
      <c r="A263" s="239"/>
      <c r="B263" s="239"/>
      <c r="C263" s="263" t="b">
        <v>0</v>
      </c>
      <c r="D263" s="264"/>
      <c r="E263" s="264"/>
      <c r="F263" s="264"/>
      <c r="G263" s="270"/>
      <c r="H263" s="266" t="str">
        <f t="shared" si="2"/>
        <v/>
      </c>
      <c r="I263" s="263" t="b">
        <v>0</v>
      </c>
      <c r="J263" s="266"/>
      <c r="K263" s="266"/>
      <c r="L263" s="266"/>
      <c r="M263" s="266"/>
      <c r="N263" s="266"/>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row>
    <row r="264">
      <c r="A264" s="239"/>
      <c r="B264" s="239"/>
      <c r="C264" s="263" t="b">
        <v>0</v>
      </c>
      <c r="D264" s="264"/>
      <c r="E264" s="264"/>
      <c r="F264" s="264"/>
      <c r="G264" s="270"/>
      <c r="H264" s="266" t="str">
        <f t="shared" si="2"/>
        <v/>
      </c>
      <c r="I264" s="263" t="b">
        <v>0</v>
      </c>
      <c r="J264" s="266"/>
      <c r="K264" s="266"/>
      <c r="L264" s="266"/>
      <c r="M264" s="266"/>
      <c r="N264" s="266"/>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c r="BD264" s="239"/>
      <c r="BE264" s="239"/>
      <c r="BF264" s="239"/>
      <c r="BG264" s="239"/>
      <c r="BH264" s="239"/>
      <c r="BI264" s="239"/>
    </row>
    <row r="265">
      <c r="A265" s="239"/>
      <c r="B265" s="239"/>
      <c r="C265" s="263" t="b">
        <v>0</v>
      </c>
      <c r="D265" s="264"/>
      <c r="E265" s="264"/>
      <c r="F265" s="264"/>
      <c r="G265" s="270"/>
      <c r="H265" s="266" t="str">
        <f t="shared" si="2"/>
        <v/>
      </c>
      <c r="I265" s="263" t="b">
        <v>0</v>
      </c>
      <c r="J265" s="266"/>
      <c r="K265" s="266"/>
      <c r="L265" s="266"/>
      <c r="M265" s="266"/>
      <c r="N265" s="266"/>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row>
    <row r="266">
      <c r="A266" s="239"/>
      <c r="B266" s="239"/>
      <c r="C266" s="263" t="b">
        <v>0</v>
      </c>
      <c r="D266" s="264"/>
      <c r="E266" s="264"/>
      <c r="F266" s="264"/>
      <c r="G266" s="270"/>
      <c r="H266" s="266" t="str">
        <f t="shared" si="2"/>
        <v/>
      </c>
      <c r="I266" s="263" t="b">
        <v>0</v>
      </c>
      <c r="J266" s="266"/>
      <c r="K266" s="266"/>
      <c r="L266" s="266"/>
      <c r="M266" s="266"/>
      <c r="N266" s="266"/>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c r="BD266" s="239"/>
      <c r="BE266" s="239"/>
      <c r="BF266" s="239"/>
      <c r="BG266" s="239"/>
      <c r="BH266" s="239"/>
      <c r="BI266" s="239"/>
    </row>
    <row r="267">
      <c r="A267" s="239"/>
      <c r="B267" s="239"/>
      <c r="C267" s="263" t="b">
        <v>0</v>
      </c>
      <c r="D267" s="264"/>
      <c r="E267" s="264"/>
      <c r="F267" s="264"/>
      <c r="G267" s="270"/>
      <c r="H267" s="266" t="str">
        <f t="shared" si="2"/>
        <v/>
      </c>
      <c r="I267" s="263" t="b">
        <v>0</v>
      </c>
      <c r="J267" s="266"/>
      <c r="K267" s="266"/>
      <c r="L267" s="266"/>
      <c r="M267" s="266"/>
      <c r="N267" s="266"/>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c r="BD267" s="239"/>
      <c r="BE267" s="239"/>
      <c r="BF267" s="239"/>
      <c r="BG267" s="239"/>
      <c r="BH267" s="239"/>
      <c r="BI267" s="239"/>
    </row>
    <row r="268">
      <c r="A268" s="239"/>
      <c r="B268" s="239"/>
      <c r="C268" s="263" t="b">
        <v>0</v>
      </c>
      <c r="D268" s="264"/>
      <c r="E268" s="264"/>
      <c r="F268" s="264"/>
      <c r="G268" s="270"/>
      <c r="H268" s="266" t="str">
        <f t="shared" si="2"/>
        <v/>
      </c>
      <c r="I268" s="263" t="b">
        <v>0</v>
      </c>
      <c r="J268" s="266"/>
      <c r="K268" s="266"/>
      <c r="L268" s="266"/>
      <c r="M268" s="266"/>
      <c r="N268" s="266"/>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c r="BD268" s="239"/>
      <c r="BE268" s="239"/>
      <c r="BF268" s="239"/>
      <c r="BG268" s="239"/>
      <c r="BH268" s="239"/>
      <c r="BI268" s="239"/>
    </row>
    <row r="269">
      <c r="A269" s="239"/>
      <c r="B269" s="239"/>
      <c r="C269" s="263" t="b">
        <v>0</v>
      </c>
      <c r="D269" s="264"/>
      <c r="E269" s="264"/>
      <c r="F269" s="264"/>
      <c r="G269" s="270"/>
      <c r="H269" s="266" t="str">
        <f t="shared" si="2"/>
        <v/>
      </c>
      <c r="I269" s="263" t="b">
        <v>0</v>
      </c>
      <c r="J269" s="266"/>
      <c r="K269" s="266"/>
      <c r="L269" s="266"/>
      <c r="M269" s="266"/>
      <c r="N269" s="266"/>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c r="BD269" s="239"/>
      <c r="BE269" s="239"/>
      <c r="BF269" s="239"/>
      <c r="BG269" s="239"/>
      <c r="BH269" s="239"/>
      <c r="BI269" s="239"/>
    </row>
    <row r="270">
      <c r="A270" s="239"/>
      <c r="B270" s="239"/>
      <c r="C270" s="263" t="b">
        <v>0</v>
      </c>
      <c r="D270" s="264"/>
      <c r="E270" s="264"/>
      <c r="F270" s="264"/>
      <c r="G270" s="270"/>
      <c r="H270" s="266" t="str">
        <f t="shared" si="2"/>
        <v/>
      </c>
      <c r="I270" s="263" t="b">
        <v>0</v>
      </c>
      <c r="J270" s="266"/>
      <c r="K270" s="266"/>
      <c r="L270" s="266"/>
      <c r="M270" s="266"/>
      <c r="N270" s="266"/>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c r="BD270" s="239"/>
      <c r="BE270" s="239"/>
      <c r="BF270" s="239"/>
      <c r="BG270" s="239"/>
      <c r="BH270" s="239"/>
      <c r="BI270" s="239"/>
    </row>
    <row r="271">
      <c r="A271" s="239"/>
      <c r="B271" s="239"/>
      <c r="C271" s="263" t="b">
        <v>0</v>
      </c>
      <c r="D271" s="264"/>
      <c r="E271" s="264"/>
      <c r="F271" s="264"/>
      <c r="G271" s="270"/>
      <c r="H271" s="266" t="str">
        <f t="shared" si="2"/>
        <v/>
      </c>
      <c r="I271" s="263" t="b">
        <v>0</v>
      </c>
      <c r="J271" s="266"/>
      <c r="K271" s="266"/>
      <c r="L271" s="266"/>
      <c r="M271" s="266"/>
      <c r="N271" s="266"/>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row>
    <row r="272">
      <c r="A272" s="239"/>
      <c r="B272" s="239"/>
      <c r="C272" s="263" t="b">
        <v>0</v>
      </c>
      <c r="D272" s="264"/>
      <c r="E272" s="264"/>
      <c r="F272" s="264"/>
      <c r="G272" s="270"/>
      <c r="H272" s="266" t="str">
        <f t="shared" si="2"/>
        <v/>
      </c>
      <c r="I272" s="263" t="b">
        <v>0</v>
      </c>
      <c r="J272" s="266"/>
      <c r="K272" s="266"/>
      <c r="L272" s="266"/>
      <c r="M272" s="266"/>
      <c r="N272" s="266"/>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c r="BD272" s="239"/>
      <c r="BE272" s="239"/>
      <c r="BF272" s="239"/>
      <c r="BG272" s="239"/>
      <c r="BH272" s="239"/>
      <c r="BI272" s="239"/>
    </row>
    <row r="273">
      <c r="A273" s="239"/>
      <c r="B273" s="239"/>
      <c r="C273" s="263" t="b">
        <v>0</v>
      </c>
      <c r="D273" s="264"/>
      <c r="E273" s="264"/>
      <c r="F273" s="264"/>
      <c r="G273" s="270"/>
      <c r="H273" s="266" t="str">
        <f t="shared" si="2"/>
        <v/>
      </c>
      <c r="I273" s="263" t="b">
        <v>0</v>
      </c>
      <c r="J273" s="266"/>
      <c r="K273" s="266"/>
      <c r="L273" s="266"/>
      <c r="M273" s="266"/>
      <c r="N273" s="266"/>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c r="BD273" s="239"/>
      <c r="BE273" s="239"/>
      <c r="BF273" s="239"/>
      <c r="BG273" s="239"/>
      <c r="BH273" s="239"/>
      <c r="BI273" s="239"/>
    </row>
    <row r="274">
      <c r="A274" s="239"/>
      <c r="B274" s="239"/>
      <c r="C274" s="263" t="b">
        <v>0</v>
      </c>
      <c r="D274" s="264"/>
      <c r="E274" s="264"/>
      <c r="F274" s="264"/>
      <c r="G274" s="270"/>
      <c r="H274" s="266" t="str">
        <f t="shared" si="2"/>
        <v/>
      </c>
      <c r="I274" s="263" t="b">
        <v>0</v>
      </c>
      <c r="J274" s="266"/>
      <c r="K274" s="266"/>
      <c r="L274" s="266"/>
      <c r="M274" s="266"/>
      <c r="N274" s="266"/>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c r="BD274" s="239"/>
      <c r="BE274" s="239"/>
      <c r="BF274" s="239"/>
      <c r="BG274" s="239"/>
      <c r="BH274" s="239"/>
      <c r="BI274" s="239"/>
    </row>
    <row r="275">
      <c r="A275" s="239"/>
      <c r="B275" s="239"/>
      <c r="C275" s="263" t="b">
        <v>0</v>
      </c>
      <c r="D275" s="264"/>
      <c r="E275" s="264"/>
      <c r="F275" s="264"/>
      <c r="G275" s="270"/>
      <c r="H275" s="266" t="str">
        <f t="shared" si="2"/>
        <v/>
      </c>
      <c r="I275" s="263" t="b">
        <v>0</v>
      </c>
      <c r="J275" s="266"/>
      <c r="K275" s="266"/>
      <c r="L275" s="266"/>
      <c r="M275" s="266"/>
      <c r="N275" s="266"/>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c r="BD275" s="239"/>
      <c r="BE275" s="239"/>
      <c r="BF275" s="239"/>
      <c r="BG275" s="239"/>
      <c r="BH275" s="239"/>
      <c r="BI275" s="239"/>
    </row>
    <row r="276">
      <c r="A276" s="239"/>
      <c r="B276" s="239"/>
      <c r="C276" s="263" t="b">
        <v>0</v>
      </c>
      <c r="D276" s="264"/>
      <c r="E276" s="264"/>
      <c r="F276" s="264"/>
      <c r="G276" s="270"/>
      <c r="H276" s="266" t="str">
        <f t="shared" si="2"/>
        <v/>
      </c>
      <c r="I276" s="263" t="b">
        <v>0</v>
      </c>
      <c r="J276" s="266"/>
      <c r="K276" s="266"/>
      <c r="L276" s="266"/>
      <c r="M276" s="266"/>
      <c r="N276" s="266"/>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c r="BD276" s="239"/>
      <c r="BE276" s="239"/>
      <c r="BF276" s="239"/>
      <c r="BG276" s="239"/>
      <c r="BH276" s="239"/>
      <c r="BI276" s="239"/>
    </row>
    <row r="277">
      <c r="A277" s="239"/>
      <c r="B277" s="239"/>
      <c r="C277" s="263" t="b">
        <v>0</v>
      </c>
      <c r="D277" s="264"/>
      <c r="E277" s="264"/>
      <c r="F277" s="264"/>
      <c r="G277" s="270"/>
      <c r="H277" s="266" t="str">
        <f t="shared" si="2"/>
        <v/>
      </c>
      <c r="I277" s="263" t="b">
        <v>0</v>
      </c>
      <c r="J277" s="266"/>
      <c r="K277" s="266"/>
      <c r="L277" s="266"/>
      <c r="M277" s="266"/>
      <c r="N277" s="266"/>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c r="BD277" s="239"/>
      <c r="BE277" s="239"/>
      <c r="BF277" s="239"/>
      <c r="BG277" s="239"/>
      <c r="BH277" s="239"/>
      <c r="BI277" s="239"/>
    </row>
    <row r="278">
      <c r="A278" s="239"/>
      <c r="B278" s="239"/>
      <c r="C278" s="263" t="b">
        <v>0</v>
      </c>
      <c r="D278" s="264"/>
      <c r="E278" s="264"/>
      <c r="F278" s="264"/>
      <c r="G278" s="270"/>
      <c r="H278" s="266" t="str">
        <f t="shared" si="2"/>
        <v/>
      </c>
      <c r="I278" s="263" t="b">
        <v>0</v>
      </c>
      <c r="J278" s="266"/>
      <c r="K278" s="266"/>
      <c r="L278" s="266"/>
      <c r="M278" s="266"/>
      <c r="N278" s="266"/>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c r="BD278" s="239"/>
      <c r="BE278" s="239"/>
      <c r="BF278" s="239"/>
      <c r="BG278" s="239"/>
      <c r="BH278" s="239"/>
      <c r="BI278" s="239"/>
    </row>
    <row r="279">
      <c r="A279" s="239"/>
      <c r="B279" s="239"/>
      <c r="C279" s="263" t="b">
        <v>0</v>
      </c>
      <c r="D279" s="264"/>
      <c r="E279" s="264"/>
      <c r="F279" s="264"/>
      <c r="G279" s="270"/>
      <c r="H279" s="266" t="str">
        <f t="shared" si="2"/>
        <v/>
      </c>
      <c r="I279" s="263" t="b">
        <v>0</v>
      </c>
      <c r="J279" s="266"/>
      <c r="K279" s="266"/>
      <c r="L279" s="266"/>
      <c r="M279" s="266"/>
      <c r="N279" s="266"/>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c r="BD279" s="239"/>
      <c r="BE279" s="239"/>
      <c r="BF279" s="239"/>
      <c r="BG279" s="239"/>
      <c r="BH279" s="239"/>
      <c r="BI279" s="239"/>
    </row>
    <row r="280">
      <c r="A280" s="239"/>
      <c r="B280" s="239"/>
      <c r="C280" s="263" t="b">
        <v>0</v>
      </c>
      <c r="D280" s="264"/>
      <c r="E280" s="264"/>
      <c r="F280" s="264"/>
      <c r="G280" s="270"/>
      <c r="H280" s="266" t="str">
        <f t="shared" si="2"/>
        <v/>
      </c>
      <c r="I280" s="263" t="b">
        <v>0</v>
      </c>
      <c r="J280" s="266"/>
      <c r="K280" s="266"/>
      <c r="L280" s="266"/>
      <c r="M280" s="266"/>
      <c r="N280" s="266"/>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c r="BD280" s="239"/>
      <c r="BE280" s="239"/>
      <c r="BF280" s="239"/>
      <c r="BG280" s="239"/>
      <c r="BH280" s="239"/>
      <c r="BI280" s="239"/>
    </row>
    <row r="281">
      <c r="A281" s="239"/>
      <c r="B281" s="239"/>
      <c r="C281" s="263" t="b">
        <v>0</v>
      </c>
      <c r="D281" s="264"/>
      <c r="E281" s="264"/>
      <c r="F281" s="264"/>
      <c r="G281" s="270"/>
      <c r="H281" s="266" t="str">
        <f t="shared" si="2"/>
        <v/>
      </c>
      <c r="I281" s="263" t="b">
        <v>0</v>
      </c>
      <c r="J281" s="266"/>
      <c r="K281" s="266"/>
      <c r="L281" s="266"/>
      <c r="M281" s="266"/>
      <c r="N281" s="266"/>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c r="BD281" s="239"/>
      <c r="BE281" s="239"/>
      <c r="BF281" s="239"/>
      <c r="BG281" s="239"/>
      <c r="BH281" s="239"/>
      <c r="BI281" s="239"/>
    </row>
    <row r="282">
      <c r="A282" s="239"/>
      <c r="B282" s="239"/>
      <c r="C282" s="263" t="b">
        <v>0</v>
      </c>
      <c r="D282" s="264"/>
      <c r="E282" s="264"/>
      <c r="F282" s="264"/>
      <c r="G282" s="270"/>
      <c r="H282" s="266" t="str">
        <f t="shared" si="2"/>
        <v/>
      </c>
      <c r="I282" s="263" t="b">
        <v>0</v>
      </c>
      <c r="J282" s="266"/>
      <c r="K282" s="266"/>
      <c r="L282" s="266"/>
      <c r="M282" s="266"/>
      <c r="N282" s="266"/>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c r="BD282" s="239"/>
      <c r="BE282" s="239"/>
      <c r="BF282" s="239"/>
      <c r="BG282" s="239"/>
      <c r="BH282" s="239"/>
      <c r="BI282" s="239"/>
    </row>
    <row r="283">
      <c r="A283" s="239"/>
      <c r="B283" s="239"/>
      <c r="C283" s="263" t="b">
        <v>0</v>
      </c>
      <c r="D283" s="264"/>
      <c r="E283" s="264"/>
      <c r="F283" s="264"/>
      <c r="G283" s="270"/>
      <c r="H283" s="266" t="str">
        <f t="shared" si="2"/>
        <v/>
      </c>
      <c r="I283" s="263" t="b">
        <v>0</v>
      </c>
      <c r="J283" s="266"/>
      <c r="K283" s="266"/>
      <c r="L283" s="266"/>
      <c r="M283" s="266"/>
      <c r="N283" s="266"/>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c r="BD283" s="239"/>
      <c r="BE283" s="239"/>
      <c r="BF283" s="239"/>
      <c r="BG283" s="239"/>
      <c r="BH283" s="239"/>
      <c r="BI283" s="239"/>
    </row>
    <row r="284">
      <c r="A284" s="239"/>
      <c r="B284" s="239"/>
      <c r="C284" s="263" t="b">
        <v>0</v>
      </c>
      <c r="D284" s="264"/>
      <c r="E284" s="264"/>
      <c r="F284" s="264"/>
      <c r="G284" s="270"/>
      <c r="H284" s="266" t="str">
        <f t="shared" si="2"/>
        <v/>
      </c>
      <c r="I284" s="263" t="b">
        <v>0</v>
      </c>
      <c r="J284" s="266"/>
      <c r="K284" s="266"/>
      <c r="L284" s="266"/>
      <c r="M284" s="266"/>
      <c r="N284" s="266"/>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c r="BD284" s="239"/>
      <c r="BE284" s="239"/>
      <c r="BF284" s="239"/>
      <c r="BG284" s="239"/>
      <c r="BH284" s="239"/>
      <c r="BI284" s="239"/>
    </row>
    <row r="285">
      <c r="A285" s="239"/>
      <c r="B285" s="239"/>
      <c r="C285" s="263" t="b">
        <v>0</v>
      </c>
      <c r="D285" s="264"/>
      <c r="E285" s="264"/>
      <c r="F285" s="264"/>
      <c r="G285" s="270"/>
      <c r="H285" s="266" t="str">
        <f t="shared" si="2"/>
        <v/>
      </c>
      <c r="I285" s="263" t="b">
        <v>0</v>
      </c>
      <c r="J285" s="266"/>
      <c r="K285" s="266"/>
      <c r="L285" s="266"/>
      <c r="M285" s="266"/>
      <c r="N285" s="266"/>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c r="BD285" s="239"/>
      <c r="BE285" s="239"/>
      <c r="BF285" s="239"/>
      <c r="BG285" s="239"/>
      <c r="BH285" s="239"/>
      <c r="BI285" s="239"/>
    </row>
    <row r="286">
      <c r="A286" s="239"/>
      <c r="B286" s="239"/>
      <c r="C286" s="263" t="b">
        <v>0</v>
      </c>
      <c r="D286" s="264"/>
      <c r="E286" s="264"/>
      <c r="F286" s="264"/>
      <c r="G286" s="270"/>
      <c r="H286" s="266" t="str">
        <f t="shared" si="2"/>
        <v/>
      </c>
      <c r="I286" s="263" t="b">
        <v>0</v>
      </c>
      <c r="J286" s="266"/>
      <c r="K286" s="266"/>
      <c r="L286" s="266"/>
      <c r="M286" s="266"/>
      <c r="N286" s="266"/>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c r="BD286" s="239"/>
      <c r="BE286" s="239"/>
      <c r="BF286" s="239"/>
      <c r="BG286" s="239"/>
      <c r="BH286" s="239"/>
      <c r="BI286" s="239"/>
    </row>
    <row r="287">
      <c r="A287" s="239"/>
      <c r="B287" s="239"/>
      <c r="C287" s="263" t="b">
        <v>0</v>
      </c>
      <c r="D287" s="264"/>
      <c r="E287" s="264"/>
      <c r="F287" s="264"/>
      <c r="G287" s="270"/>
      <c r="H287" s="266" t="str">
        <f t="shared" si="2"/>
        <v/>
      </c>
      <c r="I287" s="263" t="b">
        <v>0</v>
      </c>
      <c r="J287" s="266"/>
      <c r="K287" s="266"/>
      <c r="L287" s="266"/>
      <c r="M287" s="266"/>
      <c r="N287" s="266"/>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c r="BD287" s="239"/>
      <c r="BE287" s="239"/>
      <c r="BF287" s="239"/>
      <c r="BG287" s="239"/>
      <c r="BH287" s="239"/>
      <c r="BI287" s="239"/>
    </row>
    <row r="288">
      <c r="A288" s="239"/>
      <c r="B288" s="239"/>
      <c r="C288" s="263" t="b">
        <v>0</v>
      </c>
      <c r="D288" s="264"/>
      <c r="E288" s="264"/>
      <c r="F288" s="264"/>
      <c r="G288" s="270"/>
      <c r="H288" s="266" t="str">
        <f t="shared" si="2"/>
        <v/>
      </c>
      <c r="I288" s="263" t="b">
        <v>0</v>
      </c>
      <c r="J288" s="266"/>
      <c r="K288" s="266"/>
      <c r="L288" s="266"/>
      <c r="M288" s="266"/>
      <c r="N288" s="266"/>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c r="BD288" s="239"/>
      <c r="BE288" s="239"/>
      <c r="BF288" s="239"/>
      <c r="BG288" s="239"/>
      <c r="BH288" s="239"/>
      <c r="BI288" s="239"/>
    </row>
    <row r="289">
      <c r="A289" s="239"/>
      <c r="B289" s="239"/>
      <c r="C289" s="263" t="b">
        <v>0</v>
      </c>
      <c r="D289" s="264"/>
      <c r="E289" s="264"/>
      <c r="F289" s="264"/>
      <c r="G289" s="270"/>
      <c r="H289" s="266" t="str">
        <f t="shared" si="2"/>
        <v/>
      </c>
      <c r="I289" s="263" t="b">
        <v>0</v>
      </c>
      <c r="J289" s="266"/>
      <c r="K289" s="266"/>
      <c r="L289" s="266"/>
      <c r="M289" s="266"/>
      <c r="N289" s="266"/>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c r="BD289" s="239"/>
      <c r="BE289" s="239"/>
      <c r="BF289" s="239"/>
      <c r="BG289" s="239"/>
      <c r="BH289" s="239"/>
      <c r="BI289" s="239"/>
    </row>
    <row r="290">
      <c r="A290" s="239"/>
      <c r="B290" s="239"/>
      <c r="C290" s="263" t="b">
        <v>0</v>
      </c>
      <c r="D290" s="264"/>
      <c r="E290" s="264"/>
      <c r="F290" s="264"/>
      <c r="G290" s="270"/>
      <c r="H290" s="266" t="str">
        <f t="shared" si="2"/>
        <v/>
      </c>
      <c r="I290" s="263" t="b">
        <v>0</v>
      </c>
      <c r="J290" s="266"/>
      <c r="K290" s="266"/>
      <c r="L290" s="266"/>
      <c r="M290" s="266"/>
      <c r="N290" s="266"/>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c r="BD290" s="239"/>
      <c r="BE290" s="239"/>
      <c r="BF290" s="239"/>
      <c r="BG290" s="239"/>
      <c r="BH290" s="239"/>
      <c r="BI290" s="239"/>
    </row>
    <row r="291">
      <c r="A291" s="239"/>
      <c r="B291" s="239"/>
      <c r="C291" s="263" t="b">
        <v>0</v>
      </c>
      <c r="D291" s="264"/>
      <c r="E291" s="264"/>
      <c r="F291" s="264"/>
      <c r="G291" s="270"/>
      <c r="H291" s="266" t="str">
        <f t="shared" si="2"/>
        <v/>
      </c>
      <c r="I291" s="263" t="b">
        <v>0</v>
      </c>
      <c r="J291" s="266"/>
      <c r="K291" s="266"/>
      <c r="L291" s="266"/>
      <c r="M291" s="266"/>
      <c r="N291" s="266"/>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c r="BD291" s="239"/>
      <c r="BE291" s="239"/>
      <c r="BF291" s="239"/>
      <c r="BG291" s="239"/>
      <c r="BH291" s="239"/>
      <c r="BI291" s="239"/>
    </row>
    <row r="292">
      <c r="A292" s="239"/>
      <c r="B292" s="239"/>
      <c r="C292" s="263" t="b">
        <v>0</v>
      </c>
      <c r="D292" s="264"/>
      <c r="E292" s="264"/>
      <c r="F292" s="264"/>
      <c r="G292" s="270"/>
      <c r="H292" s="266" t="str">
        <f t="shared" si="2"/>
        <v/>
      </c>
      <c r="I292" s="263" t="b">
        <v>0</v>
      </c>
      <c r="J292" s="266"/>
      <c r="K292" s="266"/>
      <c r="L292" s="266"/>
      <c r="M292" s="266"/>
      <c r="N292" s="266"/>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c r="BD292" s="239"/>
      <c r="BE292" s="239"/>
      <c r="BF292" s="239"/>
      <c r="BG292" s="239"/>
      <c r="BH292" s="239"/>
      <c r="BI292" s="239"/>
    </row>
    <row r="293">
      <c r="A293" s="239"/>
      <c r="B293" s="239"/>
      <c r="C293" s="263" t="b">
        <v>0</v>
      </c>
      <c r="D293" s="264"/>
      <c r="E293" s="264"/>
      <c r="F293" s="264"/>
      <c r="G293" s="270"/>
      <c r="H293" s="266" t="str">
        <f t="shared" si="2"/>
        <v/>
      </c>
      <c r="I293" s="263" t="b">
        <v>0</v>
      </c>
      <c r="J293" s="266"/>
      <c r="K293" s="266"/>
      <c r="L293" s="266"/>
      <c r="M293" s="266"/>
      <c r="N293" s="266"/>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c r="BD293" s="239"/>
      <c r="BE293" s="239"/>
      <c r="BF293" s="239"/>
      <c r="BG293" s="239"/>
      <c r="BH293" s="239"/>
      <c r="BI293" s="239"/>
    </row>
    <row r="294">
      <c r="A294" s="239"/>
      <c r="B294" s="239"/>
      <c r="C294" s="263" t="b">
        <v>0</v>
      </c>
      <c r="D294" s="264"/>
      <c r="E294" s="264"/>
      <c r="F294" s="264"/>
      <c r="G294" s="270"/>
      <c r="H294" s="266" t="str">
        <f t="shared" si="2"/>
        <v/>
      </c>
      <c r="I294" s="263" t="b">
        <v>0</v>
      </c>
      <c r="J294" s="266"/>
      <c r="K294" s="266"/>
      <c r="L294" s="266"/>
      <c r="M294" s="266"/>
      <c r="N294" s="266"/>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c r="BD294" s="239"/>
      <c r="BE294" s="239"/>
      <c r="BF294" s="239"/>
      <c r="BG294" s="239"/>
      <c r="BH294" s="239"/>
      <c r="BI294" s="239"/>
    </row>
    <row r="295">
      <c r="A295" s="239"/>
      <c r="B295" s="239"/>
      <c r="C295" s="263" t="b">
        <v>0</v>
      </c>
      <c r="D295" s="264"/>
      <c r="E295" s="264"/>
      <c r="F295" s="264"/>
      <c r="G295" s="270"/>
      <c r="H295" s="266" t="str">
        <f t="shared" si="2"/>
        <v/>
      </c>
      <c r="I295" s="263" t="b">
        <v>0</v>
      </c>
      <c r="J295" s="266"/>
      <c r="K295" s="266"/>
      <c r="L295" s="266"/>
      <c r="M295" s="266"/>
      <c r="N295" s="266"/>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c r="BD295" s="239"/>
      <c r="BE295" s="239"/>
      <c r="BF295" s="239"/>
      <c r="BG295" s="239"/>
      <c r="BH295" s="239"/>
      <c r="BI295" s="239"/>
    </row>
    <row r="296">
      <c r="A296" s="239"/>
      <c r="B296" s="239"/>
      <c r="C296" s="263" t="b">
        <v>0</v>
      </c>
      <c r="D296" s="264"/>
      <c r="E296" s="264"/>
      <c r="F296" s="264"/>
      <c r="G296" s="270"/>
      <c r="H296" s="266" t="str">
        <f t="shared" si="2"/>
        <v/>
      </c>
      <c r="I296" s="263" t="b">
        <v>0</v>
      </c>
      <c r="J296" s="266"/>
      <c r="K296" s="266"/>
      <c r="L296" s="266"/>
      <c r="M296" s="266"/>
      <c r="N296" s="266"/>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c r="BD296" s="239"/>
      <c r="BE296" s="239"/>
      <c r="BF296" s="239"/>
      <c r="BG296" s="239"/>
      <c r="BH296" s="239"/>
      <c r="BI296" s="239"/>
    </row>
    <row r="297">
      <c r="A297" s="239"/>
      <c r="B297" s="239"/>
      <c r="C297" s="263" t="b">
        <v>0</v>
      </c>
      <c r="D297" s="264"/>
      <c r="E297" s="264"/>
      <c r="F297" s="264"/>
      <c r="G297" s="270"/>
      <c r="H297" s="266" t="str">
        <f t="shared" si="2"/>
        <v/>
      </c>
      <c r="I297" s="263" t="b">
        <v>0</v>
      </c>
      <c r="J297" s="266"/>
      <c r="K297" s="266"/>
      <c r="L297" s="266"/>
      <c r="M297" s="266"/>
      <c r="N297" s="266"/>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c r="BD297" s="239"/>
      <c r="BE297" s="239"/>
      <c r="BF297" s="239"/>
      <c r="BG297" s="239"/>
      <c r="BH297" s="239"/>
      <c r="BI297" s="239"/>
    </row>
    <row r="298">
      <c r="A298" s="239"/>
      <c r="B298" s="239"/>
      <c r="C298" s="263" t="b">
        <v>0</v>
      </c>
      <c r="D298" s="264"/>
      <c r="E298" s="264"/>
      <c r="F298" s="264"/>
      <c r="G298" s="270"/>
      <c r="H298" s="266" t="str">
        <f t="shared" si="2"/>
        <v/>
      </c>
      <c r="I298" s="263" t="b">
        <v>0</v>
      </c>
      <c r="J298" s="266"/>
      <c r="K298" s="266"/>
      <c r="L298" s="266"/>
      <c r="M298" s="266"/>
      <c r="N298" s="266"/>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c r="BD298" s="239"/>
      <c r="BE298" s="239"/>
      <c r="BF298" s="239"/>
      <c r="BG298" s="239"/>
      <c r="BH298" s="239"/>
      <c r="BI298" s="239"/>
    </row>
    <row r="299">
      <c r="A299" s="239"/>
      <c r="B299" s="239"/>
      <c r="C299" s="263" t="b">
        <v>0</v>
      </c>
      <c r="D299" s="264"/>
      <c r="E299" s="264"/>
      <c r="F299" s="264"/>
      <c r="G299" s="270"/>
      <c r="H299" s="266" t="str">
        <f t="shared" si="2"/>
        <v/>
      </c>
      <c r="I299" s="263" t="b">
        <v>0</v>
      </c>
      <c r="J299" s="266"/>
      <c r="K299" s="266"/>
      <c r="L299" s="266"/>
      <c r="M299" s="266"/>
      <c r="N299" s="266"/>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row>
    <row r="300">
      <c r="A300" s="239"/>
      <c r="B300" s="239"/>
      <c r="C300" s="263" t="b">
        <v>0</v>
      </c>
      <c r="D300" s="264"/>
      <c r="E300" s="264"/>
      <c r="F300" s="264"/>
      <c r="G300" s="270"/>
      <c r="H300" s="266" t="str">
        <f t="shared" si="2"/>
        <v/>
      </c>
      <c r="I300" s="263" t="b">
        <v>0</v>
      </c>
      <c r="J300" s="266"/>
      <c r="K300" s="266"/>
      <c r="L300" s="266"/>
      <c r="M300" s="266"/>
      <c r="N300" s="266"/>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c r="BD300" s="239"/>
      <c r="BE300" s="239"/>
      <c r="BF300" s="239"/>
      <c r="BG300" s="239"/>
      <c r="BH300" s="239"/>
      <c r="BI300" s="239"/>
    </row>
    <row r="301">
      <c r="A301" s="239"/>
      <c r="B301" s="239"/>
      <c r="C301" s="263" t="b">
        <v>0</v>
      </c>
      <c r="D301" s="264"/>
      <c r="E301" s="264"/>
      <c r="F301" s="264"/>
      <c r="G301" s="270"/>
      <c r="H301" s="266" t="str">
        <f t="shared" si="2"/>
        <v/>
      </c>
      <c r="I301" s="263" t="b">
        <v>0</v>
      </c>
      <c r="J301" s="266"/>
      <c r="K301" s="266"/>
      <c r="L301" s="266"/>
      <c r="M301" s="266"/>
      <c r="N301" s="266"/>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c r="BD301" s="239"/>
      <c r="BE301" s="239"/>
      <c r="BF301" s="239"/>
      <c r="BG301" s="239"/>
      <c r="BH301" s="239"/>
      <c r="BI301" s="239"/>
    </row>
    <row r="302">
      <c r="A302" s="239"/>
      <c r="B302" s="239"/>
      <c r="C302" s="263" t="b">
        <v>0</v>
      </c>
      <c r="D302" s="264"/>
      <c r="E302" s="264"/>
      <c r="F302" s="264"/>
      <c r="G302" s="270"/>
      <c r="H302" s="266" t="str">
        <f t="shared" si="2"/>
        <v/>
      </c>
      <c r="I302" s="263" t="b">
        <v>0</v>
      </c>
      <c r="J302" s="266"/>
      <c r="K302" s="266"/>
      <c r="L302" s="266"/>
      <c r="M302" s="266"/>
      <c r="N302" s="266"/>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c r="BD302" s="239"/>
      <c r="BE302" s="239"/>
      <c r="BF302" s="239"/>
      <c r="BG302" s="239"/>
      <c r="BH302" s="239"/>
      <c r="BI302" s="239"/>
    </row>
    <row r="303">
      <c r="A303" s="239"/>
      <c r="B303" s="239"/>
      <c r="C303" s="263" t="b">
        <v>0</v>
      </c>
      <c r="D303" s="264"/>
      <c r="E303" s="264"/>
      <c r="F303" s="264"/>
      <c r="G303" s="270"/>
      <c r="H303" s="266" t="str">
        <f t="shared" si="2"/>
        <v/>
      </c>
      <c r="I303" s="263" t="b">
        <v>0</v>
      </c>
      <c r="J303" s="266"/>
      <c r="K303" s="266"/>
      <c r="L303" s="266"/>
      <c r="M303" s="266"/>
      <c r="N303" s="266"/>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c r="BD303" s="239"/>
      <c r="BE303" s="239"/>
      <c r="BF303" s="239"/>
      <c r="BG303" s="239"/>
      <c r="BH303" s="239"/>
      <c r="BI303" s="239"/>
    </row>
    <row r="304">
      <c r="A304" s="239"/>
      <c r="B304" s="239"/>
      <c r="C304" s="263" t="b">
        <v>0</v>
      </c>
      <c r="D304" s="264"/>
      <c r="E304" s="264"/>
      <c r="F304" s="264"/>
      <c r="G304" s="270"/>
      <c r="H304" s="266" t="str">
        <f t="shared" si="2"/>
        <v/>
      </c>
      <c r="I304" s="263" t="b">
        <v>0</v>
      </c>
      <c r="J304" s="266"/>
      <c r="K304" s="266"/>
      <c r="L304" s="266"/>
      <c r="M304" s="266"/>
      <c r="N304" s="266"/>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c r="BD304" s="239"/>
      <c r="BE304" s="239"/>
      <c r="BF304" s="239"/>
      <c r="BG304" s="239"/>
      <c r="BH304" s="239"/>
      <c r="BI304" s="239"/>
    </row>
    <row r="305">
      <c r="A305" s="239"/>
      <c r="B305" s="239"/>
      <c r="C305" s="263" t="b">
        <v>0</v>
      </c>
      <c r="D305" s="264"/>
      <c r="E305" s="264"/>
      <c r="F305" s="264"/>
      <c r="G305" s="270"/>
      <c r="H305" s="266" t="str">
        <f t="shared" si="2"/>
        <v/>
      </c>
      <c r="I305" s="263" t="b">
        <v>0</v>
      </c>
      <c r="J305" s="266"/>
      <c r="K305" s="266"/>
      <c r="L305" s="266"/>
      <c r="M305" s="266"/>
      <c r="N305" s="266"/>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c r="BD305" s="239"/>
      <c r="BE305" s="239"/>
      <c r="BF305" s="239"/>
      <c r="BG305" s="239"/>
      <c r="BH305" s="239"/>
      <c r="BI305" s="239"/>
    </row>
    <row r="306">
      <c r="A306" s="239"/>
      <c r="B306" s="239"/>
      <c r="C306" s="263" t="b">
        <v>0</v>
      </c>
      <c r="D306" s="264"/>
      <c r="E306" s="264"/>
      <c r="F306" s="264"/>
      <c r="G306" s="270"/>
      <c r="H306" s="266" t="str">
        <f t="shared" si="2"/>
        <v/>
      </c>
      <c r="I306" s="263" t="b">
        <v>0</v>
      </c>
      <c r="J306" s="266"/>
      <c r="K306" s="266"/>
      <c r="L306" s="266"/>
      <c r="M306" s="266"/>
      <c r="N306" s="266"/>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c r="BD306" s="239"/>
      <c r="BE306" s="239"/>
      <c r="BF306" s="239"/>
      <c r="BG306" s="239"/>
      <c r="BH306" s="239"/>
      <c r="BI306" s="239"/>
    </row>
    <row r="307">
      <c r="A307" s="239"/>
      <c r="B307" s="239"/>
      <c r="C307" s="263" t="b">
        <v>0</v>
      </c>
      <c r="D307" s="264"/>
      <c r="E307" s="264"/>
      <c r="F307" s="264"/>
      <c r="G307" s="270"/>
      <c r="H307" s="266" t="str">
        <f t="shared" si="2"/>
        <v/>
      </c>
      <c r="I307" s="263" t="b">
        <v>0</v>
      </c>
      <c r="J307" s="266"/>
      <c r="K307" s="266"/>
      <c r="L307" s="266"/>
      <c r="M307" s="266"/>
      <c r="N307" s="266"/>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c r="BD307" s="239"/>
      <c r="BE307" s="239"/>
      <c r="BF307" s="239"/>
      <c r="BG307" s="239"/>
      <c r="BH307" s="239"/>
      <c r="BI307" s="239"/>
    </row>
    <row r="308">
      <c r="A308" s="239"/>
      <c r="B308" s="239"/>
      <c r="C308" s="263" t="b">
        <v>0</v>
      </c>
      <c r="D308" s="264"/>
      <c r="E308" s="264"/>
      <c r="F308" s="264"/>
      <c r="G308" s="270"/>
      <c r="H308" s="266" t="str">
        <f t="shared" si="2"/>
        <v/>
      </c>
      <c r="I308" s="263" t="b">
        <v>0</v>
      </c>
      <c r="J308" s="266"/>
      <c r="K308" s="266"/>
      <c r="L308" s="266"/>
      <c r="M308" s="266"/>
      <c r="N308" s="266"/>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c r="BD308" s="239"/>
      <c r="BE308" s="239"/>
      <c r="BF308" s="239"/>
      <c r="BG308" s="239"/>
      <c r="BH308" s="239"/>
      <c r="BI308" s="239"/>
    </row>
    <row r="309">
      <c r="A309" s="239"/>
      <c r="B309" s="239"/>
      <c r="C309" s="263" t="b">
        <v>0</v>
      </c>
      <c r="D309" s="264"/>
      <c r="E309" s="264"/>
      <c r="F309" s="264"/>
      <c r="G309" s="270"/>
      <c r="H309" s="266" t="str">
        <f t="shared" si="2"/>
        <v/>
      </c>
      <c r="I309" s="263" t="b">
        <v>0</v>
      </c>
      <c r="J309" s="266"/>
      <c r="K309" s="266"/>
      <c r="L309" s="266"/>
      <c r="M309" s="266"/>
      <c r="N309" s="266"/>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row>
    <row r="310">
      <c r="A310" s="239"/>
      <c r="B310" s="239"/>
      <c r="C310" s="263" t="b">
        <v>0</v>
      </c>
      <c r="D310" s="264"/>
      <c r="E310" s="264"/>
      <c r="F310" s="264"/>
      <c r="G310" s="270"/>
      <c r="H310" s="266" t="str">
        <f t="shared" si="2"/>
        <v/>
      </c>
      <c r="I310" s="263" t="b">
        <v>0</v>
      </c>
      <c r="J310" s="266"/>
      <c r="K310" s="266"/>
      <c r="L310" s="266"/>
      <c r="M310" s="266"/>
      <c r="N310" s="266"/>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c r="BD310" s="239"/>
      <c r="BE310" s="239"/>
      <c r="BF310" s="239"/>
      <c r="BG310" s="239"/>
      <c r="BH310" s="239"/>
      <c r="BI310" s="239"/>
    </row>
    <row r="311">
      <c r="A311" s="239"/>
      <c r="B311" s="239"/>
      <c r="C311" s="263" t="b">
        <v>0</v>
      </c>
      <c r="D311" s="264"/>
      <c r="E311" s="264"/>
      <c r="F311" s="264"/>
      <c r="G311" s="270"/>
      <c r="H311" s="266" t="str">
        <f t="shared" si="2"/>
        <v/>
      </c>
      <c r="I311" s="263" t="b">
        <v>0</v>
      </c>
      <c r="J311" s="266"/>
      <c r="K311" s="266"/>
      <c r="L311" s="266"/>
      <c r="M311" s="266"/>
      <c r="N311" s="266"/>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c r="BD311" s="239"/>
      <c r="BE311" s="239"/>
      <c r="BF311" s="239"/>
      <c r="BG311" s="239"/>
      <c r="BH311" s="239"/>
      <c r="BI311" s="239"/>
    </row>
    <row r="312">
      <c r="A312" s="239"/>
      <c r="B312" s="239"/>
      <c r="C312" s="263" t="b">
        <v>0</v>
      </c>
      <c r="D312" s="264"/>
      <c r="E312" s="264"/>
      <c r="F312" s="264"/>
      <c r="G312" s="270"/>
      <c r="H312" s="266" t="str">
        <f t="shared" si="2"/>
        <v/>
      </c>
      <c r="I312" s="263" t="b">
        <v>0</v>
      </c>
      <c r="J312" s="266"/>
      <c r="K312" s="266"/>
      <c r="L312" s="266"/>
      <c r="M312" s="266"/>
      <c r="N312" s="266"/>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c r="BD312" s="239"/>
      <c r="BE312" s="239"/>
      <c r="BF312" s="239"/>
      <c r="BG312" s="239"/>
      <c r="BH312" s="239"/>
      <c r="BI312" s="239"/>
    </row>
    <row r="313">
      <c r="A313" s="239"/>
      <c r="B313" s="239"/>
      <c r="C313" s="263" t="b">
        <v>0</v>
      </c>
      <c r="D313" s="264"/>
      <c r="E313" s="264"/>
      <c r="F313" s="264"/>
      <c r="G313" s="270"/>
      <c r="H313" s="266" t="str">
        <f t="shared" si="2"/>
        <v/>
      </c>
      <c r="I313" s="263" t="b">
        <v>0</v>
      </c>
      <c r="J313" s="266"/>
      <c r="K313" s="266"/>
      <c r="L313" s="266"/>
      <c r="M313" s="266"/>
      <c r="N313" s="266"/>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c r="BD313" s="239"/>
      <c r="BE313" s="239"/>
      <c r="BF313" s="239"/>
      <c r="BG313" s="239"/>
      <c r="BH313" s="239"/>
      <c r="BI313" s="239"/>
    </row>
    <row r="314">
      <c r="A314" s="239"/>
      <c r="B314" s="239"/>
      <c r="C314" s="263" t="b">
        <v>0</v>
      </c>
      <c r="D314" s="264"/>
      <c r="E314" s="264"/>
      <c r="F314" s="264"/>
      <c r="G314" s="270"/>
      <c r="H314" s="266" t="str">
        <f t="shared" si="2"/>
        <v/>
      </c>
      <c r="I314" s="263" t="b">
        <v>0</v>
      </c>
      <c r="J314" s="266"/>
      <c r="K314" s="266"/>
      <c r="L314" s="266"/>
      <c r="M314" s="266"/>
      <c r="N314" s="266"/>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c r="BD314" s="239"/>
      <c r="BE314" s="239"/>
      <c r="BF314" s="239"/>
      <c r="BG314" s="239"/>
      <c r="BH314" s="239"/>
      <c r="BI314" s="239"/>
    </row>
    <row r="315">
      <c r="A315" s="239"/>
      <c r="B315" s="239"/>
      <c r="C315" s="263" t="b">
        <v>0</v>
      </c>
      <c r="D315" s="264"/>
      <c r="E315" s="264"/>
      <c r="F315" s="264"/>
      <c r="G315" s="270"/>
      <c r="H315" s="266" t="str">
        <f t="shared" si="2"/>
        <v/>
      </c>
      <c r="I315" s="263" t="b">
        <v>0</v>
      </c>
      <c r="J315" s="266"/>
      <c r="K315" s="266"/>
      <c r="L315" s="266"/>
      <c r="M315" s="266"/>
      <c r="N315" s="266"/>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c r="BD315" s="239"/>
      <c r="BE315" s="239"/>
      <c r="BF315" s="239"/>
      <c r="BG315" s="239"/>
      <c r="BH315" s="239"/>
      <c r="BI315" s="239"/>
    </row>
    <row r="316">
      <c r="A316" s="239"/>
      <c r="B316" s="239"/>
      <c r="C316" s="263" t="b">
        <v>0</v>
      </c>
      <c r="D316" s="264"/>
      <c r="E316" s="264"/>
      <c r="F316" s="264"/>
      <c r="G316" s="270"/>
      <c r="H316" s="266" t="str">
        <f t="shared" si="2"/>
        <v/>
      </c>
      <c r="I316" s="263" t="b">
        <v>0</v>
      </c>
      <c r="J316" s="266"/>
      <c r="K316" s="266"/>
      <c r="L316" s="266"/>
      <c r="M316" s="266"/>
      <c r="N316" s="266"/>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c r="BD316" s="239"/>
      <c r="BE316" s="239"/>
      <c r="BF316" s="239"/>
      <c r="BG316" s="239"/>
      <c r="BH316" s="239"/>
      <c r="BI316" s="239"/>
    </row>
    <row r="317">
      <c r="A317" s="239"/>
      <c r="B317" s="239"/>
      <c r="C317" s="263" t="b">
        <v>0</v>
      </c>
      <c r="D317" s="264"/>
      <c r="E317" s="264"/>
      <c r="F317" s="264"/>
      <c r="G317" s="270"/>
      <c r="H317" s="266" t="str">
        <f t="shared" si="2"/>
        <v/>
      </c>
      <c r="I317" s="263" t="b">
        <v>0</v>
      </c>
      <c r="J317" s="266"/>
      <c r="K317" s="266"/>
      <c r="L317" s="266"/>
      <c r="M317" s="266"/>
      <c r="N317" s="266"/>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c r="BD317" s="239"/>
      <c r="BE317" s="239"/>
      <c r="BF317" s="239"/>
      <c r="BG317" s="239"/>
      <c r="BH317" s="239"/>
      <c r="BI317" s="239"/>
    </row>
    <row r="318">
      <c r="A318" s="239"/>
      <c r="B318" s="239"/>
      <c r="C318" s="263" t="b">
        <v>0</v>
      </c>
      <c r="D318" s="264"/>
      <c r="E318" s="264"/>
      <c r="F318" s="264"/>
      <c r="G318" s="270"/>
      <c r="H318" s="266" t="str">
        <f t="shared" si="2"/>
        <v/>
      </c>
      <c r="I318" s="263" t="b">
        <v>0</v>
      </c>
      <c r="J318" s="266"/>
      <c r="K318" s="266"/>
      <c r="L318" s="266"/>
      <c r="M318" s="266"/>
      <c r="N318" s="266"/>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c r="BD318" s="239"/>
      <c r="BE318" s="239"/>
      <c r="BF318" s="239"/>
      <c r="BG318" s="239"/>
      <c r="BH318" s="239"/>
      <c r="BI318" s="239"/>
    </row>
    <row r="319">
      <c r="A319" s="239"/>
      <c r="B319" s="239"/>
      <c r="C319" s="263" t="b">
        <v>0</v>
      </c>
      <c r="D319" s="264"/>
      <c r="E319" s="264"/>
      <c r="F319" s="264"/>
      <c r="G319" s="270"/>
      <c r="H319" s="266" t="str">
        <f t="shared" si="2"/>
        <v/>
      </c>
      <c r="I319" s="263" t="b">
        <v>0</v>
      </c>
      <c r="J319" s="266"/>
      <c r="K319" s="266"/>
      <c r="L319" s="266"/>
      <c r="M319" s="266"/>
      <c r="N319" s="266"/>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row>
    <row r="320">
      <c r="A320" s="239"/>
      <c r="B320" s="239"/>
      <c r="C320" s="263" t="b">
        <v>0</v>
      </c>
      <c r="D320" s="264"/>
      <c r="E320" s="264"/>
      <c r="F320" s="264"/>
      <c r="G320" s="270"/>
      <c r="H320" s="266" t="str">
        <f t="shared" si="2"/>
        <v/>
      </c>
      <c r="I320" s="263" t="b">
        <v>0</v>
      </c>
      <c r="J320" s="266"/>
      <c r="K320" s="266"/>
      <c r="L320" s="266"/>
      <c r="M320" s="266"/>
      <c r="N320" s="266"/>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c r="BD320" s="239"/>
      <c r="BE320" s="239"/>
      <c r="BF320" s="239"/>
      <c r="BG320" s="239"/>
      <c r="BH320" s="239"/>
      <c r="BI320" s="239"/>
    </row>
    <row r="321">
      <c r="A321" s="239"/>
      <c r="B321" s="239"/>
      <c r="C321" s="263" t="b">
        <v>0</v>
      </c>
      <c r="D321" s="264"/>
      <c r="E321" s="264"/>
      <c r="F321" s="264"/>
      <c r="G321" s="270"/>
      <c r="H321" s="266" t="str">
        <f t="shared" si="2"/>
        <v/>
      </c>
      <c r="I321" s="263" t="b">
        <v>0</v>
      </c>
      <c r="J321" s="266"/>
      <c r="K321" s="266"/>
      <c r="L321" s="266"/>
      <c r="M321" s="266"/>
      <c r="N321" s="266"/>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c r="BD321" s="239"/>
      <c r="BE321" s="239"/>
      <c r="BF321" s="239"/>
      <c r="BG321" s="239"/>
      <c r="BH321" s="239"/>
      <c r="BI321" s="239"/>
    </row>
    <row r="322">
      <c r="A322" s="239"/>
      <c r="B322" s="239"/>
      <c r="C322" s="263" t="b">
        <v>0</v>
      </c>
      <c r="D322" s="264"/>
      <c r="E322" s="264"/>
      <c r="F322" s="264"/>
      <c r="G322" s="270"/>
      <c r="H322" s="266" t="str">
        <f t="shared" si="2"/>
        <v/>
      </c>
      <c r="I322" s="263" t="b">
        <v>0</v>
      </c>
      <c r="J322" s="266"/>
      <c r="K322" s="266"/>
      <c r="L322" s="266"/>
      <c r="M322" s="266"/>
      <c r="N322" s="266"/>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c r="BD322" s="239"/>
      <c r="BE322" s="239"/>
      <c r="BF322" s="239"/>
      <c r="BG322" s="239"/>
      <c r="BH322" s="239"/>
      <c r="BI322" s="239"/>
    </row>
    <row r="323">
      <c r="A323" s="239"/>
      <c r="B323" s="239"/>
      <c r="C323" s="263" t="b">
        <v>0</v>
      </c>
      <c r="D323" s="264"/>
      <c r="E323" s="264"/>
      <c r="F323" s="264"/>
      <c r="G323" s="270"/>
      <c r="H323" s="266" t="str">
        <f t="shared" si="2"/>
        <v/>
      </c>
      <c r="I323" s="263" t="b">
        <v>0</v>
      </c>
      <c r="J323" s="266"/>
      <c r="K323" s="266"/>
      <c r="L323" s="266"/>
      <c r="M323" s="266"/>
      <c r="N323" s="266"/>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c r="BD323" s="239"/>
      <c r="BE323" s="239"/>
      <c r="BF323" s="239"/>
      <c r="BG323" s="239"/>
      <c r="BH323" s="239"/>
      <c r="BI323" s="239"/>
    </row>
    <row r="324">
      <c r="A324" s="239"/>
      <c r="B324" s="239"/>
      <c r="C324" s="263" t="b">
        <v>0</v>
      </c>
      <c r="D324" s="264"/>
      <c r="E324" s="264"/>
      <c r="F324" s="264"/>
      <c r="G324" s="270"/>
      <c r="H324" s="266" t="str">
        <f t="shared" si="2"/>
        <v/>
      </c>
      <c r="I324" s="263" t="b">
        <v>0</v>
      </c>
      <c r="J324" s="266"/>
      <c r="K324" s="266"/>
      <c r="L324" s="266"/>
      <c r="M324" s="266"/>
      <c r="N324" s="266"/>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c r="BD324" s="239"/>
      <c r="BE324" s="239"/>
      <c r="BF324" s="239"/>
      <c r="BG324" s="239"/>
      <c r="BH324" s="239"/>
      <c r="BI324" s="239"/>
    </row>
    <row r="325">
      <c r="A325" s="239"/>
      <c r="B325" s="239"/>
      <c r="C325" s="263" t="b">
        <v>0</v>
      </c>
      <c r="D325" s="264"/>
      <c r="E325" s="264"/>
      <c r="F325" s="264"/>
      <c r="G325" s="270"/>
      <c r="H325" s="266" t="str">
        <f t="shared" si="2"/>
        <v/>
      </c>
      <c r="I325" s="263" t="b">
        <v>0</v>
      </c>
      <c r="J325" s="266"/>
      <c r="K325" s="266"/>
      <c r="L325" s="266"/>
      <c r="M325" s="266"/>
      <c r="N325" s="266"/>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c r="BD325" s="239"/>
      <c r="BE325" s="239"/>
      <c r="BF325" s="239"/>
      <c r="BG325" s="239"/>
      <c r="BH325" s="239"/>
      <c r="BI325" s="239"/>
    </row>
    <row r="326">
      <c r="A326" s="239"/>
      <c r="B326" s="239"/>
      <c r="C326" s="263" t="b">
        <v>0</v>
      </c>
      <c r="D326" s="264"/>
      <c r="E326" s="264"/>
      <c r="F326" s="264"/>
      <c r="G326" s="270"/>
      <c r="H326" s="266" t="str">
        <f t="shared" si="2"/>
        <v/>
      </c>
      <c r="I326" s="263" t="b">
        <v>0</v>
      </c>
      <c r="J326" s="266"/>
      <c r="K326" s="266"/>
      <c r="L326" s="266"/>
      <c r="M326" s="266"/>
      <c r="N326" s="266"/>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c r="BD326" s="239"/>
      <c r="BE326" s="239"/>
      <c r="BF326" s="239"/>
      <c r="BG326" s="239"/>
      <c r="BH326" s="239"/>
      <c r="BI326" s="239"/>
    </row>
    <row r="327">
      <c r="A327" s="239"/>
      <c r="B327" s="239"/>
      <c r="C327" s="263" t="b">
        <v>0</v>
      </c>
      <c r="D327" s="264"/>
      <c r="E327" s="264"/>
      <c r="F327" s="264"/>
      <c r="G327" s="270"/>
      <c r="H327" s="266" t="str">
        <f t="shared" si="2"/>
        <v/>
      </c>
      <c r="I327" s="263" t="b">
        <v>0</v>
      </c>
      <c r="J327" s="266"/>
      <c r="K327" s="266"/>
      <c r="L327" s="266"/>
      <c r="M327" s="266"/>
      <c r="N327" s="266"/>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c r="BD327" s="239"/>
      <c r="BE327" s="239"/>
      <c r="BF327" s="239"/>
      <c r="BG327" s="239"/>
      <c r="BH327" s="239"/>
      <c r="BI327" s="239"/>
    </row>
    <row r="328">
      <c r="A328" s="239"/>
      <c r="B328" s="239"/>
      <c r="C328" s="263" t="b">
        <v>0</v>
      </c>
      <c r="D328" s="264"/>
      <c r="E328" s="264"/>
      <c r="F328" s="264"/>
      <c r="G328" s="270"/>
      <c r="H328" s="266" t="str">
        <f t="shared" si="2"/>
        <v/>
      </c>
      <c r="I328" s="263" t="b">
        <v>0</v>
      </c>
      <c r="J328" s="266"/>
      <c r="K328" s="266"/>
      <c r="L328" s="266"/>
      <c r="M328" s="266"/>
      <c r="N328" s="266"/>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c r="BD328" s="239"/>
      <c r="BE328" s="239"/>
      <c r="BF328" s="239"/>
      <c r="BG328" s="239"/>
      <c r="BH328" s="239"/>
      <c r="BI328" s="239"/>
    </row>
    <row r="329">
      <c r="A329" s="239"/>
      <c r="B329" s="239"/>
      <c r="C329" s="263" t="b">
        <v>0</v>
      </c>
      <c r="D329" s="264"/>
      <c r="E329" s="264"/>
      <c r="F329" s="264"/>
      <c r="G329" s="270"/>
      <c r="H329" s="266" t="str">
        <f t="shared" si="2"/>
        <v/>
      </c>
      <c r="I329" s="263" t="b">
        <v>0</v>
      </c>
      <c r="J329" s="266"/>
      <c r="K329" s="266"/>
      <c r="L329" s="266"/>
      <c r="M329" s="266"/>
      <c r="N329" s="266"/>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c r="BD329" s="239"/>
      <c r="BE329" s="239"/>
      <c r="BF329" s="239"/>
      <c r="BG329" s="239"/>
      <c r="BH329" s="239"/>
      <c r="BI329" s="239"/>
    </row>
    <row r="330">
      <c r="A330" s="239"/>
      <c r="B330" s="239"/>
      <c r="C330" s="263" t="b">
        <v>0</v>
      </c>
      <c r="D330" s="264"/>
      <c r="E330" s="264"/>
      <c r="F330" s="264"/>
      <c r="G330" s="270"/>
      <c r="H330" s="266" t="str">
        <f t="shared" si="2"/>
        <v/>
      </c>
      <c r="I330" s="263" t="b">
        <v>0</v>
      </c>
      <c r="J330" s="266"/>
      <c r="K330" s="266"/>
      <c r="L330" s="266"/>
      <c r="M330" s="266"/>
      <c r="N330" s="266"/>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c r="BD330" s="239"/>
      <c r="BE330" s="239"/>
      <c r="BF330" s="239"/>
      <c r="BG330" s="239"/>
      <c r="BH330" s="239"/>
      <c r="BI330" s="239"/>
    </row>
    <row r="331">
      <c r="A331" s="239"/>
      <c r="B331" s="239"/>
      <c r="C331" s="263" t="b">
        <v>0</v>
      </c>
      <c r="D331" s="264"/>
      <c r="E331" s="264"/>
      <c r="F331" s="264"/>
      <c r="G331" s="270"/>
      <c r="H331" s="266" t="str">
        <f t="shared" si="2"/>
        <v/>
      </c>
      <c r="I331" s="263" t="b">
        <v>0</v>
      </c>
      <c r="J331" s="266"/>
      <c r="K331" s="266"/>
      <c r="L331" s="266"/>
      <c r="M331" s="266"/>
      <c r="N331" s="266"/>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c r="BD331" s="239"/>
      <c r="BE331" s="239"/>
      <c r="BF331" s="239"/>
      <c r="BG331" s="239"/>
      <c r="BH331" s="239"/>
      <c r="BI331" s="239"/>
    </row>
    <row r="332">
      <c r="A332" s="239"/>
      <c r="B332" s="239"/>
      <c r="C332" s="263" t="b">
        <v>0</v>
      </c>
      <c r="D332" s="264"/>
      <c r="E332" s="264"/>
      <c r="F332" s="264"/>
      <c r="G332" s="270"/>
      <c r="H332" s="266" t="str">
        <f t="shared" si="2"/>
        <v/>
      </c>
      <c r="I332" s="263" t="b">
        <v>0</v>
      </c>
      <c r="J332" s="266"/>
      <c r="K332" s="266"/>
      <c r="L332" s="266"/>
      <c r="M332" s="266"/>
      <c r="N332" s="266"/>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c r="BD332" s="239"/>
      <c r="BE332" s="239"/>
      <c r="BF332" s="239"/>
      <c r="BG332" s="239"/>
      <c r="BH332" s="239"/>
      <c r="BI332" s="239"/>
    </row>
    <row r="333">
      <c r="A333" s="239"/>
      <c r="B333" s="239"/>
      <c r="C333" s="263" t="b">
        <v>0</v>
      </c>
      <c r="D333" s="264"/>
      <c r="E333" s="264"/>
      <c r="F333" s="264"/>
      <c r="G333" s="270"/>
      <c r="H333" s="266" t="str">
        <f t="shared" si="2"/>
        <v/>
      </c>
      <c r="I333" s="263" t="b">
        <v>0</v>
      </c>
      <c r="J333" s="266"/>
      <c r="K333" s="266"/>
      <c r="L333" s="266"/>
      <c r="M333" s="266"/>
      <c r="N333" s="266"/>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c r="BD333" s="239"/>
      <c r="BE333" s="239"/>
      <c r="BF333" s="239"/>
      <c r="BG333" s="239"/>
      <c r="BH333" s="239"/>
      <c r="BI333" s="239"/>
    </row>
    <row r="334">
      <c r="A334" s="239"/>
      <c r="B334" s="239"/>
      <c r="C334" s="263" t="b">
        <v>0</v>
      </c>
      <c r="D334" s="264"/>
      <c r="E334" s="264"/>
      <c r="F334" s="264"/>
      <c r="G334" s="270"/>
      <c r="H334" s="266" t="str">
        <f t="shared" si="2"/>
        <v/>
      </c>
      <c r="I334" s="263" t="b">
        <v>0</v>
      </c>
      <c r="J334" s="266"/>
      <c r="K334" s="266"/>
      <c r="L334" s="266"/>
      <c r="M334" s="266"/>
      <c r="N334" s="266"/>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c r="BD334" s="239"/>
      <c r="BE334" s="239"/>
      <c r="BF334" s="239"/>
      <c r="BG334" s="239"/>
      <c r="BH334" s="239"/>
      <c r="BI334" s="239"/>
    </row>
    <row r="335">
      <c r="A335" s="239"/>
      <c r="B335" s="239"/>
      <c r="C335" s="263" t="b">
        <v>0</v>
      </c>
      <c r="D335" s="264"/>
      <c r="E335" s="264"/>
      <c r="F335" s="264"/>
      <c r="G335" s="270"/>
      <c r="H335" s="266" t="str">
        <f t="shared" si="2"/>
        <v/>
      </c>
      <c r="I335" s="263" t="b">
        <v>0</v>
      </c>
      <c r="J335" s="266"/>
      <c r="K335" s="266"/>
      <c r="L335" s="266"/>
      <c r="M335" s="266"/>
      <c r="N335" s="266"/>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c r="BD335" s="239"/>
      <c r="BE335" s="239"/>
      <c r="BF335" s="239"/>
      <c r="BG335" s="239"/>
      <c r="BH335" s="239"/>
      <c r="BI335" s="239"/>
    </row>
    <row r="336">
      <c r="A336" s="239"/>
      <c r="B336" s="239"/>
      <c r="C336" s="263" t="b">
        <v>0</v>
      </c>
      <c r="D336" s="264"/>
      <c r="E336" s="264"/>
      <c r="F336" s="264"/>
      <c r="G336" s="270"/>
      <c r="H336" s="266" t="str">
        <f t="shared" si="2"/>
        <v/>
      </c>
      <c r="I336" s="263" t="b">
        <v>0</v>
      </c>
      <c r="J336" s="266"/>
      <c r="K336" s="266"/>
      <c r="L336" s="266"/>
      <c r="M336" s="266"/>
      <c r="N336" s="266"/>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c r="BD336" s="239"/>
      <c r="BE336" s="239"/>
      <c r="BF336" s="239"/>
      <c r="BG336" s="239"/>
      <c r="BH336" s="239"/>
      <c r="BI336" s="239"/>
    </row>
    <row r="337">
      <c r="A337" s="239"/>
      <c r="B337" s="239"/>
      <c r="C337" s="263" t="b">
        <v>0</v>
      </c>
      <c r="D337" s="264"/>
      <c r="E337" s="264"/>
      <c r="F337" s="264"/>
      <c r="G337" s="270"/>
      <c r="H337" s="266" t="str">
        <f t="shared" si="2"/>
        <v/>
      </c>
      <c r="I337" s="263" t="b">
        <v>0</v>
      </c>
      <c r="J337" s="266"/>
      <c r="K337" s="266"/>
      <c r="L337" s="266"/>
      <c r="M337" s="266"/>
      <c r="N337" s="266"/>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c r="BD337" s="239"/>
      <c r="BE337" s="239"/>
      <c r="BF337" s="239"/>
      <c r="BG337" s="239"/>
      <c r="BH337" s="239"/>
      <c r="BI337" s="239"/>
    </row>
    <row r="338">
      <c r="A338" s="239"/>
      <c r="B338" s="239"/>
      <c r="C338" s="263" t="b">
        <v>0</v>
      </c>
      <c r="D338" s="264"/>
      <c r="E338" s="264"/>
      <c r="F338" s="264"/>
      <c r="G338" s="270"/>
      <c r="H338" s="266" t="str">
        <f t="shared" si="2"/>
        <v/>
      </c>
      <c r="I338" s="263" t="b">
        <v>0</v>
      </c>
      <c r="J338" s="266"/>
      <c r="K338" s="266"/>
      <c r="L338" s="266"/>
      <c r="M338" s="266"/>
      <c r="N338" s="266"/>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c r="BD338" s="239"/>
      <c r="BE338" s="239"/>
      <c r="BF338" s="239"/>
      <c r="BG338" s="239"/>
      <c r="BH338" s="239"/>
      <c r="BI338" s="239"/>
    </row>
    <row r="339">
      <c r="A339" s="239"/>
      <c r="B339" s="239"/>
      <c r="C339" s="263" t="b">
        <v>0</v>
      </c>
      <c r="D339" s="264"/>
      <c r="E339" s="264"/>
      <c r="F339" s="264"/>
      <c r="G339" s="270"/>
      <c r="H339" s="266" t="str">
        <f t="shared" si="2"/>
        <v/>
      </c>
      <c r="I339" s="263" t="b">
        <v>0</v>
      </c>
      <c r="J339" s="266"/>
      <c r="K339" s="266"/>
      <c r="L339" s="266"/>
      <c r="M339" s="266"/>
      <c r="N339" s="266"/>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c r="BD339" s="239"/>
      <c r="BE339" s="239"/>
      <c r="BF339" s="239"/>
      <c r="BG339" s="239"/>
      <c r="BH339" s="239"/>
      <c r="BI339" s="239"/>
    </row>
    <row r="340">
      <c r="A340" s="239"/>
      <c r="B340" s="239"/>
      <c r="C340" s="263" t="b">
        <v>0</v>
      </c>
      <c r="D340" s="264"/>
      <c r="E340" s="264"/>
      <c r="F340" s="264"/>
      <c r="G340" s="270"/>
      <c r="H340" s="266" t="str">
        <f t="shared" si="2"/>
        <v/>
      </c>
      <c r="I340" s="263" t="b">
        <v>0</v>
      </c>
      <c r="J340" s="266"/>
      <c r="K340" s="266"/>
      <c r="L340" s="266"/>
      <c r="M340" s="266"/>
      <c r="N340" s="266"/>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c r="BD340" s="239"/>
      <c r="BE340" s="239"/>
      <c r="BF340" s="239"/>
      <c r="BG340" s="239"/>
      <c r="BH340" s="239"/>
      <c r="BI340" s="239"/>
    </row>
    <row r="341">
      <c r="A341" s="239"/>
      <c r="B341" s="239"/>
      <c r="C341" s="263" t="b">
        <v>0</v>
      </c>
      <c r="D341" s="264"/>
      <c r="E341" s="264"/>
      <c r="F341" s="264"/>
      <c r="G341" s="270"/>
      <c r="H341" s="266" t="str">
        <f t="shared" si="2"/>
        <v/>
      </c>
      <c r="I341" s="263" t="b">
        <v>0</v>
      </c>
      <c r="J341" s="266"/>
      <c r="K341" s="266"/>
      <c r="L341" s="266"/>
      <c r="M341" s="266"/>
      <c r="N341" s="266"/>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c r="BD341" s="239"/>
      <c r="BE341" s="239"/>
      <c r="BF341" s="239"/>
      <c r="BG341" s="239"/>
      <c r="BH341" s="239"/>
      <c r="BI341" s="239"/>
    </row>
    <row r="342">
      <c r="A342" s="239"/>
      <c r="B342" s="239"/>
      <c r="C342" s="263" t="b">
        <v>0</v>
      </c>
      <c r="D342" s="264"/>
      <c r="E342" s="264"/>
      <c r="F342" s="264"/>
      <c r="G342" s="270"/>
      <c r="H342" s="266" t="str">
        <f t="shared" si="2"/>
        <v/>
      </c>
      <c r="I342" s="263" t="b">
        <v>0</v>
      </c>
      <c r="J342" s="266"/>
      <c r="K342" s="266"/>
      <c r="L342" s="266"/>
      <c r="M342" s="266"/>
      <c r="N342" s="266"/>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c r="BD342" s="239"/>
      <c r="BE342" s="239"/>
      <c r="BF342" s="239"/>
      <c r="BG342" s="239"/>
      <c r="BH342" s="239"/>
      <c r="BI342" s="239"/>
    </row>
    <row r="343">
      <c r="A343" s="239"/>
      <c r="B343" s="239"/>
      <c r="C343" s="263" t="b">
        <v>0</v>
      </c>
      <c r="D343" s="264"/>
      <c r="E343" s="264"/>
      <c r="F343" s="264"/>
      <c r="G343" s="270"/>
      <c r="H343" s="266" t="str">
        <f t="shared" si="2"/>
        <v/>
      </c>
      <c r="I343" s="263" t="b">
        <v>0</v>
      </c>
      <c r="J343" s="266"/>
      <c r="K343" s="266"/>
      <c r="L343" s="266"/>
      <c r="M343" s="266"/>
      <c r="N343" s="266"/>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c r="BD343" s="239"/>
      <c r="BE343" s="239"/>
      <c r="BF343" s="239"/>
      <c r="BG343" s="239"/>
      <c r="BH343" s="239"/>
      <c r="BI343" s="239"/>
    </row>
    <row r="344">
      <c r="A344" s="239"/>
      <c r="B344" s="239"/>
      <c r="C344" s="263" t="b">
        <v>0</v>
      </c>
      <c r="D344" s="264"/>
      <c r="E344" s="264"/>
      <c r="F344" s="264"/>
      <c r="G344" s="270"/>
      <c r="H344" s="266" t="str">
        <f t="shared" si="2"/>
        <v/>
      </c>
      <c r="I344" s="263" t="b">
        <v>0</v>
      </c>
      <c r="J344" s="266"/>
      <c r="K344" s="266"/>
      <c r="L344" s="266"/>
      <c r="M344" s="266"/>
      <c r="N344" s="266"/>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c r="BD344" s="239"/>
      <c r="BE344" s="239"/>
      <c r="BF344" s="239"/>
      <c r="BG344" s="239"/>
      <c r="BH344" s="239"/>
      <c r="BI344" s="239"/>
    </row>
    <row r="345">
      <c r="A345" s="239"/>
      <c r="B345" s="239"/>
      <c r="C345" s="263" t="b">
        <v>0</v>
      </c>
      <c r="D345" s="264"/>
      <c r="E345" s="264"/>
      <c r="F345" s="264"/>
      <c r="G345" s="270"/>
      <c r="H345" s="266" t="str">
        <f t="shared" si="2"/>
        <v/>
      </c>
      <c r="I345" s="263" t="b">
        <v>0</v>
      </c>
      <c r="J345" s="266"/>
      <c r="K345" s="266"/>
      <c r="L345" s="266"/>
      <c r="M345" s="266"/>
      <c r="N345" s="266"/>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c r="BD345" s="239"/>
      <c r="BE345" s="239"/>
      <c r="BF345" s="239"/>
      <c r="BG345" s="239"/>
      <c r="BH345" s="239"/>
      <c r="BI345" s="239"/>
    </row>
    <row r="346">
      <c r="A346" s="239"/>
      <c r="B346" s="239"/>
      <c r="C346" s="263" t="b">
        <v>0</v>
      </c>
      <c r="D346" s="264"/>
      <c r="E346" s="264"/>
      <c r="F346" s="264"/>
      <c r="G346" s="270"/>
      <c r="H346" s="266" t="str">
        <f t="shared" si="2"/>
        <v/>
      </c>
      <c r="I346" s="263" t="b">
        <v>0</v>
      </c>
      <c r="J346" s="266"/>
      <c r="K346" s="266"/>
      <c r="L346" s="266"/>
      <c r="M346" s="266"/>
      <c r="N346" s="266"/>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c r="BD346" s="239"/>
      <c r="BE346" s="239"/>
      <c r="BF346" s="239"/>
      <c r="BG346" s="239"/>
      <c r="BH346" s="239"/>
      <c r="BI346" s="239"/>
    </row>
    <row r="347">
      <c r="A347" s="239"/>
      <c r="B347" s="239"/>
      <c r="C347" s="263" t="b">
        <v>0</v>
      </c>
      <c r="D347" s="264"/>
      <c r="E347" s="264"/>
      <c r="F347" s="264"/>
      <c r="G347" s="270"/>
      <c r="H347" s="266" t="str">
        <f t="shared" si="2"/>
        <v/>
      </c>
      <c r="I347" s="263" t="b">
        <v>0</v>
      </c>
      <c r="J347" s="266"/>
      <c r="K347" s="266"/>
      <c r="L347" s="266"/>
      <c r="M347" s="266"/>
      <c r="N347" s="266"/>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c r="BD347" s="239"/>
      <c r="BE347" s="239"/>
      <c r="BF347" s="239"/>
      <c r="BG347" s="239"/>
      <c r="BH347" s="239"/>
      <c r="BI347" s="239"/>
    </row>
    <row r="348">
      <c r="A348" s="239"/>
      <c r="B348" s="239"/>
      <c r="C348" s="263" t="b">
        <v>0</v>
      </c>
      <c r="D348" s="264"/>
      <c r="E348" s="264"/>
      <c r="F348" s="264"/>
      <c r="G348" s="270"/>
      <c r="H348" s="266" t="str">
        <f t="shared" si="2"/>
        <v/>
      </c>
      <c r="I348" s="263" t="b">
        <v>0</v>
      </c>
      <c r="J348" s="266"/>
      <c r="K348" s="266"/>
      <c r="L348" s="266"/>
      <c r="M348" s="266"/>
      <c r="N348" s="266"/>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c r="BD348" s="239"/>
      <c r="BE348" s="239"/>
      <c r="BF348" s="239"/>
      <c r="BG348" s="239"/>
      <c r="BH348" s="239"/>
      <c r="BI348" s="239"/>
    </row>
    <row r="349">
      <c r="A349" s="239"/>
      <c r="B349" s="239"/>
      <c r="C349" s="263" t="b">
        <v>0</v>
      </c>
      <c r="D349" s="264"/>
      <c r="E349" s="264"/>
      <c r="F349" s="264"/>
      <c r="G349" s="270"/>
      <c r="H349" s="266" t="str">
        <f t="shared" si="2"/>
        <v/>
      </c>
      <c r="I349" s="263" t="b">
        <v>0</v>
      </c>
      <c r="J349" s="266"/>
      <c r="K349" s="266"/>
      <c r="L349" s="266"/>
      <c r="M349" s="266"/>
      <c r="N349" s="266"/>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c r="BD349" s="239"/>
      <c r="BE349" s="239"/>
      <c r="BF349" s="239"/>
      <c r="BG349" s="239"/>
      <c r="BH349" s="239"/>
      <c r="BI349" s="239"/>
    </row>
    <row r="350">
      <c r="A350" s="239"/>
      <c r="B350" s="239"/>
      <c r="C350" s="263" t="b">
        <v>0</v>
      </c>
      <c r="D350" s="264"/>
      <c r="E350" s="264"/>
      <c r="F350" s="264"/>
      <c r="G350" s="270"/>
      <c r="H350" s="266" t="str">
        <f t="shared" si="2"/>
        <v/>
      </c>
      <c r="I350" s="263" t="b">
        <v>0</v>
      </c>
      <c r="J350" s="266"/>
      <c r="K350" s="266"/>
      <c r="L350" s="266"/>
      <c r="M350" s="266"/>
      <c r="N350" s="266"/>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c r="BD350" s="239"/>
      <c r="BE350" s="239"/>
      <c r="BF350" s="239"/>
      <c r="BG350" s="239"/>
      <c r="BH350" s="239"/>
      <c r="BI350" s="239"/>
    </row>
    <row r="351">
      <c r="A351" s="239"/>
      <c r="B351" s="239"/>
      <c r="C351" s="263" t="b">
        <v>0</v>
      </c>
      <c r="D351" s="264"/>
      <c r="E351" s="264"/>
      <c r="F351" s="264"/>
      <c r="G351" s="270"/>
      <c r="H351" s="266" t="str">
        <f t="shared" si="2"/>
        <v/>
      </c>
      <c r="I351" s="263" t="b">
        <v>0</v>
      </c>
      <c r="J351" s="266"/>
      <c r="K351" s="266"/>
      <c r="L351" s="266"/>
      <c r="M351" s="266"/>
      <c r="N351" s="266"/>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c r="BD351" s="239"/>
      <c r="BE351" s="239"/>
      <c r="BF351" s="239"/>
      <c r="BG351" s="239"/>
      <c r="BH351" s="239"/>
      <c r="BI351" s="239"/>
    </row>
    <row r="352">
      <c r="A352" s="239"/>
      <c r="B352" s="239"/>
      <c r="C352" s="263" t="b">
        <v>0</v>
      </c>
      <c r="D352" s="264"/>
      <c r="E352" s="264"/>
      <c r="F352" s="264"/>
      <c r="G352" s="270"/>
      <c r="H352" s="266" t="str">
        <f t="shared" si="2"/>
        <v/>
      </c>
      <c r="I352" s="263" t="b">
        <v>0</v>
      </c>
      <c r="J352" s="266"/>
      <c r="K352" s="266"/>
      <c r="L352" s="266"/>
      <c r="M352" s="266"/>
      <c r="N352" s="266"/>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c r="BD352" s="239"/>
      <c r="BE352" s="239"/>
      <c r="BF352" s="239"/>
      <c r="BG352" s="239"/>
      <c r="BH352" s="239"/>
      <c r="BI352" s="239"/>
    </row>
    <row r="353">
      <c r="A353" s="239"/>
      <c r="B353" s="239"/>
      <c r="C353" s="263" t="b">
        <v>0</v>
      </c>
      <c r="D353" s="264"/>
      <c r="E353" s="264"/>
      <c r="F353" s="264"/>
      <c r="G353" s="270"/>
      <c r="H353" s="266" t="str">
        <f t="shared" si="2"/>
        <v/>
      </c>
      <c r="I353" s="263" t="b">
        <v>0</v>
      </c>
      <c r="J353" s="266"/>
      <c r="K353" s="266"/>
      <c r="L353" s="266"/>
      <c r="M353" s="266"/>
      <c r="N353" s="266"/>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c r="BD353" s="239"/>
      <c r="BE353" s="239"/>
      <c r="BF353" s="239"/>
      <c r="BG353" s="239"/>
      <c r="BH353" s="239"/>
      <c r="BI353" s="239"/>
    </row>
    <row r="354">
      <c r="A354" s="239"/>
      <c r="B354" s="239"/>
      <c r="C354" s="263" t="b">
        <v>0</v>
      </c>
      <c r="D354" s="264"/>
      <c r="E354" s="264"/>
      <c r="F354" s="264"/>
      <c r="G354" s="270"/>
      <c r="H354" s="266" t="str">
        <f t="shared" si="2"/>
        <v/>
      </c>
      <c r="I354" s="263" t="b">
        <v>0</v>
      </c>
      <c r="J354" s="266"/>
      <c r="K354" s="266"/>
      <c r="L354" s="266"/>
      <c r="M354" s="266"/>
      <c r="N354" s="266"/>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c r="BD354" s="239"/>
      <c r="BE354" s="239"/>
      <c r="BF354" s="239"/>
      <c r="BG354" s="239"/>
      <c r="BH354" s="239"/>
      <c r="BI354" s="239"/>
    </row>
    <row r="355">
      <c r="A355" s="239"/>
      <c r="B355" s="239"/>
      <c r="C355" s="263" t="b">
        <v>0</v>
      </c>
      <c r="D355" s="264"/>
      <c r="E355" s="264"/>
      <c r="F355" s="264"/>
      <c r="G355" s="270"/>
      <c r="H355" s="266" t="str">
        <f t="shared" si="2"/>
        <v/>
      </c>
      <c r="I355" s="263" t="b">
        <v>0</v>
      </c>
      <c r="J355" s="266"/>
      <c r="K355" s="266"/>
      <c r="L355" s="266"/>
      <c r="M355" s="266"/>
      <c r="N355" s="266"/>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c r="BD355" s="239"/>
      <c r="BE355" s="239"/>
      <c r="BF355" s="239"/>
      <c r="BG355" s="239"/>
      <c r="BH355" s="239"/>
      <c r="BI355" s="239"/>
    </row>
    <row r="356">
      <c r="A356" s="239"/>
      <c r="B356" s="239"/>
      <c r="C356" s="263" t="b">
        <v>0</v>
      </c>
      <c r="D356" s="264"/>
      <c r="E356" s="264"/>
      <c r="F356" s="264"/>
      <c r="G356" s="270"/>
      <c r="H356" s="266" t="str">
        <f t="shared" si="2"/>
        <v/>
      </c>
      <c r="I356" s="263" t="b">
        <v>0</v>
      </c>
      <c r="J356" s="266"/>
      <c r="K356" s="266"/>
      <c r="L356" s="266"/>
      <c r="M356" s="266"/>
      <c r="N356" s="266"/>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c r="BD356" s="239"/>
      <c r="BE356" s="239"/>
      <c r="BF356" s="239"/>
      <c r="BG356" s="239"/>
      <c r="BH356" s="239"/>
      <c r="BI356" s="239"/>
    </row>
    <row r="357">
      <c r="A357" s="239"/>
      <c r="B357" s="239"/>
      <c r="C357" s="263" t="b">
        <v>0</v>
      </c>
      <c r="D357" s="264"/>
      <c r="E357" s="264"/>
      <c r="F357" s="264"/>
      <c r="G357" s="270"/>
      <c r="H357" s="266" t="str">
        <f t="shared" si="2"/>
        <v/>
      </c>
      <c r="I357" s="263" t="b">
        <v>0</v>
      </c>
      <c r="J357" s="266"/>
      <c r="K357" s="266"/>
      <c r="L357" s="266"/>
      <c r="M357" s="266"/>
      <c r="N357" s="266"/>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c r="BD357" s="239"/>
      <c r="BE357" s="239"/>
      <c r="BF357" s="239"/>
      <c r="BG357" s="239"/>
      <c r="BH357" s="239"/>
      <c r="BI357" s="239"/>
    </row>
    <row r="358">
      <c r="A358" s="239"/>
      <c r="B358" s="239"/>
      <c r="C358" s="263" t="b">
        <v>0</v>
      </c>
      <c r="D358" s="264"/>
      <c r="E358" s="264"/>
      <c r="F358" s="264"/>
      <c r="G358" s="270"/>
      <c r="H358" s="266" t="str">
        <f t="shared" si="2"/>
        <v/>
      </c>
      <c r="I358" s="263" t="b">
        <v>0</v>
      </c>
      <c r="J358" s="266"/>
      <c r="K358" s="266"/>
      <c r="L358" s="266"/>
      <c r="M358" s="266"/>
      <c r="N358" s="266"/>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c r="BD358" s="239"/>
      <c r="BE358" s="239"/>
      <c r="BF358" s="239"/>
      <c r="BG358" s="239"/>
      <c r="BH358" s="239"/>
      <c r="BI358" s="239"/>
    </row>
    <row r="359">
      <c r="A359" s="239"/>
      <c r="B359" s="239"/>
      <c r="C359" s="263" t="b">
        <v>0</v>
      </c>
      <c r="D359" s="264"/>
      <c r="E359" s="264"/>
      <c r="F359" s="264"/>
      <c r="G359" s="270"/>
      <c r="H359" s="266" t="str">
        <f t="shared" si="2"/>
        <v/>
      </c>
      <c r="I359" s="263" t="b">
        <v>0</v>
      </c>
      <c r="J359" s="266"/>
      <c r="K359" s="266"/>
      <c r="L359" s="266"/>
      <c r="M359" s="266"/>
      <c r="N359" s="266"/>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c r="BD359" s="239"/>
      <c r="BE359" s="239"/>
      <c r="BF359" s="239"/>
      <c r="BG359" s="239"/>
      <c r="BH359" s="239"/>
      <c r="BI359" s="239"/>
    </row>
    <row r="360">
      <c r="A360" s="239"/>
      <c r="B360" s="239"/>
      <c r="C360" s="263" t="b">
        <v>0</v>
      </c>
      <c r="D360" s="264"/>
      <c r="E360" s="264"/>
      <c r="F360" s="264"/>
      <c r="G360" s="270"/>
      <c r="H360" s="266" t="str">
        <f t="shared" si="2"/>
        <v/>
      </c>
      <c r="I360" s="263" t="b">
        <v>0</v>
      </c>
      <c r="J360" s="266"/>
      <c r="K360" s="266"/>
      <c r="L360" s="266"/>
      <c r="M360" s="266"/>
      <c r="N360" s="266"/>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c r="BD360" s="239"/>
      <c r="BE360" s="239"/>
      <c r="BF360" s="239"/>
      <c r="BG360" s="239"/>
      <c r="BH360" s="239"/>
      <c r="BI360" s="239"/>
    </row>
    <row r="361">
      <c r="A361" s="239"/>
      <c r="B361" s="239"/>
      <c r="C361" s="263" t="b">
        <v>0</v>
      </c>
      <c r="D361" s="264"/>
      <c r="E361" s="264"/>
      <c r="F361" s="264"/>
      <c r="G361" s="270"/>
      <c r="H361" s="266" t="str">
        <f t="shared" si="2"/>
        <v/>
      </c>
      <c r="I361" s="263" t="b">
        <v>0</v>
      </c>
      <c r="J361" s="266"/>
      <c r="K361" s="266"/>
      <c r="L361" s="266"/>
      <c r="M361" s="266"/>
      <c r="N361" s="266"/>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row>
    <row r="362">
      <c r="A362" s="239"/>
      <c r="B362" s="239"/>
      <c r="C362" s="263" t="b">
        <v>0</v>
      </c>
      <c r="D362" s="264"/>
      <c r="E362" s="264"/>
      <c r="F362" s="264"/>
      <c r="G362" s="270"/>
      <c r="H362" s="266" t="str">
        <f t="shared" si="2"/>
        <v/>
      </c>
      <c r="I362" s="263" t="b">
        <v>0</v>
      </c>
      <c r="J362" s="266"/>
      <c r="K362" s="266"/>
      <c r="L362" s="266"/>
      <c r="M362" s="266"/>
      <c r="N362" s="266"/>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row>
    <row r="363">
      <c r="A363" s="239"/>
      <c r="B363" s="239"/>
      <c r="C363" s="263" t="b">
        <v>0</v>
      </c>
      <c r="D363" s="264"/>
      <c r="E363" s="264"/>
      <c r="F363" s="264"/>
      <c r="G363" s="270"/>
      <c r="H363" s="266" t="str">
        <f t="shared" si="2"/>
        <v/>
      </c>
      <c r="I363" s="263" t="b">
        <v>0</v>
      </c>
      <c r="J363" s="266"/>
      <c r="K363" s="266"/>
      <c r="L363" s="266"/>
      <c r="M363" s="266"/>
      <c r="N363" s="266"/>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row>
    <row r="364">
      <c r="A364" s="239"/>
      <c r="B364" s="239"/>
      <c r="C364" s="263" t="b">
        <v>0</v>
      </c>
      <c r="D364" s="264"/>
      <c r="E364" s="264"/>
      <c r="F364" s="264"/>
      <c r="G364" s="270"/>
      <c r="H364" s="266" t="str">
        <f t="shared" si="2"/>
        <v/>
      </c>
      <c r="I364" s="263" t="b">
        <v>0</v>
      </c>
      <c r="J364" s="266"/>
      <c r="K364" s="266"/>
      <c r="L364" s="266"/>
      <c r="M364" s="266"/>
      <c r="N364" s="266"/>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row>
    <row r="365">
      <c r="A365" s="239"/>
      <c r="B365" s="239"/>
      <c r="C365" s="263" t="b">
        <v>0</v>
      </c>
      <c r="D365" s="264"/>
      <c r="E365" s="264"/>
      <c r="F365" s="264"/>
      <c r="G365" s="270"/>
      <c r="H365" s="266" t="str">
        <f t="shared" si="2"/>
        <v/>
      </c>
      <c r="I365" s="263" t="b">
        <v>0</v>
      </c>
      <c r="J365" s="266"/>
      <c r="K365" s="266"/>
      <c r="L365" s="266"/>
      <c r="M365" s="266"/>
      <c r="N365" s="266"/>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row>
    <row r="366">
      <c r="A366" s="239"/>
      <c r="B366" s="239"/>
      <c r="C366" s="263" t="b">
        <v>0</v>
      </c>
      <c r="D366" s="264"/>
      <c r="E366" s="264"/>
      <c r="F366" s="264"/>
      <c r="G366" s="270"/>
      <c r="H366" s="266" t="str">
        <f t="shared" si="2"/>
        <v/>
      </c>
      <c r="I366" s="263" t="b">
        <v>0</v>
      </c>
      <c r="J366" s="266"/>
      <c r="K366" s="266"/>
      <c r="L366" s="266"/>
      <c r="M366" s="266"/>
      <c r="N366" s="266"/>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row>
    <row r="367">
      <c r="A367" s="239"/>
      <c r="B367" s="239"/>
      <c r="C367" s="263" t="b">
        <v>0</v>
      </c>
      <c r="D367" s="264"/>
      <c r="E367" s="264"/>
      <c r="F367" s="264"/>
      <c r="G367" s="270"/>
      <c r="H367" s="266" t="str">
        <f t="shared" si="2"/>
        <v/>
      </c>
      <c r="I367" s="263" t="b">
        <v>0</v>
      </c>
      <c r="J367" s="266"/>
      <c r="K367" s="266"/>
      <c r="L367" s="266"/>
      <c r="M367" s="266"/>
      <c r="N367" s="266"/>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row>
    <row r="368">
      <c r="A368" s="239"/>
      <c r="B368" s="239"/>
      <c r="C368" s="263" t="b">
        <v>0</v>
      </c>
      <c r="D368" s="264"/>
      <c r="E368" s="264"/>
      <c r="F368" s="264"/>
      <c r="G368" s="270"/>
      <c r="H368" s="266" t="str">
        <f t="shared" si="2"/>
        <v/>
      </c>
      <c r="I368" s="263" t="b">
        <v>0</v>
      </c>
      <c r="J368" s="266"/>
      <c r="K368" s="266"/>
      <c r="L368" s="266"/>
      <c r="M368" s="266"/>
      <c r="N368" s="266"/>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row>
    <row r="369">
      <c r="A369" s="239"/>
      <c r="B369" s="239"/>
      <c r="C369" s="263" t="b">
        <v>0</v>
      </c>
      <c r="D369" s="264"/>
      <c r="E369" s="264"/>
      <c r="F369" s="264"/>
      <c r="G369" s="270"/>
      <c r="H369" s="266" t="str">
        <f t="shared" si="2"/>
        <v/>
      </c>
      <c r="I369" s="263" t="b">
        <v>0</v>
      </c>
      <c r="J369" s="266"/>
      <c r="K369" s="266"/>
      <c r="L369" s="266"/>
      <c r="M369" s="266"/>
      <c r="N369" s="266"/>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row>
    <row r="370">
      <c r="A370" s="239"/>
      <c r="B370" s="239"/>
      <c r="C370" s="263" t="b">
        <v>0</v>
      </c>
      <c r="D370" s="264"/>
      <c r="E370" s="264"/>
      <c r="F370" s="264"/>
      <c r="G370" s="270"/>
      <c r="H370" s="266" t="str">
        <f t="shared" si="2"/>
        <v/>
      </c>
      <c r="I370" s="263" t="b">
        <v>0</v>
      </c>
      <c r="J370" s="266"/>
      <c r="K370" s="266"/>
      <c r="L370" s="266"/>
      <c r="M370" s="266"/>
      <c r="N370" s="266"/>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row>
    <row r="371">
      <c r="A371" s="239"/>
      <c r="B371" s="239"/>
      <c r="C371" s="263" t="b">
        <v>0</v>
      </c>
      <c r="D371" s="264"/>
      <c r="E371" s="264"/>
      <c r="F371" s="264"/>
      <c r="G371" s="270"/>
      <c r="H371" s="266" t="str">
        <f t="shared" si="2"/>
        <v/>
      </c>
      <c r="I371" s="263" t="b">
        <v>0</v>
      </c>
      <c r="J371" s="266"/>
      <c r="K371" s="266"/>
      <c r="L371" s="266"/>
      <c r="M371" s="266"/>
      <c r="N371" s="266"/>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c r="AK371" s="239"/>
      <c r="AL371" s="239"/>
      <c r="AM371" s="239"/>
      <c r="AN371" s="239"/>
      <c r="AO371" s="239"/>
      <c r="AP371" s="239"/>
      <c r="AQ371" s="239"/>
      <c r="AR371" s="239"/>
      <c r="AS371" s="239"/>
      <c r="AT371" s="239"/>
      <c r="AU371" s="239"/>
      <c r="AV371" s="239"/>
      <c r="AW371" s="239"/>
      <c r="AX371" s="239"/>
      <c r="AY371" s="239"/>
      <c r="AZ371" s="239"/>
      <c r="BA371" s="239"/>
      <c r="BB371" s="239"/>
      <c r="BC371" s="239"/>
      <c r="BD371" s="239"/>
      <c r="BE371" s="239"/>
      <c r="BF371" s="239"/>
      <c r="BG371" s="239"/>
      <c r="BH371" s="239"/>
      <c r="BI371" s="239"/>
    </row>
    <row r="372">
      <c r="A372" s="239"/>
      <c r="B372" s="239"/>
      <c r="C372" s="263" t="b">
        <v>0</v>
      </c>
      <c r="D372" s="264"/>
      <c r="E372" s="264"/>
      <c r="F372" s="264"/>
      <c r="G372" s="270"/>
      <c r="H372" s="266" t="str">
        <f t="shared" si="2"/>
        <v/>
      </c>
      <c r="I372" s="263" t="b">
        <v>0</v>
      </c>
      <c r="J372" s="266"/>
      <c r="K372" s="266"/>
      <c r="L372" s="266"/>
      <c r="M372" s="266"/>
      <c r="N372" s="266"/>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row>
    <row r="373">
      <c r="A373" s="239"/>
      <c r="B373" s="239"/>
      <c r="C373" s="263" t="b">
        <v>0</v>
      </c>
      <c r="D373" s="264"/>
      <c r="E373" s="264"/>
      <c r="F373" s="264"/>
      <c r="G373" s="270"/>
      <c r="H373" s="266" t="str">
        <f t="shared" si="2"/>
        <v/>
      </c>
      <c r="I373" s="263" t="b">
        <v>0</v>
      </c>
      <c r="J373" s="266"/>
      <c r="K373" s="266"/>
      <c r="L373" s="266"/>
      <c r="M373" s="266"/>
      <c r="N373" s="266"/>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row>
    <row r="374">
      <c r="A374" s="239"/>
      <c r="B374" s="239"/>
      <c r="C374" s="263" t="b">
        <v>0</v>
      </c>
      <c r="D374" s="264"/>
      <c r="E374" s="264"/>
      <c r="F374" s="264"/>
      <c r="G374" s="270"/>
      <c r="H374" s="266" t="str">
        <f t="shared" si="2"/>
        <v/>
      </c>
      <c r="I374" s="263" t="b">
        <v>0</v>
      </c>
      <c r="J374" s="266"/>
      <c r="K374" s="266"/>
      <c r="L374" s="266"/>
      <c r="M374" s="266"/>
      <c r="N374" s="266"/>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row>
    <row r="375">
      <c r="A375" s="239"/>
      <c r="B375" s="239"/>
      <c r="C375" s="263" t="b">
        <v>0</v>
      </c>
      <c r="D375" s="264"/>
      <c r="E375" s="264"/>
      <c r="F375" s="264"/>
      <c r="G375" s="270"/>
      <c r="H375" s="266" t="str">
        <f t="shared" si="2"/>
        <v/>
      </c>
      <c r="I375" s="263" t="b">
        <v>0</v>
      </c>
      <c r="J375" s="266"/>
      <c r="K375" s="266"/>
      <c r="L375" s="266"/>
      <c r="M375" s="266"/>
      <c r="N375" s="266"/>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row>
    <row r="376">
      <c r="A376" s="239"/>
      <c r="B376" s="239"/>
      <c r="C376" s="263" t="b">
        <v>0</v>
      </c>
      <c r="D376" s="264"/>
      <c r="E376" s="264"/>
      <c r="F376" s="264"/>
      <c r="G376" s="270"/>
      <c r="H376" s="266" t="str">
        <f t="shared" si="2"/>
        <v/>
      </c>
      <c r="I376" s="263" t="b">
        <v>0</v>
      </c>
      <c r="J376" s="266"/>
      <c r="K376" s="266"/>
      <c r="L376" s="266"/>
      <c r="M376" s="266"/>
      <c r="N376" s="266"/>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row>
    <row r="377">
      <c r="A377" s="239"/>
      <c r="B377" s="239"/>
      <c r="C377" s="263" t="b">
        <v>0</v>
      </c>
      <c r="D377" s="264"/>
      <c r="E377" s="264"/>
      <c r="F377" s="264"/>
      <c r="G377" s="270"/>
      <c r="H377" s="266" t="str">
        <f t="shared" si="2"/>
        <v/>
      </c>
      <c r="I377" s="263" t="b">
        <v>0</v>
      </c>
      <c r="J377" s="266"/>
      <c r="K377" s="266"/>
      <c r="L377" s="266"/>
      <c r="M377" s="266"/>
      <c r="N377" s="266"/>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row>
    <row r="378">
      <c r="A378" s="239"/>
      <c r="B378" s="239"/>
      <c r="C378" s="263" t="b">
        <v>0</v>
      </c>
      <c r="D378" s="264"/>
      <c r="E378" s="264"/>
      <c r="F378" s="264"/>
      <c r="G378" s="270"/>
      <c r="H378" s="266" t="str">
        <f t="shared" si="2"/>
        <v/>
      </c>
      <c r="I378" s="263" t="b">
        <v>0</v>
      </c>
      <c r="J378" s="266"/>
      <c r="K378" s="266"/>
      <c r="L378" s="266"/>
      <c r="M378" s="266"/>
      <c r="N378" s="266"/>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row>
    <row r="379">
      <c r="A379" s="239"/>
      <c r="B379" s="239"/>
      <c r="C379" s="263" t="b">
        <v>0</v>
      </c>
      <c r="D379" s="264"/>
      <c r="E379" s="264"/>
      <c r="F379" s="264"/>
      <c r="G379" s="270"/>
      <c r="H379" s="266" t="str">
        <f t="shared" si="2"/>
        <v/>
      </c>
      <c r="I379" s="263" t="b">
        <v>0</v>
      </c>
      <c r="J379" s="266"/>
      <c r="K379" s="266"/>
      <c r="L379" s="266"/>
      <c r="M379" s="266"/>
      <c r="N379" s="266"/>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row>
    <row r="380">
      <c r="A380" s="239"/>
      <c r="B380" s="239"/>
      <c r="C380" s="263" t="b">
        <v>0</v>
      </c>
      <c r="D380" s="264"/>
      <c r="E380" s="264"/>
      <c r="F380" s="264"/>
      <c r="G380" s="270"/>
      <c r="H380" s="266" t="str">
        <f t="shared" si="2"/>
        <v/>
      </c>
      <c r="I380" s="263" t="b">
        <v>0</v>
      </c>
      <c r="J380" s="266"/>
      <c r="K380" s="266"/>
      <c r="L380" s="266"/>
      <c r="M380" s="266"/>
      <c r="N380" s="266"/>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row>
    <row r="381">
      <c r="A381" s="239"/>
      <c r="B381" s="239"/>
      <c r="C381" s="263" t="b">
        <v>0</v>
      </c>
      <c r="D381" s="264"/>
      <c r="E381" s="264"/>
      <c r="F381" s="264"/>
      <c r="G381" s="270"/>
      <c r="H381" s="266" t="str">
        <f t="shared" si="2"/>
        <v/>
      </c>
      <c r="I381" s="263" t="b">
        <v>0</v>
      </c>
      <c r="J381" s="266"/>
      <c r="K381" s="266"/>
      <c r="L381" s="266"/>
      <c r="M381" s="266"/>
      <c r="N381" s="266"/>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row>
    <row r="382">
      <c r="A382" s="239"/>
      <c r="B382" s="239"/>
      <c r="C382" s="263" t="b">
        <v>0</v>
      </c>
      <c r="D382" s="264"/>
      <c r="E382" s="264"/>
      <c r="F382" s="264"/>
      <c r="G382" s="270"/>
      <c r="H382" s="266" t="str">
        <f t="shared" si="2"/>
        <v/>
      </c>
      <c r="I382" s="263" t="b">
        <v>0</v>
      </c>
      <c r="J382" s="266"/>
      <c r="K382" s="266"/>
      <c r="L382" s="266"/>
      <c r="M382" s="266"/>
      <c r="N382" s="266"/>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row>
    <row r="383">
      <c r="A383" s="239"/>
      <c r="B383" s="239"/>
      <c r="C383" s="263" t="b">
        <v>0</v>
      </c>
      <c r="D383" s="264"/>
      <c r="E383" s="264"/>
      <c r="F383" s="264"/>
      <c r="G383" s="270"/>
      <c r="H383" s="266" t="str">
        <f t="shared" si="2"/>
        <v/>
      </c>
      <c r="I383" s="263" t="b">
        <v>0</v>
      </c>
      <c r="J383" s="266"/>
      <c r="K383" s="266"/>
      <c r="L383" s="266"/>
      <c r="M383" s="266"/>
      <c r="N383" s="266"/>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row>
    <row r="384">
      <c r="A384" s="239"/>
      <c r="B384" s="239"/>
      <c r="C384" s="263" t="b">
        <v>0</v>
      </c>
      <c r="D384" s="264"/>
      <c r="E384" s="264"/>
      <c r="F384" s="264"/>
      <c r="G384" s="270"/>
      <c r="H384" s="266" t="str">
        <f t="shared" si="2"/>
        <v/>
      </c>
      <c r="I384" s="263" t="b">
        <v>0</v>
      </c>
      <c r="J384" s="266"/>
      <c r="K384" s="266"/>
      <c r="L384" s="266"/>
      <c r="M384" s="266"/>
      <c r="N384" s="266"/>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row>
    <row r="385">
      <c r="A385" s="239"/>
      <c r="B385" s="239"/>
      <c r="C385" s="263" t="b">
        <v>0</v>
      </c>
      <c r="D385" s="264"/>
      <c r="E385" s="264"/>
      <c r="F385" s="264"/>
      <c r="G385" s="270"/>
      <c r="H385" s="266" t="str">
        <f t="shared" si="2"/>
        <v/>
      </c>
      <c r="I385" s="263" t="b">
        <v>0</v>
      </c>
      <c r="J385" s="266"/>
      <c r="K385" s="266"/>
      <c r="L385" s="266"/>
      <c r="M385" s="266"/>
      <c r="N385" s="266"/>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c r="BD385" s="239"/>
      <c r="BE385" s="239"/>
      <c r="BF385" s="239"/>
      <c r="BG385" s="239"/>
      <c r="BH385" s="239"/>
      <c r="BI385" s="239"/>
    </row>
    <row r="386">
      <c r="A386" s="239"/>
      <c r="B386" s="239"/>
      <c r="C386" s="263" t="b">
        <v>0</v>
      </c>
      <c r="D386" s="264"/>
      <c r="E386" s="264"/>
      <c r="F386" s="264"/>
      <c r="G386" s="270"/>
      <c r="H386" s="266" t="str">
        <f t="shared" si="2"/>
        <v/>
      </c>
      <c r="I386" s="263" t="b">
        <v>0</v>
      </c>
      <c r="J386" s="266"/>
      <c r="K386" s="266"/>
      <c r="L386" s="266"/>
      <c r="M386" s="266"/>
      <c r="N386" s="266"/>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c r="BD386" s="239"/>
      <c r="BE386" s="239"/>
      <c r="BF386" s="239"/>
      <c r="BG386" s="239"/>
      <c r="BH386" s="239"/>
      <c r="BI386" s="239"/>
    </row>
    <row r="387">
      <c r="A387" s="239"/>
      <c r="B387" s="239"/>
      <c r="C387" s="263" t="b">
        <v>0</v>
      </c>
      <c r="D387" s="264"/>
      <c r="E387" s="264"/>
      <c r="F387" s="264"/>
      <c r="G387" s="270"/>
      <c r="H387" s="266" t="str">
        <f t="shared" si="2"/>
        <v/>
      </c>
      <c r="I387" s="263" t="b">
        <v>0</v>
      </c>
      <c r="J387" s="266"/>
      <c r="K387" s="266"/>
      <c r="L387" s="266"/>
      <c r="M387" s="266"/>
      <c r="N387" s="266"/>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c r="BD387" s="239"/>
      <c r="BE387" s="239"/>
      <c r="BF387" s="239"/>
      <c r="BG387" s="239"/>
      <c r="BH387" s="239"/>
      <c r="BI387" s="239"/>
    </row>
    <row r="388">
      <c r="A388" s="239"/>
      <c r="B388" s="239"/>
      <c r="C388" s="263" t="b">
        <v>0</v>
      </c>
      <c r="D388" s="264"/>
      <c r="E388" s="264"/>
      <c r="F388" s="264"/>
      <c r="G388" s="270"/>
      <c r="H388" s="266" t="str">
        <f t="shared" si="2"/>
        <v/>
      </c>
      <c r="I388" s="263" t="b">
        <v>0</v>
      </c>
      <c r="J388" s="266"/>
      <c r="K388" s="266"/>
      <c r="L388" s="266"/>
      <c r="M388" s="266"/>
      <c r="N388" s="266"/>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c r="BD388" s="239"/>
      <c r="BE388" s="239"/>
      <c r="BF388" s="239"/>
      <c r="BG388" s="239"/>
      <c r="BH388" s="239"/>
      <c r="BI388" s="239"/>
    </row>
    <row r="389">
      <c r="A389" s="239"/>
      <c r="B389" s="239"/>
      <c r="C389" s="263" t="b">
        <v>0</v>
      </c>
      <c r="D389" s="264"/>
      <c r="E389" s="264"/>
      <c r="F389" s="264"/>
      <c r="G389" s="270"/>
      <c r="H389" s="266" t="str">
        <f t="shared" si="2"/>
        <v/>
      </c>
      <c r="I389" s="263" t="b">
        <v>0</v>
      </c>
      <c r="J389" s="266"/>
      <c r="K389" s="266"/>
      <c r="L389" s="266"/>
      <c r="M389" s="266"/>
      <c r="N389" s="266"/>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c r="BD389" s="239"/>
      <c r="BE389" s="239"/>
      <c r="BF389" s="239"/>
      <c r="BG389" s="239"/>
      <c r="BH389" s="239"/>
      <c r="BI389" s="239"/>
    </row>
    <row r="390">
      <c r="A390" s="239"/>
      <c r="B390" s="239"/>
      <c r="C390" s="263" t="b">
        <v>0</v>
      </c>
      <c r="D390" s="264"/>
      <c r="E390" s="264"/>
      <c r="F390" s="264"/>
      <c r="G390" s="270"/>
      <c r="H390" s="266" t="str">
        <f t="shared" si="2"/>
        <v/>
      </c>
      <c r="I390" s="263" t="b">
        <v>0</v>
      </c>
      <c r="J390" s="266"/>
      <c r="K390" s="266"/>
      <c r="L390" s="266"/>
      <c r="M390" s="266"/>
      <c r="N390" s="266"/>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c r="BD390" s="239"/>
      <c r="BE390" s="239"/>
      <c r="BF390" s="239"/>
      <c r="BG390" s="239"/>
      <c r="BH390" s="239"/>
      <c r="BI390" s="239"/>
    </row>
    <row r="391">
      <c r="A391" s="239"/>
      <c r="B391" s="239"/>
      <c r="C391" s="263" t="b">
        <v>0</v>
      </c>
      <c r="D391" s="264"/>
      <c r="E391" s="264"/>
      <c r="F391" s="264"/>
      <c r="G391" s="270"/>
      <c r="H391" s="266" t="str">
        <f t="shared" si="2"/>
        <v/>
      </c>
      <c r="I391" s="263" t="b">
        <v>0</v>
      </c>
      <c r="J391" s="266"/>
      <c r="K391" s="266"/>
      <c r="L391" s="266"/>
      <c r="M391" s="266"/>
      <c r="N391" s="266"/>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c r="BD391" s="239"/>
      <c r="BE391" s="239"/>
      <c r="BF391" s="239"/>
      <c r="BG391" s="239"/>
      <c r="BH391" s="239"/>
      <c r="BI391" s="239"/>
    </row>
    <row r="392">
      <c r="A392" s="239"/>
      <c r="B392" s="239"/>
      <c r="C392" s="263" t="b">
        <v>0</v>
      </c>
      <c r="D392" s="264"/>
      <c r="E392" s="264"/>
      <c r="F392" s="264"/>
      <c r="G392" s="270"/>
      <c r="H392" s="266" t="str">
        <f t="shared" si="2"/>
        <v/>
      </c>
      <c r="I392" s="263" t="b">
        <v>0</v>
      </c>
      <c r="J392" s="266"/>
      <c r="K392" s="266"/>
      <c r="L392" s="266"/>
      <c r="M392" s="266"/>
      <c r="N392" s="266"/>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c r="BD392" s="239"/>
      <c r="BE392" s="239"/>
      <c r="BF392" s="239"/>
      <c r="BG392" s="239"/>
      <c r="BH392" s="239"/>
      <c r="BI392" s="239"/>
    </row>
    <row r="393">
      <c r="A393" s="239"/>
      <c r="B393" s="239"/>
      <c r="C393" s="263" t="b">
        <v>0</v>
      </c>
      <c r="D393" s="264"/>
      <c r="E393" s="264"/>
      <c r="F393" s="264"/>
      <c r="G393" s="270"/>
      <c r="H393" s="266" t="str">
        <f t="shared" si="2"/>
        <v/>
      </c>
      <c r="I393" s="263" t="b">
        <v>0</v>
      </c>
      <c r="J393" s="266"/>
      <c r="K393" s="266"/>
      <c r="L393" s="266"/>
      <c r="M393" s="266"/>
      <c r="N393" s="266"/>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c r="BD393" s="239"/>
      <c r="BE393" s="239"/>
      <c r="BF393" s="239"/>
      <c r="BG393" s="239"/>
      <c r="BH393" s="239"/>
      <c r="BI393" s="239"/>
    </row>
    <row r="394">
      <c r="A394" s="239"/>
      <c r="B394" s="239"/>
      <c r="C394" s="263" t="b">
        <v>0</v>
      </c>
      <c r="D394" s="264"/>
      <c r="E394" s="264"/>
      <c r="F394" s="264"/>
      <c r="G394" s="270"/>
      <c r="H394" s="266" t="str">
        <f t="shared" si="2"/>
        <v/>
      </c>
      <c r="I394" s="263" t="b">
        <v>0</v>
      </c>
      <c r="J394" s="266"/>
      <c r="K394" s="266"/>
      <c r="L394" s="266"/>
      <c r="M394" s="266"/>
      <c r="N394" s="266"/>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c r="BD394" s="239"/>
      <c r="BE394" s="239"/>
      <c r="BF394" s="239"/>
      <c r="BG394" s="239"/>
      <c r="BH394" s="239"/>
      <c r="BI394" s="239"/>
    </row>
    <row r="395">
      <c r="A395" s="239"/>
      <c r="B395" s="239"/>
      <c r="C395" s="263" t="b">
        <v>0</v>
      </c>
      <c r="D395" s="264"/>
      <c r="E395" s="264"/>
      <c r="F395" s="264"/>
      <c r="G395" s="270"/>
      <c r="H395" s="266" t="str">
        <f t="shared" si="2"/>
        <v/>
      </c>
      <c r="I395" s="263" t="b">
        <v>0</v>
      </c>
      <c r="J395" s="266"/>
      <c r="K395" s="266"/>
      <c r="L395" s="266"/>
      <c r="M395" s="266"/>
      <c r="N395" s="266"/>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c r="BD395" s="239"/>
      <c r="BE395" s="239"/>
      <c r="BF395" s="239"/>
      <c r="BG395" s="239"/>
      <c r="BH395" s="239"/>
      <c r="BI395" s="239"/>
    </row>
    <row r="396">
      <c r="A396" s="239"/>
      <c r="B396" s="239"/>
      <c r="C396" s="263" t="b">
        <v>0</v>
      </c>
      <c r="D396" s="264"/>
      <c r="E396" s="264"/>
      <c r="F396" s="264"/>
      <c r="G396" s="270"/>
      <c r="H396" s="266" t="str">
        <f t="shared" si="2"/>
        <v/>
      </c>
      <c r="I396" s="263" t="b">
        <v>0</v>
      </c>
      <c r="J396" s="266"/>
      <c r="K396" s="266"/>
      <c r="L396" s="266"/>
      <c r="M396" s="266"/>
      <c r="N396" s="266"/>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c r="BD396" s="239"/>
      <c r="BE396" s="239"/>
      <c r="BF396" s="239"/>
      <c r="BG396" s="239"/>
      <c r="BH396" s="239"/>
      <c r="BI396" s="239"/>
    </row>
    <row r="397">
      <c r="A397" s="239"/>
      <c r="B397" s="239"/>
      <c r="C397" s="263" t="b">
        <v>0</v>
      </c>
      <c r="D397" s="264"/>
      <c r="E397" s="264"/>
      <c r="F397" s="264"/>
      <c r="G397" s="270"/>
      <c r="H397" s="266" t="str">
        <f t="shared" si="2"/>
        <v/>
      </c>
      <c r="I397" s="263" t="b">
        <v>0</v>
      </c>
      <c r="J397" s="266"/>
      <c r="K397" s="266"/>
      <c r="L397" s="266"/>
      <c r="M397" s="266"/>
      <c r="N397" s="266"/>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c r="AK397" s="239"/>
      <c r="AL397" s="239"/>
      <c r="AM397" s="239"/>
      <c r="AN397" s="239"/>
      <c r="AO397" s="239"/>
      <c r="AP397" s="239"/>
      <c r="AQ397" s="239"/>
      <c r="AR397" s="239"/>
      <c r="AS397" s="239"/>
      <c r="AT397" s="239"/>
      <c r="AU397" s="239"/>
      <c r="AV397" s="239"/>
      <c r="AW397" s="239"/>
      <c r="AX397" s="239"/>
      <c r="AY397" s="239"/>
      <c r="AZ397" s="239"/>
      <c r="BA397" s="239"/>
      <c r="BB397" s="239"/>
      <c r="BC397" s="239"/>
      <c r="BD397" s="239"/>
      <c r="BE397" s="239"/>
      <c r="BF397" s="239"/>
      <c r="BG397" s="239"/>
      <c r="BH397" s="239"/>
      <c r="BI397" s="239"/>
    </row>
    <row r="398">
      <c r="A398" s="239"/>
      <c r="B398" s="239"/>
      <c r="C398" s="263" t="b">
        <v>0</v>
      </c>
      <c r="D398" s="264"/>
      <c r="E398" s="264"/>
      <c r="F398" s="264"/>
      <c r="G398" s="270"/>
      <c r="H398" s="266" t="str">
        <f t="shared" si="2"/>
        <v/>
      </c>
      <c r="I398" s="263" t="b">
        <v>0</v>
      </c>
      <c r="J398" s="266"/>
      <c r="K398" s="266"/>
      <c r="L398" s="266"/>
      <c r="M398" s="266"/>
      <c r="N398" s="266"/>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c r="BD398" s="239"/>
      <c r="BE398" s="239"/>
      <c r="BF398" s="239"/>
      <c r="BG398" s="239"/>
      <c r="BH398" s="239"/>
      <c r="BI398" s="239"/>
    </row>
    <row r="399">
      <c r="A399" s="239"/>
      <c r="B399" s="239"/>
      <c r="C399" s="263" t="b">
        <v>0</v>
      </c>
      <c r="D399" s="264"/>
      <c r="E399" s="264"/>
      <c r="F399" s="264"/>
      <c r="G399" s="270"/>
      <c r="H399" s="266" t="str">
        <f t="shared" si="2"/>
        <v/>
      </c>
      <c r="I399" s="263" t="b">
        <v>0</v>
      </c>
      <c r="J399" s="266"/>
      <c r="K399" s="266"/>
      <c r="L399" s="266"/>
      <c r="M399" s="266"/>
      <c r="N399" s="266"/>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c r="BD399" s="239"/>
      <c r="BE399" s="239"/>
      <c r="BF399" s="239"/>
      <c r="BG399" s="239"/>
      <c r="BH399" s="239"/>
      <c r="BI399" s="239"/>
    </row>
    <row r="400">
      <c r="A400" s="239"/>
      <c r="B400" s="239"/>
      <c r="C400" s="263" t="b">
        <v>0</v>
      </c>
      <c r="D400" s="264"/>
      <c r="E400" s="264"/>
      <c r="F400" s="264"/>
      <c r="G400" s="270"/>
      <c r="H400" s="266" t="str">
        <f t="shared" si="2"/>
        <v/>
      </c>
      <c r="I400" s="263" t="b">
        <v>0</v>
      </c>
      <c r="J400" s="266"/>
      <c r="K400" s="266"/>
      <c r="L400" s="266"/>
      <c r="M400" s="266"/>
      <c r="N400" s="266"/>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c r="BD400" s="239"/>
      <c r="BE400" s="239"/>
      <c r="BF400" s="239"/>
      <c r="BG400" s="239"/>
      <c r="BH400" s="239"/>
      <c r="BI400" s="239"/>
    </row>
    <row r="401">
      <c r="A401" s="239"/>
      <c r="B401" s="239"/>
      <c r="C401" s="263" t="b">
        <v>0</v>
      </c>
      <c r="D401" s="264"/>
      <c r="E401" s="264"/>
      <c r="F401" s="264"/>
      <c r="G401" s="270"/>
      <c r="H401" s="266" t="str">
        <f t="shared" si="2"/>
        <v/>
      </c>
      <c r="I401" s="263" t="b">
        <v>0</v>
      </c>
      <c r="J401" s="266"/>
      <c r="K401" s="266"/>
      <c r="L401" s="266"/>
      <c r="M401" s="266"/>
      <c r="N401" s="266"/>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c r="BD401" s="239"/>
      <c r="BE401" s="239"/>
      <c r="BF401" s="239"/>
      <c r="BG401" s="239"/>
      <c r="BH401" s="239"/>
      <c r="BI401" s="239"/>
    </row>
    <row r="402">
      <c r="A402" s="239"/>
      <c r="B402" s="239"/>
      <c r="C402" s="263" t="b">
        <v>0</v>
      </c>
      <c r="D402" s="264"/>
      <c r="E402" s="264"/>
      <c r="F402" s="264"/>
      <c r="G402" s="270"/>
      <c r="H402" s="266" t="str">
        <f t="shared" si="2"/>
        <v/>
      </c>
      <c r="I402" s="263" t="b">
        <v>0</v>
      </c>
      <c r="J402" s="266"/>
      <c r="K402" s="266"/>
      <c r="L402" s="266"/>
      <c r="M402" s="266"/>
      <c r="N402" s="266"/>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row>
    <row r="403">
      <c r="A403" s="239"/>
      <c r="B403" s="239"/>
      <c r="C403" s="263" t="b">
        <v>0</v>
      </c>
      <c r="D403" s="264"/>
      <c r="E403" s="264"/>
      <c r="F403" s="264"/>
      <c r="G403" s="270"/>
      <c r="H403" s="266" t="str">
        <f t="shared" si="2"/>
        <v/>
      </c>
      <c r="I403" s="263" t="b">
        <v>0</v>
      </c>
      <c r="J403" s="266"/>
      <c r="K403" s="266"/>
      <c r="L403" s="266"/>
      <c r="M403" s="266"/>
      <c r="N403" s="266"/>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row>
    <row r="404">
      <c r="A404" s="239"/>
      <c r="B404" s="239"/>
      <c r="C404" s="263" t="b">
        <v>0</v>
      </c>
      <c r="D404" s="264"/>
      <c r="E404" s="264"/>
      <c r="F404" s="264"/>
      <c r="G404" s="270"/>
      <c r="H404" s="266" t="str">
        <f t="shared" si="2"/>
        <v/>
      </c>
      <c r="I404" s="263" t="b">
        <v>0</v>
      </c>
      <c r="J404" s="266"/>
      <c r="K404" s="266"/>
      <c r="L404" s="266"/>
      <c r="M404" s="266"/>
      <c r="N404" s="266"/>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row>
    <row r="405">
      <c r="A405" s="239"/>
      <c r="B405" s="239"/>
      <c r="C405" s="263" t="b">
        <v>0</v>
      </c>
      <c r="D405" s="264"/>
      <c r="E405" s="264"/>
      <c r="F405" s="264"/>
      <c r="G405" s="270"/>
      <c r="H405" s="266" t="str">
        <f t="shared" si="2"/>
        <v/>
      </c>
      <c r="I405" s="263" t="b">
        <v>0</v>
      </c>
      <c r="J405" s="266"/>
      <c r="K405" s="266"/>
      <c r="L405" s="266"/>
      <c r="M405" s="266"/>
      <c r="N405" s="266"/>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row>
    <row r="406">
      <c r="A406" s="239"/>
      <c r="B406" s="239"/>
      <c r="C406" s="263" t="b">
        <v>0</v>
      </c>
      <c r="D406" s="264"/>
      <c r="E406" s="264"/>
      <c r="F406" s="264"/>
      <c r="G406" s="270"/>
      <c r="H406" s="266" t="str">
        <f t="shared" si="2"/>
        <v/>
      </c>
      <c r="I406" s="263" t="b">
        <v>0</v>
      </c>
      <c r="J406" s="266"/>
      <c r="K406" s="266"/>
      <c r="L406" s="266"/>
      <c r="M406" s="266"/>
      <c r="N406" s="266"/>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row>
    <row r="407">
      <c r="A407" s="239"/>
      <c r="B407" s="239"/>
      <c r="C407" s="263" t="b">
        <v>0</v>
      </c>
      <c r="D407" s="264"/>
      <c r="E407" s="264"/>
      <c r="F407" s="264"/>
      <c r="G407" s="270"/>
      <c r="H407" s="266" t="str">
        <f t="shared" si="2"/>
        <v/>
      </c>
      <c r="I407" s="263" t="b">
        <v>0</v>
      </c>
      <c r="J407" s="266"/>
      <c r="K407" s="266"/>
      <c r="L407" s="266"/>
      <c r="M407" s="266"/>
      <c r="N407" s="266"/>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row>
    <row r="408">
      <c r="A408" s="239"/>
      <c r="B408" s="239"/>
      <c r="C408" s="263" t="b">
        <v>0</v>
      </c>
      <c r="D408" s="264"/>
      <c r="E408" s="264"/>
      <c r="F408" s="264"/>
      <c r="G408" s="270"/>
      <c r="H408" s="266" t="str">
        <f t="shared" si="2"/>
        <v/>
      </c>
      <c r="I408" s="263" t="b">
        <v>0</v>
      </c>
      <c r="J408" s="266"/>
      <c r="K408" s="266"/>
      <c r="L408" s="266"/>
      <c r="M408" s="266"/>
      <c r="N408" s="266"/>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row>
    <row r="409">
      <c r="A409" s="239"/>
      <c r="B409" s="239"/>
      <c r="C409" s="263" t="b">
        <v>0</v>
      </c>
      <c r="D409" s="264"/>
      <c r="E409" s="264"/>
      <c r="F409" s="264"/>
      <c r="G409" s="270"/>
      <c r="H409" s="266" t="str">
        <f t="shared" si="2"/>
        <v/>
      </c>
      <c r="I409" s="263" t="b">
        <v>0</v>
      </c>
      <c r="J409" s="266"/>
      <c r="K409" s="266"/>
      <c r="L409" s="266"/>
      <c r="M409" s="266"/>
      <c r="N409" s="266"/>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row>
    <row r="410">
      <c r="A410" s="239"/>
      <c r="B410" s="239"/>
      <c r="C410" s="263" t="b">
        <v>0</v>
      </c>
      <c r="D410" s="264"/>
      <c r="E410" s="264"/>
      <c r="F410" s="264"/>
      <c r="G410" s="270"/>
      <c r="H410" s="266" t="str">
        <f t="shared" si="2"/>
        <v/>
      </c>
      <c r="I410" s="263" t="b">
        <v>0</v>
      </c>
      <c r="J410" s="266"/>
      <c r="K410" s="266"/>
      <c r="L410" s="266"/>
      <c r="M410" s="266"/>
      <c r="N410" s="266"/>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row>
    <row r="411">
      <c r="A411" s="239"/>
      <c r="B411" s="239"/>
      <c r="C411" s="263" t="b">
        <v>0</v>
      </c>
      <c r="D411" s="264"/>
      <c r="E411" s="264"/>
      <c r="F411" s="264"/>
      <c r="G411" s="270"/>
      <c r="H411" s="266" t="str">
        <f t="shared" si="2"/>
        <v/>
      </c>
      <c r="I411" s="263" t="b">
        <v>0</v>
      </c>
      <c r="J411" s="266"/>
      <c r="K411" s="266"/>
      <c r="L411" s="266"/>
      <c r="M411" s="266"/>
      <c r="N411" s="266"/>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row>
    <row r="412">
      <c r="A412" s="239"/>
      <c r="B412" s="239"/>
      <c r="C412" s="263" t="b">
        <v>0</v>
      </c>
      <c r="D412" s="264"/>
      <c r="E412" s="264"/>
      <c r="F412" s="264"/>
      <c r="G412" s="270"/>
      <c r="H412" s="266" t="str">
        <f t="shared" si="2"/>
        <v/>
      </c>
      <c r="I412" s="263" t="b">
        <v>0</v>
      </c>
      <c r="J412" s="266"/>
      <c r="K412" s="266"/>
      <c r="L412" s="266"/>
      <c r="M412" s="266"/>
      <c r="N412" s="266"/>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row>
    <row r="413">
      <c r="A413" s="239"/>
      <c r="B413" s="239"/>
      <c r="C413" s="263" t="b">
        <v>0</v>
      </c>
      <c r="D413" s="264"/>
      <c r="E413" s="264"/>
      <c r="F413" s="264"/>
      <c r="G413" s="270"/>
      <c r="H413" s="266" t="str">
        <f t="shared" si="2"/>
        <v/>
      </c>
      <c r="I413" s="263" t="b">
        <v>0</v>
      </c>
      <c r="J413" s="266"/>
      <c r="K413" s="266"/>
      <c r="L413" s="266"/>
      <c r="M413" s="266"/>
      <c r="N413" s="266"/>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row>
    <row r="414">
      <c r="A414" s="239"/>
      <c r="B414" s="239"/>
      <c r="C414" s="263" t="b">
        <v>0</v>
      </c>
      <c r="D414" s="264"/>
      <c r="E414" s="264"/>
      <c r="F414" s="264"/>
      <c r="G414" s="270"/>
      <c r="H414" s="266" t="str">
        <f t="shared" si="2"/>
        <v/>
      </c>
      <c r="I414" s="263" t="b">
        <v>0</v>
      </c>
      <c r="J414" s="266"/>
      <c r="K414" s="266"/>
      <c r="L414" s="266"/>
      <c r="M414" s="266"/>
      <c r="N414" s="266"/>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row>
    <row r="415">
      <c r="A415" s="239"/>
      <c r="B415" s="239"/>
      <c r="C415" s="263" t="b">
        <v>0</v>
      </c>
      <c r="D415" s="264"/>
      <c r="E415" s="264"/>
      <c r="F415" s="264"/>
      <c r="G415" s="270"/>
      <c r="H415" s="266" t="str">
        <f t="shared" si="2"/>
        <v/>
      </c>
      <c r="I415" s="263" t="b">
        <v>0</v>
      </c>
      <c r="J415" s="266"/>
      <c r="K415" s="266"/>
      <c r="L415" s="266"/>
      <c r="M415" s="266"/>
      <c r="N415" s="266"/>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row>
    <row r="416">
      <c r="A416" s="239"/>
      <c r="B416" s="239"/>
      <c r="C416" s="263" t="b">
        <v>0</v>
      </c>
      <c r="D416" s="264"/>
      <c r="E416" s="264"/>
      <c r="F416" s="264"/>
      <c r="G416" s="270"/>
      <c r="H416" s="266" t="str">
        <f t="shared" si="2"/>
        <v/>
      </c>
      <c r="I416" s="263" t="b">
        <v>0</v>
      </c>
      <c r="J416" s="266"/>
      <c r="K416" s="266"/>
      <c r="L416" s="266"/>
      <c r="M416" s="266"/>
      <c r="N416" s="266"/>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row>
    <row r="417">
      <c r="A417" s="239"/>
      <c r="B417" s="239"/>
      <c r="C417" s="263" t="b">
        <v>0</v>
      </c>
      <c r="D417" s="264"/>
      <c r="E417" s="264"/>
      <c r="F417" s="264"/>
      <c r="G417" s="270"/>
      <c r="H417" s="266" t="str">
        <f t="shared" si="2"/>
        <v/>
      </c>
      <c r="I417" s="263" t="b">
        <v>0</v>
      </c>
      <c r="J417" s="266"/>
      <c r="K417" s="266"/>
      <c r="L417" s="266"/>
      <c r="M417" s="266"/>
      <c r="N417" s="266"/>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row>
    <row r="418">
      <c r="A418" s="239"/>
      <c r="B418" s="239"/>
      <c r="C418" s="263" t="b">
        <v>0</v>
      </c>
      <c r="D418" s="264"/>
      <c r="E418" s="264"/>
      <c r="F418" s="264"/>
      <c r="G418" s="270"/>
      <c r="H418" s="266" t="str">
        <f t="shared" si="2"/>
        <v/>
      </c>
      <c r="I418" s="263" t="b">
        <v>0</v>
      </c>
      <c r="J418" s="266"/>
      <c r="K418" s="266"/>
      <c r="L418" s="266"/>
      <c r="M418" s="266"/>
      <c r="N418" s="266"/>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row>
    <row r="419">
      <c r="A419" s="239"/>
      <c r="B419" s="239"/>
      <c r="C419" s="263" t="b">
        <v>0</v>
      </c>
      <c r="D419" s="264"/>
      <c r="E419" s="264"/>
      <c r="F419" s="264"/>
      <c r="G419" s="270"/>
      <c r="H419" s="266" t="str">
        <f t="shared" si="2"/>
        <v/>
      </c>
      <c r="I419" s="263" t="b">
        <v>0</v>
      </c>
      <c r="J419" s="266"/>
      <c r="K419" s="266"/>
      <c r="L419" s="266"/>
      <c r="M419" s="266"/>
      <c r="N419" s="266"/>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row>
    <row r="420">
      <c r="A420" s="239"/>
      <c r="B420" s="239"/>
      <c r="C420" s="263" t="b">
        <v>0</v>
      </c>
      <c r="D420" s="264"/>
      <c r="E420" s="264"/>
      <c r="F420" s="264"/>
      <c r="G420" s="270"/>
      <c r="H420" s="266" t="str">
        <f t="shared" si="2"/>
        <v/>
      </c>
      <c r="I420" s="263" t="b">
        <v>0</v>
      </c>
      <c r="J420" s="266"/>
      <c r="K420" s="266"/>
      <c r="L420" s="266"/>
      <c r="M420" s="266"/>
      <c r="N420" s="266"/>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row>
    <row r="421">
      <c r="A421" s="239"/>
      <c r="B421" s="239"/>
      <c r="C421" s="263" t="b">
        <v>0</v>
      </c>
      <c r="D421" s="264"/>
      <c r="E421" s="264"/>
      <c r="F421" s="264"/>
      <c r="G421" s="270"/>
      <c r="H421" s="266" t="str">
        <f t="shared" si="2"/>
        <v/>
      </c>
      <c r="I421" s="263" t="b">
        <v>0</v>
      </c>
      <c r="J421" s="266"/>
      <c r="K421" s="266"/>
      <c r="L421" s="266"/>
      <c r="M421" s="266"/>
      <c r="N421" s="266"/>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row>
    <row r="422">
      <c r="A422" s="239"/>
      <c r="B422" s="239"/>
      <c r="C422" s="263" t="b">
        <v>0</v>
      </c>
      <c r="D422" s="264"/>
      <c r="E422" s="264"/>
      <c r="F422" s="264"/>
      <c r="G422" s="270"/>
      <c r="H422" s="266" t="str">
        <f t="shared" si="2"/>
        <v/>
      </c>
      <c r="I422" s="263" t="b">
        <v>0</v>
      </c>
      <c r="J422" s="266"/>
      <c r="K422" s="266"/>
      <c r="L422" s="266"/>
      <c r="M422" s="266"/>
      <c r="N422" s="266"/>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row>
    <row r="423">
      <c r="A423" s="239"/>
      <c r="B423" s="239"/>
      <c r="C423" s="263" t="b">
        <v>0</v>
      </c>
      <c r="D423" s="264"/>
      <c r="E423" s="264"/>
      <c r="F423" s="264"/>
      <c r="G423" s="270"/>
      <c r="H423" s="266" t="str">
        <f t="shared" si="2"/>
        <v/>
      </c>
      <c r="I423" s="263" t="b">
        <v>0</v>
      </c>
      <c r="J423" s="266"/>
      <c r="K423" s="266"/>
      <c r="L423" s="266"/>
      <c r="M423" s="266"/>
      <c r="N423" s="266"/>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row>
    <row r="424">
      <c r="A424" s="239"/>
      <c r="B424" s="239"/>
      <c r="C424" s="263" t="b">
        <v>0</v>
      </c>
      <c r="D424" s="264"/>
      <c r="E424" s="264"/>
      <c r="F424" s="264"/>
      <c r="G424" s="270"/>
      <c r="H424" s="266" t="str">
        <f t="shared" si="2"/>
        <v/>
      </c>
      <c r="I424" s="263" t="b">
        <v>0</v>
      </c>
      <c r="J424" s="266"/>
      <c r="K424" s="266"/>
      <c r="L424" s="266"/>
      <c r="M424" s="266"/>
      <c r="N424" s="266"/>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row>
    <row r="425">
      <c r="A425" s="239"/>
      <c r="B425" s="239"/>
      <c r="C425" s="263" t="b">
        <v>0</v>
      </c>
      <c r="D425" s="264"/>
      <c r="E425" s="264"/>
      <c r="F425" s="264"/>
      <c r="G425" s="270"/>
      <c r="H425" s="266" t="str">
        <f t="shared" si="2"/>
        <v/>
      </c>
      <c r="I425" s="263" t="b">
        <v>0</v>
      </c>
      <c r="J425" s="266"/>
      <c r="K425" s="266"/>
      <c r="L425" s="266"/>
      <c r="M425" s="266"/>
      <c r="N425" s="266"/>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row>
    <row r="426">
      <c r="A426" s="239"/>
      <c r="B426" s="239"/>
      <c r="C426" s="263" t="b">
        <v>0</v>
      </c>
      <c r="D426" s="264"/>
      <c r="E426" s="264"/>
      <c r="F426" s="264"/>
      <c r="G426" s="270"/>
      <c r="H426" s="266" t="str">
        <f t="shared" si="2"/>
        <v/>
      </c>
      <c r="I426" s="263" t="b">
        <v>0</v>
      </c>
      <c r="J426" s="266"/>
      <c r="K426" s="266"/>
      <c r="L426" s="266"/>
      <c r="M426" s="266"/>
      <c r="N426" s="266"/>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row>
    <row r="427">
      <c r="A427" s="239"/>
      <c r="B427" s="239"/>
      <c r="C427" s="263" t="b">
        <v>0</v>
      </c>
      <c r="D427" s="264"/>
      <c r="E427" s="264"/>
      <c r="F427" s="264"/>
      <c r="G427" s="270"/>
      <c r="H427" s="266" t="str">
        <f t="shared" si="2"/>
        <v/>
      </c>
      <c r="I427" s="263" t="b">
        <v>0</v>
      </c>
      <c r="J427" s="266"/>
      <c r="K427" s="266"/>
      <c r="L427" s="266"/>
      <c r="M427" s="266"/>
      <c r="N427" s="266"/>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row>
    <row r="428">
      <c r="A428" s="239"/>
      <c r="B428" s="239"/>
      <c r="C428" s="263" t="b">
        <v>0</v>
      </c>
      <c r="D428" s="264"/>
      <c r="E428" s="264"/>
      <c r="F428" s="264"/>
      <c r="G428" s="270"/>
      <c r="H428" s="266" t="str">
        <f t="shared" si="2"/>
        <v/>
      </c>
      <c r="I428" s="263" t="b">
        <v>0</v>
      </c>
      <c r="J428" s="266"/>
      <c r="K428" s="266"/>
      <c r="L428" s="266"/>
      <c r="M428" s="266"/>
      <c r="N428" s="266"/>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row>
    <row r="429">
      <c r="A429" s="239"/>
      <c r="B429" s="239"/>
      <c r="C429" s="263" t="b">
        <v>0</v>
      </c>
      <c r="D429" s="264"/>
      <c r="E429" s="264"/>
      <c r="F429" s="264"/>
      <c r="G429" s="270"/>
      <c r="H429" s="266" t="str">
        <f t="shared" si="2"/>
        <v/>
      </c>
      <c r="I429" s="263" t="b">
        <v>0</v>
      </c>
      <c r="J429" s="266"/>
      <c r="K429" s="266"/>
      <c r="L429" s="266"/>
      <c r="M429" s="266"/>
      <c r="N429" s="266"/>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row>
    <row r="430">
      <c r="A430" s="239"/>
      <c r="B430" s="239"/>
      <c r="C430" s="263" t="b">
        <v>0</v>
      </c>
      <c r="D430" s="264"/>
      <c r="E430" s="264"/>
      <c r="F430" s="264"/>
      <c r="G430" s="270"/>
      <c r="H430" s="266" t="str">
        <f t="shared" si="2"/>
        <v/>
      </c>
      <c r="I430" s="263" t="b">
        <v>0</v>
      </c>
      <c r="J430" s="266"/>
      <c r="K430" s="266"/>
      <c r="L430" s="266"/>
      <c r="M430" s="266"/>
      <c r="N430" s="266"/>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row>
    <row r="431">
      <c r="A431" s="239"/>
      <c r="B431" s="239"/>
      <c r="C431" s="263" t="b">
        <v>0</v>
      </c>
      <c r="D431" s="264"/>
      <c r="E431" s="264"/>
      <c r="F431" s="264"/>
      <c r="G431" s="270"/>
      <c r="H431" s="266" t="str">
        <f t="shared" si="2"/>
        <v/>
      </c>
      <c r="I431" s="263" t="b">
        <v>0</v>
      </c>
      <c r="J431" s="266"/>
      <c r="K431" s="266"/>
      <c r="L431" s="266"/>
      <c r="M431" s="266"/>
      <c r="N431" s="266"/>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row>
    <row r="432">
      <c r="A432" s="239"/>
      <c r="B432" s="239"/>
      <c r="C432" s="263" t="b">
        <v>0</v>
      </c>
      <c r="D432" s="264"/>
      <c r="E432" s="264"/>
      <c r="F432" s="264"/>
      <c r="G432" s="270"/>
      <c r="H432" s="266" t="str">
        <f t="shared" si="2"/>
        <v/>
      </c>
      <c r="I432" s="263" t="b">
        <v>0</v>
      </c>
      <c r="J432" s="266"/>
      <c r="K432" s="266"/>
      <c r="L432" s="266"/>
      <c r="M432" s="266"/>
      <c r="N432" s="266"/>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row>
    <row r="433">
      <c r="A433" s="239"/>
      <c r="B433" s="239"/>
      <c r="C433" s="263" t="b">
        <v>0</v>
      </c>
      <c r="D433" s="264"/>
      <c r="E433" s="264"/>
      <c r="F433" s="264"/>
      <c r="G433" s="270"/>
      <c r="H433" s="266" t="str">
        <f t="shared" si="2"/>
        <v/>
      </c>
      <c r="I433" s="263" t="b">
        <v>0</v>
      </c>
      <c r="J433" s="266"/>
      <c r="K433" s="266"/>
      <c r="L433" s="266"/>
      <c r="M433" s="266"/>
      <c r="N433" s="266"/>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row>
    <row r="434">
      <c r="A434" s="239"/>
      <c r="B434" s="239"/>
      <c r="C434" s="263" t="b">
        <v>0</v>
      </c>
      <c r="D434" s="264"/>
      <c r="E434" s="264"/>
      <c r="F434" s="264"/>
      <c r="G434" s="270"/>
      <c r="H434" s="266" t="str">
        <f t="shared" si="2"/>
        <v/>
      </c>
      <c r="I434" s="263" t="b">
        <v>0</v>
      </c>
      <c r="J434" s="266"/>
      <c r="K434" s="266"/>
      <c r="L434" s="266"/>
      <c r="M434" s="266"/>
      <c r="N434" s="266"/>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row>
    <row r="435">
      <c r="A435" s="239"/>
      <c r="B435" s="239"/>
      <c r="C435" s="263" t="b">
        <v>0</v>
      </c>
      <c r="D435" s="264"/>
      <c r="E435" s="264"/>
      <c r="F435" s="264"/>
      <c r="G435" s="270"/>
      <c r="H435" s="266" t="str">
        <f t="shared" si="2"/>
        <v/>
      </c>
      <c r="I435" s="263" t="b">
        <v>0</v>
      </c>
      <c r="J435" s="266"/>
      <c r="K435" s="266"/>
      <c r="L435" s="266"/>
      <c r="M435" s="266"/>
      <c r="N435" s="266"/>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row>
    <row r="436">
      <c r="A436" s="239"/>
      <c r="B436" s="239"/>
      <c r="C436" s="263" t="b">
        <v>0</v>
      </c>
      <c r="D436" s="264"/>
      <c r="E436" s="264"/>
      <c r="F436" s="264"/>
      <c r="G436" s="270"/>
      <c r="H436" s="266" t="str">
        <f t="shared" si="2"/>
        <v/>
      </c>
      <c r="I436" s="263" t="b">
        <v>0</v>
      </c>
      <c r="J436" s="266"/>
      <c r="K436" s="266"/>
      <c r="L436" s="266"/>
      <c r="M436" s="266"/>
      <c r="N436" s="266"/>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row>
    <row r="437">
      <c r="A437" s="239"/>
      <c r="B437" s="239"/>
      <c r="C437" s="263" t="b">
        <v>0</v>
      </c>
      <c r="D437" s="264"/>
      <c r="E437" s="264"/>
      <c r="F437" s="264"/>
      <c r="G437" s="270"/>
      <c r="H437" s="266" t="str">
        <f t="shared" si="2"/>
        <v/>
      </c>
      <c r="I437" s="263" t="b">
        <v>0</v>
      </c>
      <c r="J437" s="266"/>
      <c r="K437" s="266"/>
      <c r="L437" s="266"/>
      <c r="M437" s="266"/>
      <c r="N437" s="266"/>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row>
    <row r="438">
      <c r="A438" s="239"/>
      <c r="B438" s="239"/>
      <c r="C438" s="263" t="b">
        <v>0</v>
      </c>
      <c r="D438" s="264"/>
      <c r="E438" s="264"/>
      <c r="F438" s="264"/>
      <c r="G438" s="270"/>
      <c r="H438" s="266" t="str">
        <f t="shared" si="2"/>
        <v/>
      </c>
      <c r="I438" s="263" t="b">
        <v>0</v>
      </c>
      <c r="J438" s="266"/>
      <c r="K438" s="266"/>
      <c r="L438" s="266"/>
      <c r="M438" s="266"/>
      <c r="N438" s="266"/>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row>
    <row r="439">
      <c r="A439" s="239"/>
      <c r="B439" s="239"/>
      <c r="C439" s="263" t="b">
        <v>0</v>
      </c>
      <c r="D439" s="264"/>
      <c r="E439" s="264"/>
      <c r="F439" s="264"/>
      <c r="G439" s="270"/>
      <c r="H439" s="266" t="str">
        <f t="shared" si="2"/>
        <v/>
      </c>
      <c r="I439" s="263" t="b">
        <v>0</v>
      </c>
      <c r="J439" s="266"/>
      <c r="K439" s="266"/>
      <c r="L439" s="266"/>
      <c r="M439" s="266"/>
      <c r="N439" s="266"/>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row>
    <row r="440">
      <c r="A440" s="239"/>
      <c r="B440" s="239"/>
      <c r="C440" s="263" t="b">
        <v>0</v>
      </c>
      <c r="D440" s="264"/>
      <c r="E440" s="264"/>
      <c r="F440" s="264"/>
      <c r="G440" s="270"/>
      <c r="H440" s="266" t="str">
        <f t="shared" si="2"/>
        <v/>
      </c>
      <c r="I440" s="263" t="b">
        <v>0</v>
      </c>
      <c r="J440" s="266"/>
      <c r="K440" s="266"/>
      <c r="L440" s="266"/>
      <c r="M440" s="266"/>
      <c r="N440" s="266"/>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row>
    <row r="441">
      <c r="A441" s="239"/>
      <c r="B441" s="239"/>
      <c r="C441" s="263" t="b">
        <v>0</v>
      </c>
      <c r="D441" s="264"/>
      <c r="E441" s="264"/>
      <c r="F441" s="264"/>
      <c r="G441" s="270"/>
      <c r="H441" s="266" t="str">
        <f t="shared" si="2"/>
        <v/>
      </c>
      <c r="I441" s="263" t="b">
        <v>0</v>
      </c>
      <c r="J441" s="266"/>
      <c r="K441" s="266"/>
      <c r="L441" s="266"/>
      <c r="M441" s="266"/>
      <c r="N441" s="266"/>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row>
    <row r="442">
      <c r="A442" s="239"/>
      <c r="B442" s="239"/>
      <c r="C442" s="263" t="b">
        <v>0</v>
      </c>
      <c r="D442" s="264"/>
      <c r="E442" s="264"/>
      <c r="F442" s="264"/>
      <c r="G442" s="270"/>
      <c r="H442" s="266" t="str">
        <f t="shared" si="2"/>
        <v/>
      </c>
      <c r="I442" s="263" t="b">
        <v>0</v>
      </c>
      <c r="J442" s="266"/>
      <c r="K442" s="266"/>
      <c r="L442" s="266"/>
      <c r="M442" s="266"/>
      <c r="N442" s="266"/>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row>
    <row r="443">
      <c r="A443" s="239"/>
      <c r="B443" s="239"/>
      <c r="C443" s="263" t="b">
        <v>0</v>
      </c>
      <c r="D443" s="264"/>
      <c r="E443" s="264"/>
      <c r="F443" s="264"/>
      <c r="G443" s="270"/>
      <c r="H443" s="266" t="str">
        <f t="shared" si="2"/>
        <v/>
      </c>
      <c r="I443" s="263" t="b">
        <v>0</v>
      </c>
      <c r="J443" s="266"/>
      <c r="K443" s="266"/>
      <c r="L443" s="266"/>
      <c r="M443" s="266"/>
      <c r="N443" s="266"/>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row>
    <row r="444">
      <c r="A444" s="239"/>
      <c r="B444" s="239"/>
      <c r="C444" s="263" t="b">
        <v>0</v>
      </c>
      <c r="D444" s="264"/>
      <c r="E444" s="264"/>
      <c r="F444" s="264"/>
      <c r="G444" s="270"/>
      <c r="H444" s="266" t="str">
        <f t="shared" si="2"/>
        <v/>
      </c>
      <c r="I444" s="263" t="b">
        <v>0</v>
      </c>
      <c r="J444" s="266"/>
      <c r="K444" s="266"/>
      <c r="L444" s="266"/>
      <c r="M444" s="266"/>
      <c r="N444" s="266"/>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row>
    <row r="445">
      <c r="A445" s="239"/>
      <c r="B445" s="239"/>
      <c r="C445" s="263" t="b">
        <v>0</v>
      </c>
      <c r="D445" s="264"/>
      <c r="E445" s="264"/>
      <c r="F445" s="264"/>
      <c r="G445" s="270"/>
      <c r="H445" s="266" t="str">
        <f t="shared" si="2"/>
        <v/>
      </c>
      <c r="I445" s="263" t="b">
        <v>0</v>
      </c>
      <c r="J445" s="266"/>
      <c r="K445" s="266"/>
      <c r="L445" s="266"/>
      <c r="M445" s="266"/>
      <c r="N445" s="266"/>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row>
    <row r="446">
      <c r="A446" s="239"/>
      <c r="B446" s="239"/>
      <c r="C446" s="263" t="b">
        <v>0</v>
      </c>
      <c r="D446" s="264"/>
      <c r="E446" s="264"/>
      <c r="F446" s="264"/>
      <c r="G446" s="270"/>
      <c r="H446" s="266" t="str">
        <f t="shared" si="2"/>
        <v/>
      </c>
      <c r="I446" s="263" t="b">
        <v>0</v>
      </c>
      <c r="J446" s="266"/>
      <c r="K446" s="266"/>
      <c r="L446" s="266"/>
      <c r="M446" s="266"/>
      <c r="N446" s="266"/>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row>
    <row r="447">
      <c r="A447" s="239"/>
      <c r="B447" s="239"/>
      <c r="C447" s="263" t="b">
        <v>0</v>
      </c>
      <c r="D447" s="264"/>
      <c r="E447" s="264"/>
      <c r="F447" s="264"/>
      <c r="G447" s="270"/>
      <c r="H447" s="266" t="str">
        <f t="shared" si="2"/>
        <v/>
      </c>
      <c r="I447" s="263" t="b">
        <v>0</v>
      </c>
      <c r="J447" s="266"/>
      <c r="K447" s="266"/>
      <c r="L447" s="266"/>
      <c r="M447" s="266"/>
      <c r="N447" s="266"/>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row>
    <row r="448">
      <c r="A448" s="239"/>
      <c r="B448" s="239"/>
      <c r="C448" s="263" t="b">
        <v>0</v>
      </c>
      <c r="D448" s="264"/>
      <c r="E448" s="264"/>
      <c r="F448" s="264"/>
      <c r="G448" s="270"/>
      <c r="H448" s="266" t="str">
        <f t="shared" si="2"/>
        <v/>
      </c>
      <c r="I448" s="263" t="b">
        <v>0</v>
      </c>
      <c r="J448" s="266"/>
      <c r="K448" s="266"/>
      <c r="L448" s="266"/>
      <c r="M448" s="266"/>
      <c r="N448" s="266"/>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row>
    <row r="449">
      <c r="A449" s="239"/>
      <c r="B449" s="239"/>
      <c r="C449" s="263" t="b">
        <v>0</v>
      </c>
      <c r="D449" s="264"/>
      <c r="E449" s="264"/>
      <c r="F449" s="264"/>
      <c r="G449" s="270"/>
      <c r="H449" s="266" t="str">
        <f t="shared" si="2"/>
        <v/>
      </c>
      <c r="I449" s="263" t="b">
        <v>0</v>
      </c>
      <c r="J449" s="266"/>
      <c r="K449" s="266"/>
      <c r="L449" s="266"/>
      <c r="M449" s="266"/>
      <c r="N449" s="266"/>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row>
    <row r="450">
      <c r="A450" s="239"/>
      <c r="B450" s="239"/>
      <c r="C450" s="263" t="b">
        <v>0</v>
      </c>
      <c r="D450" s="264"/>
      <c r="E450" s="264"/>
      <c r="F450" s="264"/>
      <c r="G450" s="270"/>
      <c r="H450" s="266" t="str">
        <f t="shared" si="2"/>
        <v/>
      </c>
      <c r="I450" s="263" t="b">
        <v>0</v>
      </c>
      <c r="J450" s="266"/>
      <c r="K450" s="266"/>
      <c r="L450" s="266"/>
      <c r="M450" s="266"/>
      <c r="N450" s="266"/>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row>
    <row r="451">
      <c r="A451" s="239"/>
      <c r="B451" s="239"/>
      <c r="C451" s="263" t="b">
        <v>0</v>
      </c>
      <c r="D451" s="264"/>
      <c r="E451" s="264"/>
      <c r="F451" s="264"/>
      <c r="G451" s="270"/>
      <c r="H451" s="266" t="str">
        <f t="shared" si="2"/>
        <v/>
      </c>
      <c r="I451" s="263" t="b">
        <v>0</v>
      </c>
      <c r="J451" s="266"/>
      <c r="K451" s="266"/>
      <c r="L451" s="266"/>
      <c r="M451" s="266"/>
      <c r="N451" s="266"/>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row>
    <row r="452">
      <c r="A452" s="239"/>
      <c r="B452" s="239"/>
      <c r="C452" s="263" t="b">
        <v>0</v>
      </c>
      <c r="D452" s="264"/>
      <c r="E452" s="264"/>
      <c r="F452" s="264"/>
      <c r="G452" s="270"/>
      <c r="H452" s="266" t="str">
        <f t="shared" si="2"/>
        <v/>
      </c>
      <c r="I452" s="263" t="b">
        <v>0</v>
      </c>
      <c r="J452" s="266"/>
      <c r="K452" s="266"/>
      <c r="L452" s="266"/>
      <c r="M452" s="266"/>
      <c r="N452" s="266"/>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row>
    <row r="453">
      <c r="A453" s="239"/>
      <c r="B453" s="239"/>
      <c r="C453" s="263" t="b">
        <v>0</v>
      </c>
      <c r="D453" s="264"/>
      <c r="E453" s="264"/>
      <c r="F453" s="264"/>
      <c r="G453" s="270"/>
      <c r="H453" s="266" t="str">
        <f t="shared" si="2"/>
        <v/>
      </c>
      <c r="I453" s="263" t="b">
        <v>0</v>
      </c>
      <c r="J453" s="266"/>
      <c r="K453" s="266"/>
      <c r="L453" s="266"/>
      <c r="M453" s="266"/>
      <c r="N453" s="266"/>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row>
    <row r="454">
      <c r="A454" s="239"/>
      <c r="B454" s="239"/>
      <c r="C454" s="263" t="b">
        <v>0</v>
      </c>
      <c r="D454" s="264"/>
      <c r="E454" s="264"/>
      <c r="F454" s="264"/>
      <c r="G454" s="270"/>
      <c r="H454" s="266" t="str">
        <f t="shared" si="2"/>
        <v/>
      </c>
      <c r="I454" s="263" t="b">
        <v>0</v>
      </c>
      <c r="J454" s="266"/>
      <c r="K454" s="266"/>
      <c r="L454" s="266"/>
      <c r="M454" s="266"/>
      <c r="N454" s="266"/>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row>
    <row r="455">
      <c r="A455" s="239"/>
      <c r="B455" s="239"/>
      <c r="C455" s="263" t="b">
        <v>0</v>
      </c>
      <c r="D455" s="264"/>
      <c r="E455" s="264"/>
      <c r="F455" s="264"/>
      <c r="G455" s="270"/>
      <c r="H455" s="266" t="str">
        <f t="shared" si="2"/>
        <v/>
      </c>
      <c r="I455" s="263" t="b">
        <v>0</v>
      </c>
      <c r="J455" s="266"/>
      <c r="K455" s="266"/>
      <c r="L455" s="266"/>
      <c r="M455" s="266"/>
      <c r="N455" s="266"/>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row>
    <row r="456">
      <c r="A456" s="239"/>
      <c r="B456" s="239"/>
      <c r="C456" s="263" t="b">
        <v>0</v>
      </c>
      <c r="D456" s="264"/>
      <c r="E456" s="264"/>
      <c r="F456" s="264"/>
      <c r="G456" s="270"/>
      <c r="H456" s="266" t="str">
        <f t="shared" si="2"/>
        <v/>
      </c>
      <c r="I456" s="263" t="b">
        <v>0</v>
      </c>
      <c r="J456" s="266"/>
      <c r="K456" s="266"/>
      <c r="L456" s="266"/>
      <c r="M456" s="266"/>
      <c r="N456" s="266"/>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row>
    <row r="457">
      <c r="A457" s="239"/>
      <c r="B457" s="239"/>
      <c r="C457" s="263" t="b">
        <v>0</v>
      </c>
      <c r="D457" s="264"/>
      <c r="E457" s="264"/>
      <c r="F457" s="264"/>
      <c r="G457" s="270"/>
      <c r="H457" s="266" t="str">
        <f t="shared" si="2"/>
        <v/>
      </c>
      <c r="I457" s="263" t="b">
        <v>0</v>
      </c>
      <c r="J457" s="266"/>
      <c r="K457" s="266"/>
      <c r="L457" s="266"/>
      <c r="M457" s="266"/>
      <c r="N457" s="266"/>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row>
    <row r="458">
      <c r="A458" s="239"/>
      <c r="B458" s="239"/>
      <c r="C458" s="263" t="b">
        <v>0</v>
      </c>
      <c r="D458" s="264"/>
      <c r="E458" s="264"/>
      <c r="F458" s="264"/>
      <c r="G458" s="270"/>
      <c r="H458" s="266" t="str">
        <f t="shared" si="2"/>
        <v/>
      </c>
      <c r="I458" s="263" t="b">
        <v>0</v>
      </c>
      <c r="J458" s="266"/>
      <c r="K458" s="266"/>
      <c r="L458" s="266"/>
      <c r="M458" s="266"/>
      <c r="N458" s="266"/>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row>
    <row r="459">
      <c r="A459" s="239"/>
      <c r="B459" s="239"/>
      <c r="C459" s="263" t="b">
        <v>0</v>
      </c>
      <c r="D459" s="264"/>
      <c r="E459" s="264"/>
      <c r="F459" s="264"/>
      <c r="G459" s="270"/>
      <c r="H459" s="266" t="str">
        <f t="shared" si="2"/>
        <v/>
      </c>
      <c r="I459" s="263" t="b">
        <v>0</v>
      </c>
      <c r="J459" s="266"/>
      <c r="K459" s="266"/>
      <c r="L459" s="266"/>
      <c r="M459" s="266"/>
      <c r="N459" s="266"/>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row>
    <row r="460">
      <c r="A460" s="239"/>
      <c r="B460" s="239"/>
      <c r="C460" s="263" t="b">
        <v>0</v>
      </c>
      <c r="D460" s="264"/>
      <c r="E460" s="264"/>
      <c r="F460" s="264"/>
      <c r="G460" s="270"/>
      <c r="H460" s="266" t="str">
        <f t="shared" si="2"/>
        <v/>
      </c>
      <c r="I460" s="263" t="b">
        <v>0</v>
      </c>
      <c r="J460" s="266"/>
      <c r="K460" s="266"/>
      <c r="L460" s="266"/>
      <c r="M460" s="266"/>
      <c r="N460" s="266"/>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row>
    <row r="461">
      <c r="A461" s="239"/>
      <c r="B461" s="239"/>
      <c r="C461" s="263" t="b">
        <v>0</v>
      </c>
      <c r="D461" s="264"/>
      <c r="E461" s="264"/>
      <c r="F461" s="264"/>
      <c r="G461" s="270"/>
      <c r="H461" s="266" t="str">
        <f t="shared" si="2"/>
        <v/>
      </c>
      <c r="I461" s="263" t="b">
        <v>0</v>
      </c>
      <c r="J461" s="266"/>
      <c r="K461" s="266"/>
      <c r="L461" s="266"/>
      <c r="M461" s="266"/>
      <c r="N461" s="266"/>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row>
    <row r="462">
      <c r="A462" s="239"/>
      <c r="B462" s="239"/>
      <c r="C462" s="263" t="b">
        <v>0</v>
      </c>
      <c r="D462" s="264"/>
      <c r="E462" s="264"/>
      <c r="F462" s="264"/>
      <c r="G462" s="270"/>
      <c r="H462" s="266" t="str">
        <f t="shared" si="2"/>
        <v/>
      </c>
      <c r="I462" s="263" t="b">
        <v>0</v>
      </c>
      <c r="J462" s="266"/>
      <c r="K462" s="266"/>
      <c r="L462" s="266"/>
      <c r="M462" s="266"/>
      <c r="N462" s="266"/>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row>
    <row r="463">
      <c r="A463" s="239"/>
      <c r="B463" s="239"/>
      <c r="C463" s="263" t="b">
        <v>0</v>
      </c>
      <c r="D463" s="264"/>
      <c r="E463" s="264"/>
      <c r="F463" s="264"/>
      <c r="G463" s="270"/>
      <c r="H463" s="266" t="str">
        <f t="shared" si="2"/>
        <v/>
      </c>
      <c r="I463" s="263" t="b">
        <v>0</v>
      </c>
      <c r="J463" s="266"/>
      <c r="K463" s="266"/>
      <c r="L463" s="266"/>
      <c r="M463" s="266"/>
      <c r="N463" s="266"/>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row>
    <row r="464">
      <c r="A464" s="239"/>
      <c r="B464" s="239"/>
      <c r="C464" s="263" t="b">
        <v>0</v>
      </c>
      <c r="D464" s="264"/>
      <c r="E464" s="264"/>
      <c r="F464" s="264"/>
      <c r="G464" s="270"/>
      <c r="H464" s="266" t="str">
        <f t="shared" si="2"/>
        <v/>
      </c>
      <c r="I464" s="263" t="b">
        <v>0</v>
      </c>
      <c r="J464" s="266"/>
      <c r="K464" s="266"/>
      <c r="L464" s="266"/>
      <c r="M464" s="266"/>
      <c r="N464" s="266"/>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row>
    <row r="465">
      <c r="A465" s="239"/>
      <c r="B465" s="239"/>
      <c r="C465" s="263" t="b">
        <v>0</v>
      </c>
      <c r="D465" s="264"/>
      <c r="E465" s="264"/>
      <c r="F465" s="264"/>
      <c r="G465" s="270"/>
      <c r="H465" s="266" t="str">
        <f t="shared" si="2"/>
        <v/>
      </c>
      <c r="I465" s="263" t="b">
        <v>0</v>
      </c>
      <c r="J465" s="266"/>
      <c r="K465" s="266"/>
      <c r="L465" s="266"/>
      <c r="M465" s="266"/>
      <c r="N465" s="266"/>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row>
    <row r="466">
      <c r="A466" s="239"/>
      <c r="B466" s="239"/>
      <c r="C466" s="263" t="b">
        <v>0</v>
      </c>
      <c r="D466" s="264"/>
      <c r="E466" s="264"/>
      <c r="F466" s="264"/>
      <c r="G466" s="270"/>
      <c r="H466" s="266" t="str">
        <f t="shared" si="2"/>
        <v/>
      </c>
      <c r="I466" s="263" t="b">
        <v>0</v>
      </c>
      <c r="J466" s="266"/>
      <c r="K466" s="266"/>
      <c r="L466" s="266"/>
      <c r="M466" s="266"/>
      <c r="N466" s="266"/>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row>
    <row r="467">
      <c r="A467" s="239"/>
      <c r="B467" s="239"/>
      <c r="C467" s="263" t="b">
        <v>0</v>
      </c>
      <c r="D467" s="264"/>
      <c r="E467" s="264"/>
      <c r="F467" s="264"/>
      <c r="G467" s="270"/>
      <c r="H467" s="266" t="str">
        <f t="shared" si="2"/>
        <v/>
      </c>
      <c r="I467" s="263" t="b">
        <v>0</v>
      </c>
      <c r="J467" s="266"/>
      <c r="K467" s="266"/>
      <c r="L467" s="266"/>
      <c r="M467" s="266"/>
      <c r="N467" s="266"/>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row>
    <row r="468">
      <c r="A468" s="239"/>
      <c r="B468" s="239"/>
      <c r="C468" s="263" t="b">
        <v>0</v>
      </c>
      <c r="D468" s="264"/>
      <c r="E468" s="264"/>
      <c r="F468" s="264"/>
      <c r="G468" s="270"/>
      <c r="H468" s="266" t="str">
        <f t="shared" si="2"/>
        <v/>
      </c>
      <c r="I468" s="263" t="b">
        <v>0</v>
      </c>
      <c r="J468" s="266"/>
      <c r="K468" s="266"/>
      <c r="L468" s="266"/>
      <c r="M468" s="266"/>
      <c r="N468" s="266"/>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row>
    <row r="469">
      <c r="A469" s="239"/>
      <c r="B469" s="239"/>
      <c r="C469" s="263" t="b">
        <v>0</v>
      </c>
      <c r="D469" s="264"/>
      <c r="E469" s="264"/>
      <c r="F469" s="264"/>
      <c r="G469" s="270"/>
      <c r="H469" s="266" t="str">
        <f t="shared" si="2"/>
        <v/>
      </c>
      <c r="I469" s="263" t="b">
        <v>0</v>
      </c>
      <c r="J469" s="266"/>
      <c r="K469" s="266"/>
      <c r="L469" s="266"/>
      <c r="M469" s="266"/>
      <c r="N469" s="266"/>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row>
    <row r="470">
      <c r="A470" s="239"/>
      <c r="B470" s="239"/>
      <c r="C470" s="263" t="b">
        <v>0</v>
      </c>
      <c r="D470" s="264"/>
      <c r="E470" s="264"/>
      <c r="F470" s="264"/>
      <c r="G470" s="270"/>
      <c r="H470" s="266" t="str">
        <f t="shared" si="2"/>
        <v/>
      </c>
      <c r="I470" s="263" t="b">
        <v>0</v>
      </c>
      <c r="J470" s="266"/>
      <c r="K470" s="266"/>
      <c r="L470" s="266"/>
      <c r="M470" s="266"/>
      <c r="N470" s="266"/>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row>
    <row r="471">
      <c r="A471" s="239"/>
      <c r="B471" s="239"/>
      <c r="C471" s="263" t="b">
        <v>0</v>
      </c>
      <c r="D471" s="264"/>
      <c r="E471" s="264"/>
      <c r="F471" s="264"/>
      <c r="G471" s="270"/>
      <c r="H471" s="266" t="str">
        <f t="shared" si="2"/>
        <v/>
      </c>
      <c r="I471" s="263" t="b">
        <v>0</v>
      </c>
      <c r="J471" s="266"/>
      <c r="K471" s="266"/>
      <c r="L471" s="266"/>
      <c r="M471" s="266"/>
      <c r="N471" s="266"/>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c r="AK471" s="239"/>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row>
    <row r="472">
      <c r="A472" s="239"/>
      <c r="B472" s="239"/>
      <c r="C472" s="263" t="b">
        <v>0</v>
      </c>
      <c r="D472" s="264"/>
      <c r="E472" s="264"/>
      <c r="F472" s="264"/>
      <c r="G472" s="270"/>
      <c r="H472" s="266" t="str">
        <f t="shared" si="2"/>
        <v/>
      </c>
      <c r="I472" s="263" t="b">
        <v>0</v>
      </c>
      <c r="J472" s="266"/>
      <c r="K472" s="266"/>
      <c r="L472" s="266"/>
      <c r="M472" s="266"/>
      <c r="N472" s="266"/>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row>
    <row r="473">
      <c r="A473" s="239"/>
      <c r="B473" s="239"/>
      <c r="C473" s="263" t="b">
        <v>0</v>
      </c>
      <c r="D473" s="264"/>
      <c r="E473" s="264"/>
      <c r="F473" s="264"/>
      <c r="G473" s="270"/>
      <c r="H473" s="266" t="str">
        <f t="shared" si="2"/>
        <v/>
      </c>
      <c r="I473" s="263" t="b">
        <v>0</v>
      </c>
      <c r="J473" s="266"/>
      <c r="K473" s="266"/>
      <c r="L473" s="266"/>
      <c r="M473" s="266"/>
      <c r="N473" s="266"/>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row>
    <row r="474">
      <c r="A474" s="239"/>
      <c r="B474" s="239"/>
      <c r="C474" s="263" t="b">
        <v>0</v>
      </c>
      <c r="D474" s="264"/>
      <c r="E474" s="264"/>
      <c r="F474" s="264"/>
      <c r="G474" s="270"/>
      <c r="H474" s="266" t="str">
        <f t="shared" si="2"/>
        <v/>
      </c>
      <c r="I474" s="263" t="b">
        <v>0</v>
      </c>
      <c r="J474" s="266"/>
      <c r="K474" s="266"/>
      <c r="L474" s="266"/>
      <c r="M474" s="266"/>
      <c r="N474" s="266"/>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row>
    <row r="475">
      <c r="A475" s="239"/>
      <c r="B475" s="239"/>
      <c r="C475" s="263" t="b">
        <v>0</v>
      </c>
      <c r="D475" s="264"/>
      <c r="E475" s="264"/>
      <c r="F475" s="264"/>
      <c r="G475" s="270"/>
      <c r="H475" s="266" t="str">
        <f t="shared" si="2"/>
        <v/>
      </c>
      <c r="I475" s="263" t="b">
        <v>0</v>
      </c>
      <c r="J475" s="266"/>
      <c r="K475" s="266"/>
      <c r="L475" s="266"/>
      <c r="M475" s="266"/>
      <c r="N475" s="266"/>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row>
    <row r="476">
      <c r="A476" s="239"/>
      <c r="B476" s="239"/>
      <c r="C476" s="263" t="b">
        <v>0</v>
      </c>
      <c r="D476" s="264"/>
      <c r="E476" s="264"/>
      <c r="F476" s="264"/>
      <c r="G476" s="270"/>
      <c r="H476" s="266" t="str">
        <f t="shared" si="2"/>
        <v/>
      </c>
      <c r="I476" s="263" t="b">
        <v>0</v>
      </c>
      <c r="J476" s="266"/>
      <c r="K476" s="266"/>
      <c r="L476" s="266"/>
      <c r="M476" s="266"/>
      <c r="N476" s="266"/>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row>
    <row r="477">
      <c r="A477" s="239"/>
      <c r="B477" s="239"/>
      <c r="C477" s="263" t="b">
        <v>0</v>
      </c>
      <c r="D477" s="264"/>
      <c r="E477" s="264"/>
      <c r="F477" s="264"/>
      <c r="G477" s="270"/>
      <c r="H477" s="266" t="str">
        <f t="shared" si="2"/>
        <v/>
      </c>
      <c r="I477" s="263" t="b">
        <v>0</v>
      </c>
      <c r="J477" s="266"/>
      <c r="K477" s="266"/>
      <c r="L477" s="266"/>
      <c r="M477" s="266"/>
      <c r="N477" s="266"/>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c r="BD477" s="239"/>
      <c r="BE477" s="239"/>
      <c r="BF477" s="239"/>
      <c r="BG477" s="239"/>
      <c r="BH477" s="239"/>
      <c r="BI477" s="239"/>
    </row>
    <row r="478">
      <c r="A478" s="239"/>
      <c r="B478" s="239"/>
      <c r="C478" s="263" t="b">
        <v>0</v>
      </c>
      <c r="D478" s="264"/>
      <c r="E478" s="264"/>
      <c r="F478" s="264"/>
      <c r="G478" s="270"/>
      <c r="H478" s="266" t="str">
        <f t="shared" si="2"/>
        <v/>
      </c>
      <c r="I478" s="263" t="b">
        <v>0</v>
      </c>
      <c r="J478" s="266"/>
      <c r="K478" s="266"/>
      <c r="L478" s="266"/>
      <c r="M478" s="266"/>
      <c r="N478" s="266"/>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row>
    <row r="479">
      <c r="A479" s="239"/>
      <c r="B479" s="239"/>
      <c r="C479" s="263" t="b">
        <v>0</v>
      </c>
      <c r="D479" s="264"/>
      <c r="E479" s="264"/>
      <c r="F479" s="264"/>
      <c r="G479" s="270"/>
      <c r="H479" s="266" t="str">
        <f t="shared" si="2"/>
        <v/>
      </c>
      <c r="I479" s="263" t="b">
        <v>0</v>
      </c>
      <c r="J479" s="266"/>
      <c r="K479" s="266"/>
      <c r="L479" s="266"/>
      <c r="M479" s="266"/>
      <c r="N479" s="266"/>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row>
    <row r="480">
      <c r="A480" s="239"/>
      <c r="B480" s="239"/>
      <c r="C480" s="263" t="b">
        <v>0</v>
      </c>
      <c r="D480" s="264"/>
      <c r="E480" s="264"/>
      <c r="F480" s="264"/>
      <c r="G480" s="270"/>
      <c r="H480" s="266" t="str">
        <f t="shared" si="2"/>
        <v/>
      </c>
      <c r="I480" s="263" t="b">
        <v>0</v>
      </c>
      <c r="J480" s="266"/>
      <c r="K480" s="266"/>
      <c r="L480" s="266"/>
      <c r="M480" s="266"/>
      <c r="N480" s="266"/>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row>
    <row r="481">
      <c r="A481" s="239"/>
      <c r="B481" s="239"/>
      <c r="C481" s="263" t="b">
        <v>0</v>
      </c>
      <c r="D481" s="264"/>
      <c r="E481" s="264"/>
      <c r="F481" s="264"/>
      <c r="G481" s="270"/>
      <c r="H481" s="266" t="str">
        <f t="shared" si="2"/>
        <v/>
      </c>
      <c r="I481" s="263" t="b">
        <v>0</v>
      </c>
      <c r="J481" s="266"/>
      <c r="K481" s="266"/>
      <c r="L481" s="266"/>
      <c r="M481" s="266"/>
      <c r="N481" s="266"/>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row>
    <row r="482">
      <c r="A482" s="239"/>
      <c r="B482" s="239"/>
      <c r="C482" s="263" t="b">
        <v>0</v>
      </c>
      <c r="D482" s="264"/>
      <c r="E482" s="264"/>
      <c r="F482" s="264"/>
      <c r="G482" s="270"/>
      <c r="H482" s="266" t="str">
        <f t="shared" si="2"/>
        <v/>
      </c>
      <c r="I482" s="263" t="b">
        <v>0</v>
      </c>
      <c r="J482" s="266"/>
      <c r="K482" s="266"/>
      <c r="L482" s="266"/>
      <c r="M482" s="266"/>
      <c r="N482" s="266"/>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row>
    <row r="483">
      <c r="A483" s="239"/>
      <c r="B483" s="239"/>
      <c r="C483" s="263" t="b">
        <v>0</v>
      </c>
      <c r="D483" s="264"/>
      <c r="E483" s="264"/>
      <c r="F483" s="264"/>
      <c r="G483" s="270"/>
      <c r="H483" s="266" t="str">
        <f t="shared" si="2"/>
        <v/>
      </c>
      <c r="I483" s="263" t="b">
        <v>0</v>
      </c>
      <c r="J483" s="266"/>
      <c r="K483" s="266"/>
      <c r="L483" s="266"/>
      <c r="M483" s="266"/>
      <c r="N483" s="266"/>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row>
    <row r="484">
      <c r="A484" s="239"/>
      <c r="B484" s="239"/>
      <c r="C484" s="263" t="b">
        <v>0</v>
      </c>
      <c r="D484" s="264"/>
      <c r="E484" s="264"/>
      <c r="F484" s="264"/>
      <c r="G484" s="270"/>
      <c r="H484" s="266" t="str">
        <f t="shared" si="2"/>
        <v/>
      </c>
      <c r="I484" s="263" t="b">
        <v>0</v>
      </c>
      <c r="J484" s="266"/>
      <c r="K484" s="266"/>
      <c r="L484" s="266"/>
      <c r="M484" s="266"/>
      <c r="N484" s="266"/>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row>
    <row r="485">
      <c r="A485" s="239"/>
      <c r="B485" s="239"/>
      <c r="C485" s="263" t="b">
        <v>0</v>
      </c>
      <c r="D485" s="264"/>
      <c r="E485" s="264"/>
      <c r="F485" s="264"/>
      <c r="G485" s="270"/>
      <c r="H485" s="266" t="str">
        <f t="shared" si="2"/>
        <v/>
      </c>
      <c r="I485" s="263" t="b">
        <v>0</v>
      </c>
      <c r="J485" s="266"/>
      <c r="K485" s="266"/>
      <c r="L485" s="266"/>
      <c r="M485" s="266"/>
      <c r="N485" s="266"/>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row>
    <row r="486">
      <c r="A486" s="239"/>
      <c r="B486" s="239"/>
      <c r="C486" s="263" t="b">
        <v>0</v>
      </c>
      <c r="D486" s="264"/>
      <c r="E486" s="264"/>
      <c r="F486" s="264"/>
      <c r="G486" s="270"/>
      <c r="H486" s="266" t="str">
        <f t="shared" si="2"/>
        <v/>
      </c>
      <c r="I486" s="263" t="b">
        <v>0</v>
      </c>
      <c r="J486" s="266"/>
      <c r="K486" s="266"/>
      <c r="L486" s="266"/>
      <c r="M486" s="266"/>
      <c r="N486" s="266"/>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row>
    <row r="487">
      <c r="A487" s="239"/>
      <c r="B487" s="239"/>
      <c r="C487" s="263" t="b">
        <v>0</v>
      </c>
      <c r="D487" s="264"/>
      <c r="E487" s="264"/>
      <c r="F487" s="264"/>
      <c r="G487" s="270"/>
      <c r="H487" s="266" t="str">
        <f t="shared" si="2"/>
        <v/>
      </c>
      <c r="I487" s="263" t="b">
        <v>0</v>
      </c>
      <c r="J487" s="266"/>
      <c r="K487" s="266"/>
      <c r="L487" s="266"/>
      <c r="M487" s="266"/>
      <c r="N487" s="266"/>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row>
    <row r="488">
      <c r="A488" s="239"/>
      <c r="B488" s="239"/>
      <c r="C488" s="263" t="b">
        <v>0</v>
      </c>
      <c r="D488" s="264"/>
      <c r="E488" s="264"/>
      <c r="F488" s="264"/>
      <c r="G488" s="270"/>
      <c r="H488" s="266" t="str">
        <f t="shared" si="2"/>
        <v/>
      </c>
      <c r="I488" s="263" t="b">
        <v>0</v>
      </c>
      <c r="J488" s="266"/>
      <c r="K488" s="266"/>
      <c r="L488" s="266"/>
      <c r="M488" s="266"/>
      <c r="N488" s="266"/>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row>
    <row r="489">
      <c r="A489" s="239"/>
      <c r="B489" s="239"/>
      <c r="C489" s="263" t="b">
        <v>0</v>
      </c>
      <c r="D489" s="264"/>
      <c r="E489" s="264"/>
      <c r="F489" s="264"/>
      <c r="G489" s="270"/>
      <c r="H489" s="266" t="str">
        <f t="shared" si="2"/>
        <v/>
      </c>
      <c r="I489" s="263" t="b">
        <v>0</v>
      </c>
      <c r="J489" s="266"/>
      <c r="K489" s="266"/>
      <c r="L489" s="266"/>
      <c r="M489" s="266"/>
      <c r="N489" s="266"/>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row>
    <row r="490">
      <c r="A490" s="239"/>
      <c r="B490" s="239"/>
      <c r="C490" s="263" t="b">
        <v>0</v>
      </c>
      <c r="D490" s="264"/>
      <c r="E490" s="264"/>
      <c r="F490" s="264"/>
      <c r="G490" s="270"/>
      <c r="H490" s="266" t="str">
        <f t="shared" si="2"/>
        <v/>
      </c>
      <c r="I490" s="263" t="b">
        <v>0</v>
      </c>
      <c r="J490" s="266"/>
      <c r="K490" s="266"/>
      <c r="L490" s="266"/>
      <c r="M490" s="266"/>
      <c r="N490" s="266"/>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row>
    <row r="491">
      <c r="A491" s="239"/>
      <c r="B491" s="239"/>
      <c r="C491" s="263" t="b">
        <v>0</v>
      </c>
      <c r="D491" s="264"/>
      <c r="E491" s="264"/>
      <c r="F491" s="264"/>
      <c r="G491" s="270"/>
      <c r="H491" s="266" t="str">
        <f t="shared" si="2"/>
        <v/>
      </c>
      <c r="I491" s="263" t="b">
        <v>0</v>
      </c>
      <c r="J491" s="266"/>
      <c r="K491" s="266"/>
      <c r="L491" s="266"/>
      <c r="M491" s="266"/>
      <c r="N491" s="266"/>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row>
    <row r="492">
      <c r="A492" s="239"/>
      <c r="B492" s="239"/>
      <c r="C492" s="263" t="b">
        <v>0</v>
      </c>
      <c r="D492" s="264"/>
      <c r="E492" s="264"/>
      <c r="F492" s="264"/>
      <c r="G492" s="270"/>
      <c r="H492" s="266" t="str">
        <f t="shared" si="2"/>
        <v/>
      </c>
      <c r="I492" s="263" t="b">
        <v>0</v>
      </c>
      <c r="J492" s="266"/>
      <c r="K492" s="266"/>
      <c r="L492" s="266"/>
      <c r="M492" s="266"/>
      <c r="N492" s="266"/>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row>
    <row r="493">
      <c r="A493" s="239"/>
      <c r="B493" s="239"/>
      <c r="C493" s="263" t="b">
        <v>0</v>
      </c>
      <c r="D493" s="264"/>
      <c r="E493" s="264"/>
      <c r="F493" s="264"/>
      <c r="G493" s="270"/>
      <c r="H493" s="266" t="str">
        <f t="shared" si="2"/>
        <v/>
      </c>
      <c r="I493" s="263" t="b">
        <v>0</v>
      </c>
      <c r="J493" s="266"/>
      <c r="K493" s="266"/>
      <c r="L493" s="266"/>
      <c r="M493" s="266"/>
      <c r="N493" s="266"/>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row>
    <row r="494">
      <c r="A494" s="239"/>
      <c r="B494" s="239"/>
      <c r="C494" s="263" t="b">
        <v>0</v>
      </c>
      <c r="D494" s="264"/>
      <c r="E494" s="264"/>
      <c r="F494" s="264"/>
      <c r="G494" s="270"/>
      <c r="H494" s="266" t="str">
        <f t="shared" si="2"/>
        <v/>
      </c>
      <c r="I494" s="263" t="b">
        <v>0</v>
      </c>
      <c r="J494" s="266"/>
      <c r="K494" s="266"/>
      <c r="L494" s="266"/>
      <c r="M494" s="266"/>
      <c r="N494" s="266"/>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row>
    <row r="495">
      <c r="A495" s="239"/>
      <c r="B495" s="239"/>
      <c r="C495" s="263" t="b">
        <v>0</v>
      </c>
      <c r="D495" s="264"/>
      <c r="E495" s="264"/>
      <c r="F495" s="264"/>
      <c r="G495" s="270"/>
      <c r="H495" s="266" t="str">
        <f t="shared" si="2"/>
        <v/>
      </c>
      <c r="I495" s="263" t="b">
        <v>0</v>
      </c>
      <c r="J495" s="266"/>
      <c r="K495" s="266"/>
      <c r="L495" s="266"/>
      <c r="M495" s="266"/>
      <c r="N495" s="266"/>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row>
    <row r="496">
      <c r="A496" s="239"/>
      <c r="B496" s="239"/>
      <c r="C496" s="263" t="b">
        <v>0</v>
      </c>
      <c r="D496" s="264"/>
      <c r="E496" s="264"/>
      <c r="F496" s="264"/>
      <c r="G496" s="270"/>
      <c r="H496" s="266" t="str">
        <f t="shared" si="2"/>
        <v/>
      </c>
      <c r="I496" s="263" t="b">
        <v>0</v>
      </c>
      <c r="J496" s="266"/>
      <c r="K496" s="266"/>
      <c r="L496" s="266"/>
      <c r="M496" s="266"/>
      <c r="N496" s="266"/>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row>
    <row r="497">
      <c r="A497" s="239"/>
      <c r="B497" s="239"/>
      <c r="C497" s="263" t="b">
        <v>0</v>
      </c>
      <c r="D497" s="264"/>
      <c r="E497" s="264"/>
      <c r="F497" s="264"/>
      <c r="G497" s="270"/>
      <c r="H497" s="266" t="str">
        <f t="shared" si="2"/>
        <v/>
      </c>
      <c r="I497" s="263" t="b">
        <v>0</v>
      </c>
      <c r="J497" s="266"/>
      <c r="K497" s="266"/>
      <c r="L497" s="266"/>
      <c r="M497" s="266"/>
      <c r="N497" s="266"/>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row>
    <row r="498">
      <c r="A498" s="239"/>
      <c r="B498" s="239"/>
      <c r="C498" s="263" t="b">
        <v>0</v>
      </c>
      <c r="D498" s="264"/>
      <c r="E498" s="264"/>
      <c r="F498" s="264"/>
      <c r="G498" s="270"/>
      <c r="H498" s="266" t="str">
        <f t="shared" si="2"/>
        <v/>
      </c>
      <c r="I498" s="263" t="b">
        <v>0</v>
      </c>
      <c r="J498" s="266"/>
      <c r="K498" s="266"/>
      <c r="L498" s="266"/>
      <c r="M498" s="266"/>
      <c r="N498" s="266"/>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row>
    <row r="499">
      <c r="A499" s="239"/>
      <c r="B499" s="239"/>
      <c r="C499" s="263" t="b">
        <v>0</v>
      </c>
      <c r="D499" s="264"/>
      <c r="E499" s="264"/>
      <c r="F499" s="264"/>
      <c r="G499" s="270"/>
      <c r="H499" s="266" t="str">
        <f t="shared" si="2"/>
        <v/>
      </c>
      <c r="I499" s="263" t="b">
        <v>0</v>
      </c>
      <c r="J499" s="266"/>
      <c r="K499" s="266"/>
      <c r="L499" s="266"/>
      <c r="M499" s="266"/>
      <c r="N499" s="266"/>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row>
    <row r="500">
      <c r="A500" s="269"/>
      <c r="B500" s="269"/>
      <c r="C500" s="269"/>
      <c r="D500" s="269"/>
      <c r="E500" s="269"/>
      <c r="F500" s="269"/>
      <c r="G500" s="271"/>
      <c r="H500" s="269"/>
      <c r="I500" s="269"/>
      <c r="J500" s="269"/>
      <c r="K500" s="269"/>
      <c r="L500" s="269"/>
      <c r="M500" s="269"/>
      <c r="N500" s="26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row>
    <row r="501">
      <c r="A501" s="239"/>
      <c r="B501" s="239"/>
      <c r="C501" s="239"/>
      <c r="D501" s="239"/>
      <c r="E501" s="239"/>
      <c r="F501" s="239"/>
      <c r="G501" s="255"/>
      <c r="H501" s="239"/>
      <c r="I501" s="239"/>
      <c r="J501" s="239"/>
      <c r="K501" s="255"/>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row>
    <row r="502">
      <c r="A502" s="239"/>
      <c r="B502" s="239"/>
      <c r="C502" s="239"/>
      <c r="D502" s="239"/>
      <c r="E502" s="239"/>
      <c r="F502" s="239"/>
      <c r="G502" s="255"/>
      <c r="H502" s="239"/>
      <c r="I502" s="239"/>
      <c r="J502" s="239"/>
      <c r="K502" s="255"/>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row>
    <row r="503">
      <c r="A503" s="239"/>
      <c r="B503" s="239"/>
      <c r="C503" s="239"/>
      <c r="D503" s="239"/>
      <c r="E503" s="239"/>
      <c r="F503" s="239"/>
      <c r="G503" s="255"/>
      <c r="H503" s="239"/>
      <c r="I503" s="239"/>
      <c r="J503" s="239"/>
      <c r="K503" s="255"/>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row>
    <row r="504">
      <c r="A504" s="239"/>
      <c r="B504" s="239"/>
      <c r="C504" s="239"/>
      <c r="D504" s="239"/>
      <c r="E504" s="239"/>
      <c r="F504" s="239"/>
      <c r="G504" s="255"/>
      <c r="H504" s="239"/>
      <c r="I504" s="239"/>
      <c r="J504" s="239"/>
      <c r="K504" s="255"/>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row>
    <row r="505">
      <c r="A505" s="239"/>
      <c r="B505" s="239"/>
      <c r="C505" s="239"/>
      <c r="D505" s="239"/>
      <c r="E505" s="239"/>
      <c r="F505" s="239"/>
      <c r="G505" s="255"/>
      <c r="H505" s="239"/>
      <c r="I505" s="239"/>
      <c r="J505" s="239"/>
      <c r="K505" s="255"/>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row>
    <row r="506">
      <c r="A506" s="239"/>
      <c r="B506" s="239"/>
      <c r="C506" s="239"/>
      <c r="D506" s="239"/>
      <c r="E506" s="239"/>
      <c r="F506" s="239"/>
      <c r="G506" s="255"/>
      <c r="H506" s="239"/>
      <c r="I506" s="239"/>
      <c r="J506" s="239"/>
      <c r="K506" s="255"/>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row>
    <row r="507">
      <c r="A507" s="239"/>
      <c r="B507" s="239"/>
      <c r="C507" s="239"/>
      <c r="D507" s="239"/>
      <c r="E507" s="239"/>
      <c r="F507" s="239"/>
      <c r="G507" s="255"/>
      <c r="H507" s="239"/>
      <c r="I507" s="239"/>
      <c r="J507" s="239"/>
      <c r="K507" s="255"/>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row>
    <row r="508">
      <c r="A508" s="239"/>
      <c r="B508" s="239"/>
      <c r="C508" s="239"/>
      <c r="D508" s="239"/>
      <c r="E508" s="239"/>
      <c r="F508" s="239"/>
      <c r="G508" s="255"/>
      <c r="H508" s="239"/>
      <c r="I508" s="239"/>
      <c r="J508" s="239"/>
      <c r="K508" s="255"/>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row>
    <row r="509">
      <c r="A509" s="239"/>
      <c r="B509" s="239"/>
      <c r="C509" s="239"/>
      <c r="D509" s="239"/>
      <c r="E509" s="239"/>
      <c r="F509" s="239"/>
      <c r="G509" s="255"/>
      <c r="H509" s="239"/>
      <c r="I509" s="239"/>
      <c r="J509" s="239"/>
      <c r="K509" s="255"/>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c r="BD509" s="239"/>
      <c r="BE509" s="239"/>
      <c r="BF509" s="239"/>
      <c r="BG509" s="239"/>
      <c r="BH509" s="239"/>
      <c r="BI509" s="239"/>
    </row>
    <row r="510">
      <c r="A510" s="239"/>
      <c r="B510" s="239"/>
      <c r="C510" s="239"/>
      <c r="D510" s="239"/>
      <c r="E510" s="239"/>
      <c r="F510" s="239"/>
      <c r="G510" s="255"/>
      <c r="H510" s="239"/>
      <c r="I510" s="239"/>
      <c r="J510" s="239"/>
      <c r="K510" s="255"/>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row>
    <row r="511">
      <c r="A511" s="239"/>
      <c r="B511" s="239"/>
      <c r="C511" s="239"/>
      <c r="D511" s="239"/>
      <c r="E511" s="239"/>
      <c r="F511" s="239"/>
      <c r="G511" s="255"/>
      <c r="H511" s="239"/>
      <c r="I511" s="239"/>
      <c r="J511" s="239"/>
      <c r="K511" s="255"/>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row>
    <row r="512">
      <c r="A512" s="239"/>
      <c r="B512" s="239"/>
      <c r="C512" s="239"/>
      <c r="D512" s="239"/>
      <c r="E512" s="239"/>
      <c r="F512" s="239"/>
      <c r="G512" s="255"/>
      <c r="H512" s="239"/>
      <c r="I512" s="239"/>
      <c r="J512" s="239"/>
      <c r="K512" s="255"/>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row>
    <row r="513">
      <c r="A513" s="239"/>
      <c r="B513" s="239"/>
      <c r="C513" s="239"/>
      <c r="D513" s="239"/>
      <c r="E513" s="239"/>
      <c r="F513" s="239"/>
      <c r="G513" s="255"/>
      <c r="H513" s="239"/>
      <c r="I513" s="239"/>
      <c r="J513" s="239"/>
      <c r="K513" s="255"/>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row>
    <row r="514">
      <c r="A514" s="239"/>
      <c r="B514" s="239"/>
      <c r="C514" s="239"/>
      <c r="D514" s="239"/>
      <c r="E514" s="239"/>
      <c r="F514" s="239"/>
      <c r="G514" s="255"/>
      <c r="H514" s="239"/>
      <c r="I514" s="239"/>
      <c r="J514" s="239"/>
      <c r="K514" s="255"/>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row>
    <row r="515">
      <c r="A515" s="239"/>
      <c r="B515" s="239"/>
      <c r="C515" s="239"/>
      <c r="D515" s="239"/>
      <c r="E515" s="239"/>
      <c r="F515" s="239"/>
      <c r="G515" s="255"/>
      <c r="H515" s="239"/>
      <c r="I515" s="239"/>
      <c r="J515" s="239"/>
      <c r="K515" s="255"/>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row>
    <row r="516">
      <c r="A516" s="239"/>
      <c r="B516" s="239"/>
      <c r="C516" s="239"/>
      <c r="D516" s="239"/>
      <c r="E516" s="239"/>
      <c r="F516" s="239"/>
      <c r="G516" s="255"/>
      <c r="H516" s="239"/>
      <c r="I516" s="239"/>
      <c r="J516" s="239"/>
      <c r="K516" s="255"/>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row>
    <row r="517">
      <c r="A517" s="239"/>
      <c r="B517" s="239"/>
      <c r="C517" s="239"/>
      <c r="D517" s="239"/>
      <c r="E517" s="239"/>
      <c r="F517" s="239"/>
      <c r="G517" s="255"/>
      <c r="H517" s="239"/>
      <c r="I517" s="239"/>
      <c r="J517" s="239"/>
      <c r="K517" s="255"/>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row>
    <row r="518">
      <c r="A518" s="239"/>
      <c r="B518" s="239"/>
      <c r="C518" s="239"/>
      <c r="D518" s="239"/>
      <c r="E518" s="239"/>
      <c r="F518" s="239"/>
      <c r="G518" s="255"/>
      <c r="H518" s="239"/>
      <c r="I518" s="239"/>
      <c r="J518" s="239"/>
      <c r="K518" s="255"/>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row>
    <row r="519">
      <c r="A519" s="239"/>
      <c r="B519" s="239"/>
      <c r="C519" s="239"/>
      <c r="D519" s="239"/>
      <c r="E519" s="239"/>
      <c r="F519" s="239"/>
      <c r="G519" s="255"/>
      <c r="H519" s="239"/>
      <c r="I519" s="239"/>
      <c r="J519" s="239"/>
      <c r="K519" s="255"/>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row>
    <row r="520">
      <c r="A520" s="239"/>
      <c r="B520" s="239"/>
      <c r="C520" s="239"/>
      <c r="D520" s="239"/>
      <c r="E520" s="239"/>
      <c r="F520" s="239"/>
      <c r="G520" s="255"/>
      <c r="H520" s="239"/>
      <c r="I520" s="239"/>
      <c r="J520" s="239"/>
      <c r="K520" s="255"/>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row>
    <row r="521">
      <c r="A521" s="239"/>
      <c r="B521" s="239"/>
      <c r="C521" s="239"/>
      <c r="D521" s="239"/>
      <c r="E521" s="239"/>
      <c r="F521" s="239"/>
      <c r="G521" s="255"/>
      <c r="H521" s="239"/>
      <c r="I521" s="239"/>
      <c r="J521" s="239"/>
      <c r="K521" s="255"/>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row>
    <row r="522">
      <c r="A522" s="239"/>
      <c r="B522" s="239"/>
      <c r="C522" s="239"/>
      <c r="D522" s="239"/>
      <c r="E522" s="239"/>
      <c r="F522" s="239"/>
      <c r="G522" s="255"/>
      <c r="H522" s="239"/>
      <c r="I522" s="239"/>
      <c r="J522" s="239"/>
      <c r="K522" s="255"/>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row>
    <row r="523">
      <c r="A523" s="239"/>
      <c r="B523" s="239"/>
      <c r="C523" s="239"/>
      <c r="D523" s="239"/>
      <c r="E523" s="239"/>
      <c r="F523" s="239"/>
      <c r="G523" s="255"/>
      <c r="H523" s="239"/>
      <c r="I523" s="239"/>
      <c r="J523" s="239"/>
      <c r="K523" s="255"/>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row>
    <row r="524">
      <c r="A524" s="239"/>
      <c r="B524" s="239"/>
      <c r="C524" s="239"/>
      <c r="D524" s="239"/>
      <c r="E524" s="239"/>
      <c r="F524" s="239"/>
      <c r="G524" s="255"/>
      <c r="H524" s="239"/>
      <c r="I524" s="239"/>
      <c r="J524" s="239"/>
      <c r="K524" s="255"/>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row>
    <row r="525">
      <c r="A525" s="239"/>
      <c r="B525" s="239"/>
      <c r="C525" s="239"/>
      <c r="D525" s="239"/>
      <c r="E525" s="239"/>
      <c r="F525" s="239"/>
      <c r="G525" s="255"/>
      <c r="H525" s="239"/>
      <c r="I525" s="239"/>
      <c r="J525" s="239"/>
      <c r="K525" s="255"/>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row>
    <row r="526">
      <c r="A526" s="239"/>
      <c r="B526" s="239"/>
      <c r="C526" s="239"/>
      <c r="D526" s="239"/>
      <c r="E526" s="239"/>
      <c r="F526" s="239"/>
      <c r="G526" s="255"/>
      <c r="H526" s="239"/>
      <c r="I526" s="239"/>
      <c r="J526" s="239"/>
      <c r="K526" s="255"/>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row>
    <row r="527">
      <c r="A527" s="239"/>
      <c r="B527" s="239"/>
      <c r="C527" s="239"/>
      <c r="D527" s="239"/>
      <c r="E527" s="239"/>
      <c r="F527" s="239"/>
      <c r="G527" s="255"/>
      <c r="H527" s="239"/>
      <c r="I527" s="239"/>
      <c r="J527" s="239"/>
      <c r="K527" s="255"/>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row>
    <row r="528">
      <c r="A528" s="239"/>
      <c r="B528" s="239"/>
      <c r="C528" s="239"/>
      <c r="D528" s="239"/>
      <c r="E528" s="239"/>
      <c r="F528" s="239"/>
      <c r="G528" s="255"/>
      <c r="H528" s="239"/>
      <c r="I528" s="239"/>
      <c r="J528" s="239"/>
      <c r="K528" s="255"/>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row>
    <row r="529">
      <c r="A529" s="239"/>
      <c r="B529" s="239"/>
      <c r="C529" s="239"/>
      <c r="D529" s="239"/>
      <c r="E529" s="239"/>
      <c r="F529" s="239"/>
      <c r="G529" s="255"/>
      <c r="H529" s="239"/>
      <c r="I529" s="239"/>
      <c r="J529" s="239"/>
      <c r="K529" s="255"/>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row>
    <row r="530">
      <c r="A530" s="239"/>
      <c r="B530" s="239"/>
      <c r="C530" s="239"/>
      <c r="D530" s="239"/>
      <c r="E530" s="239"/>
      <c r="F530" s="239"/>
      <c r="G530" s="255"/>
      <c r="H530" s="239"/>
      <c r="I530" s="239"/>
      <c r="J530" s="239"/>
      <c r="K530" s="255"/>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row>
    <row r="531">
      <c r="A531" s="239"/>
      <c r="B531" s="239"/>
      <c r="C531" s="239"/>
      <c r="D531" s="239"/>
      <c r="E531" s="239"/>
      <c r="F531" s="239"/>
      <c r="G531" s="255"/>
      <c r="H531" s="239"/>
      <c r="I531" s="239"/>
      <c r="J531" s="239"/>
      <c r="K531" s="255"/>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row>
    <row r="532">
      <c r="A532" s="239"/>
      <c r="B532" s="239"/>
      <c r="C532" s="239"/>
      <c r="D532" s="239"/>
      <c r="E532" s="239"/>
      <c r="F532" s="239"/>
      <c r="G532" s="255"/>
      <c r="H532" s="239"/>
      <c r="I532" s="239"/>
      <c r="J532" s="239"/>
      <c r="K532" s="255"/>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row>
    <row r="533">
      <c r="A533" s="239"/>
      <c r="B533" s="239"/>
      <c r="C533" s="239"/>
      <c r="D533" s="239"/>
      <c r="E533" s="239"/>
      <c r="F533" s="239"/>
      <c r="G533" s="255"/>
      <c r="H533" s="239"/>
      <c r="I533" s="239"/>
      <c r="J533" s="239"/>
      <c r="K533" s="255"/>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row>
    <row r="534">
      <c r="A534" s="239"/>
      <c r="B534" s="239"/>
      <c r="C534" s="239"/>
      <c r="D534" s="239"/>
      <c r="E534" s="239"/>
      <c r="F534" s="239"/>
      <c r="G534" s="255"/>
      <c r="H534" s="239"/>
      <c r="I534" s="239"/>
      <c r="J534" s="239"/>
      <c r="K534" s="255"/>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row>
    <row r="535">
      <c r="A535" s="239"/>
      <c r="B535" s="239"/>
      <c r="C535" s="239"/>
      <c r="D535" s="239"/>
      <c r="E535" s="239"/>
      <c r="F535" s="239"/>
      <c r="G535" s="255"/>
      <c r="H535" s="239"/>
      <c r="I535" s="239"/>
      <c r="J535" s="239"/>
      <c r="K535" s="255"/>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row>
    <row r="536">
      <c r="A536" s="239"/>
      <c r="B536" s="239"/>
      <c r="C536" s="239"/>
      <c r="D536" s="239"/>
      <c r="E536" s="239"/>
      <c r="F536" s="239"/>
      <c r="G536" s="255"/>
      <c r="H536" s="239"/>
      <c r="I536" s="239"/>
      <c r="J536" s="239"/>
      <c r="K536" s="255"/>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row>
    <row r="537">
      <c r="A537" s="239"/>
      <c r="B537" s="239"/>
      <c r="C537" s="239"/>
      <c r="D537" s="239"/>
      <c r="E537" s="239"/>
      <c r="F537" s="239"/>
      <c r="G537" s="255"/>
      <c r="H537" s="239"/>
      <c r="I537" s="239"/>
      <c r="J537" s="239"/>
      <c r="K537" s="255"/>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row>
    <row r="538">
      <c r="A538" s="239"/>
      <c r="B538" s="239"/>
      <c r="C538" s="239"/>
      <c r="D538" s="239"/>
      <c r="E538" s="239"/>
      <c r="F538" s="239"/>
      <c r="G538" s="255"/>
      <c r="H538" s="239"/>
      <c r="I538" s="239"/>
      <c r="J538" s="239"/>
      <c r="K538" s="255"/>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row>
    <row r="539">
      <c r="A539" s="239"/>
      <c r="B539" s="239"/>
      <c r="C539" s="239"/>
      <c r="D539" s="239"/>
      <c r="E539" s="239"/>
      <c r="F539" s="239"/>
      <c r="G539" s="255"/>
      <c r="H539" s="239"/>
      <c r="I539" s="239"/>
      <c r="J539" s="239"/>
      <c r="K539" s="255"/>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row>
    <row r="540">
      <c r="A540" s="239"/>
      <c r="B540" s="239"/>
      <c r="C540" s="239"/>
      <c r="D540" s="239"/>
      <c r="E540" s="239"/>
      <c r="F540" s="239"/>
      <c r="G540" s="255"/>
      <c r="H540" s="239"/>
      <c r="I540" s="239"/>
      <c r="J540" s="239"/>
      <c r="K540" s="255"/>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row>
    <row r="541">
      <c r="A541" s="239"/>
      <c r="B541" s="239"/>
      <c r="C541" s="239"/>
      <c r="D541" s="239"/>
      <c r="E541" s="239"/>
      <c r="F541" s="239"/>
      <c r="G541" s="255"/>
      <c r="H541" s="239"/>
      <c r="I541" s="239"/>
      <c r="J541" s="239"/>
      <c r="K541" s="255"/>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row>
    <row r="542">
      <c r="A542" s="239"/>
      <c r="B542" s="239"/>
      <c r="C542" s="239"/>
      <c r="D542" s="239"/>
      <c r="E542" s="239"/>
      <c r="F542" s="239"/>
      <c r="G542" s="255"/>
      <c r="H542" s="239"/>
      <c r="I542" s="239"/>
      <c r="J542" s="239"/>
      <c r="K542" s="255"/>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row>
    <row r="543">
      <c r="A543" s="239"/>
      <c r="B543" s="239"/>
      <c r="C543" s="239"/>
      <c r="D543" s="239"/>
      <c r="E543" s="239"/>
      <c r="F543" s="239"/>
      <c r="G543" s="255"/>
      <c r="H543" s="239"/>
      <c r="I543" s="239"/>
      <c r="J543" s="239"/>
      <c r="K543" s="255"/>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row>
    <row r="544">
      <c r="A544" s="239"/>
      <c r="B544" s="239"/>
      <c r="C544" s="239"/>
      <c r="D544" s="239"/>
      <c r="E544" s="239"/>
      <c r="F544" s="239"/>
      <c r="G544" s="255"/>
      <c r="H544" s="239"/>
      <c r="I544" s="239"/>
      <c r="J544" s="239"/>
      <c r="K544" s="255"/>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row>
    <row r="545">
      <c r="A545" s="239"/>
      <c r="B545" s="239"/>
      <c r="C545" s="239"/>
      <c r="D545" s="239"/>
      <c r="E545" s="239"/>
      <c r="F545" s="239"/>
      <c r="G545" s="255"/>
      <c r="H545" s="239"/>
      <c r="I545" s="239"/>
      <c r="J545" s="239"/>
      <c r="K545" s="255"/>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row>
    <row r="546">
      <c r="A546" s="239"/>
      <c r="B546" s="239"/>
      <c r="C546" s="239"/>
      <c r="D546" s="239"/>
      <c r="E546" s="239"/>
      <c r="F546" s="239"/>
      <c r="G546" s="255"/>
      <c r="H546" s="239"/>
      <c r="I546" s="239"/>
      <c r="J546" s="239"/>
      <c r="K546" s="255"/>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row>
    <row r="547">
      <c r="A547" s="239"/>
      <c r="B547" s="239"/>
      <c r="C547" s="239"/>
      <c r="D547" s="239"/>
      <c r="E547" s="239"/>
      <c r="F547" s="239"/>
      <c r="G547" s="255"/>
      <c r="H547" s="239"/>
      <c r="I547" s="239"/>
      <c r="J547" s="239"/>
      <c r="K547" s="255"/>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row>
    <row r="548">
      <c r="A548" s="239"/>
      <c r="B548" s="239"/>
      <c r="C548" s="239"/>
      <c r="D548" s="239"/>
      <c r="E548" s="239"/>
      <c r="F548" s="239"/>
      <c r="G548" s="255"/>
      <c r="H548" s="239"/>
      <c r="I548" s="239"/>
      <c r="J548" s="239"/>
      <c r="K548" s="255"/>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row>
    <row r="549">
      <c r="A549" s="239"/>
      <c r="B549" s="239"/>
      <c r="C549" s="239"/>
      <c r="D549" s="239"/>
      <c r="E549" s="239"/>
      <c r="F549" s="239"/>
      <c r="G549" s="255"/>
      <c r="H549" s="239"/>
      <c r="I549" s="239"/>
      <c r="J549" s="239"/>
      <c r="K549" s="255"/>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row>
    <row r="550">
      <c r="A550" s="239"/>
      <c r="B550" s="239"/>
      <c r="C550" s="239"/>
      <c r="D550" s="239"/>
      <c r="E550" s="239"/>
      <c r="F550" s="239"/>
      <c r="G550" s="255"/>
      <c r="H550" s="239"/>
      <c r="I550" s="239"/>
      <c r="J550" s="239"/>
      <c r="K550" s="255"/>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row>
    <row r="551">
      <c r="A551" s="239"/>
      <c r="B551" s="239"/>
      <c r="C551" s="239"/>
      <c r="D551" s="239"/>
      <c r="E551" s="239"/>
      <c r="F551" s="239"/>
      <c r="G551" s="255"/>
      <c r="H551" s="239"/>
      <c r="I551" s="239"/>
      <c r="J551" s="239"/>
      <c r="K551" s="255"/>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row>
    <row r="552">
      <c r="A552" s="239"/>
      <c r="B552" s="239"/>
      <c r="C552" s="239"/>
      <c r="D552" s="239"/>
      <c r="E552" s="239"/>
      <c r="F552" s="239"/>
      <c r="G552" s="255"/>
      <c r="H552" s="239"/>
      <c r="I552" s="239"/>
      <c r="J552" s="239"/>
      <c r="K552" s="255"/>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row>
    <row r="553">
      <c r="A553" s="239"/>
      <c r="B553" s="239"/>
      <c r="C553" s="239"/>
      <c r="D553" s="239"/>
      <c r="E553" s="239"/>
      <c r="F553" s="239"/>
      <c r="G553" s="255"/>
      <c r="H553" s="239"/>
      <c r="I553" s="239"/>
      <c r="J553" s="239"/>
      <c r="K553" s="255"/>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row>
    <row r="554">
      <c r="A554" s="239"/>
      <c r="B554" s="239"/>
      <c r="C554" s="239"/>
      <c r="D554" s="239"/>
      <c r="E554" s="239"/>
      <c r="F554" s="239"/>
      <c r="G554" s="255"/>
      <c r="H554" s="239"/>
      <c r="I554" s="239"/>
      <c r="J554" s="239"/>
      <c r="K554" s="255"/>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row>
    <row r="555">
      <c r="A555" s="239"/>
      <c r="B555" s="239"/>
      <c r="C555" s="239"/>
      <c r="D555" s="239"/>
      <c r="E555" s="239"/>
      <c r="F555" s="239"/>
      <c r="G555" s="255"/>
      <c r="H555" s="239"/>
      <c r="I555" s="239"/>
      <c r="J555" s="239"/>
      <c r="K555" s="255"/>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row>
    <row r="556">
      <c r="A556" s="239"/>
      <c r="B556" s="239"/>
      <c r="C556" s="239"/>
      <c r="D556" s="239"/>
      <c r="E556" s="239"/>
      <c r="F556" s="239"/>
      <c r="G556" s="255"/>
      <c r="H556" s="239"/>
      <c r="I556" s="239"/>
      <c r="J556" s="239"/>
      <c r="K556" s="255"/>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row>
    <row r="557">
      <c r="A557" s="239"/>
      <c r="B557" s="239"/>
      <c r="C557" s="239"/>
      <c r="D557" s="239"/>
      <c r="E557" s="239"/>
      <c r="F557" s="239"/>
      <c r="G557" s="255"/>
      <c r="H557" s="239"/>
      <c r="I557" s="239"/>
      <c r="J557" s="239"/>
      <c r="K557" s="255"/>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row>
    <row r="558">
      <c r="A558" s="239"/>
      <c r="B558" s="239"/>
      <c r="C558" s="239"/>
      <c r="D558" s="239"/>
      <c r="E558" s="239"/>
      <c r="F558" s="239"/>
      <c r="G558" s="255"/>
      <c r="H558" s="239"/>
      <c r="I558" s="239"/>
      <c r="J558" s="239"/>
      <c r="K558" s="255"/>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row>
    <row r="559">
      <c r="A559" s="239"/>
      <c r="B559" s="239"/>
      <c r="C559" s="239"/>
      <c r="D559" s="239"/>
      <c r="E559" s="239"/>
      <c r="F559" s="239"/>
      <c r="G559" s="255"/>
      <c r="H559" s="239"/>
      <c r="I559" s="239"/>
      <c r="J559" s="239"/>
      <c r="K559" s="255"/>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row>
    <row r="560">
      <c r="A560" s="239"/>
      <c r="B560" s="239"/>
      <c r="C560" s="239"/>
      <c r="D560" s="239"/>
      <c r="E560" s="239"/>
      <c r="F560" s="239"/>
      <c r="G560" s="255"/>
      <c r="H560" s="239"/>
      <c r="I560" s="239"/>
      <c r="J560" s="239"/>
      <c r="K560" s="255"/>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row>
    <row r="561">
      <c r="A561" s="239"/>
      <c r="B561" s="239"/>
      <c r="C561" s="239"/>
      <c r="D561" s="239"/>
      <c r="E561" s="239"/>
      <c r="F561" s="239"/>
      <c r="G561" s="255"/>
      <c r="H561" s="239"/>
      <c r="I561" s="239"/>
      <c r="J561" s="239"/>
      <c r="K561" s="255"/>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row>
    <row r="562">
      <c r="A562" s="239"/>
      <c r="B562" s="239"/>
      <c r="C562" s="239"/>
      <c r="D562" s="239"/>
      <c r="E562" s="239"/>
      <c r="F562" s="239"/>
      <c r="G562" s="255"/>
      <c r="H562" s="239"/>
      <c r="I562" s="239"/>
      <c r="J562" s="239"/>
      <c r="K562" s="255"/>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row>
    <row r="563">
      <c r="A563" s="239"/>
      <c r="B563" s="239"/>
      <c r="C563" s="239"/>
      <c r="D563" s="239"/>
      <c r="E563" s="239"/>
      <c r="F563" s="239"/>
      <c r="G563" s="255"/>
      <c r="H563" s="239"/>
      <c r="I563" s="239"/>
      <c r="J563" s="239"/>
      <c r="K563" s="255"/>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row>
    <row r="564">
      <c r="A564" s="239"/>
      <c r="B564" s="239"/>
      <c r="C564" s="239"/>
      <c r="D564" s="239"/>
      <c r="E564" s="239"/>
      <c r="F564" s="239"/>
      <c r="G564" s="255"/>
      <c r="H564" s="239"/>
      <c r="I564" s="239"/>
      <c r="J564" s="239"/>
      <c r="K564" s="255"/>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row>
    <row r="565">
      <c r="A565" s="239"/>
      <c r="B565" s="239"/>
      <c r="C565" s="239"/>
      <c r="D565" s="239"/>
      <c r="E565" s="239"/>
      <c r="F565" s="239"/>
      <c r="G565" s="255"/>
      <c r="H565" s="239"/>
      <c r="I565" s="239"/>
      <c r="J565" s="239"/>
      <c r="K565" s="255"/>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row>
    <row r="566">
      <c r="A566" s="239"/>
      <c r="B566" s="239"/>
      <c r="C566" s="239"/>
      <c r="D566" s="239"/>
      <c r="E566" s="239"/>
      <c r="F566" s="239"/>
      <c r="G566" s="255"/>
      <c r="H566" s="239"/>
      <c r="I566" s="239"/>
      <c r="J566" s="239"/>
      <c r="K566" s="255"/>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row>
    <row r="567">
      <c r="A567" s="239"/>
      <c r="B567" s="239"/>
      <c r="C567" s="239"/>
      <c r="D567" s="239"/>
      <c r="E567" s="239"/>
      <c r="F567" s="239"/>
      <c r="G567" s="255"/>
      <c r="H567" s="239"/>
      <c r="I567" s="239"/>
      <c r="J567" s="239"/>
      <c r="K567" s="255"/>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row>
    <row r="568">
      <c r="A568" s="239"/>
      <c r="B568" s="239"/>
      <c r="C568" s="239"/>
      <c r="D568" s="239"/>
      <c r="E568" s="239"/>
      <c r="F568" s="239"/>
      <c r="G568" s="255"/>
      <c r="H568" s="239"/>
      <c r="I568" s="239"/>
      <c r="J568" s="239"/>
      <c r="K568" s="255"/>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row>
    <row r="569">
      <c r="A569" s="239"/>
      <c r="B569" s="239"/>
      <c r="C569" s="239"/>
      <c r="D569" s="239"/>
      <c r="E569" s="239"/>
      <c r="F569" s="239"/>
      <c r="G569" s="255"/>
      <c r="H569" s="239"/>
      <c r="I569" s="239"/>
      <c r="J569" s="239"/>
      <c r="K569" s="255"/>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row>
    <row r="570">
      <c r="A570" s="239"/>
      <c r="B570" s="239"/>
      <c r="C570" s="239"/>
      <c r="D570" s="239"/>
      <c r="E570" s="239"/>
      <c r="F570" s="239"/>
      <c r="G570" s="255"/>
      <c r="H570" s="239"/>
      <c r="I570" s="239"/>
      <c r="J570" s="239"/>
      <c r="K570" s="255"/>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row>
    <row r="571">
      <c r="A571" s="239"/>
      <c r="B571" s="239"/>
      <c r="C571" s="239"/>
      <c r="D571" s="239"/>
      <c r="E571" s="239"/>
      <c r="F571" s="239"/>
      <c r="G571" s="255"/>
      <c r="H571" s="239"/>
      <c r="I571" s="239"/>
      <c r="J571" s="239"/>
      <c r="K571" s="255"/>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row>
    <row r="572">
      <c r="A572" s="239"/>
      <c r="B572" s="239"/>
      <c r="C572" s="239"/>
      <c r="D572" s="239"/>
      <c r="E572" s="239"/>
      <c r="F572" s="239"/>
      <c r="G572" s="255"/>
      <c r="H572" s="239"/>
      <c r="I572" s="239"/>
      <c r="J572" s="239"/>
      <c r="K572" s="255"/>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row>
    <row r="573">
      <c r="A573" s="239"/>
      <c r="B573" s="239"/>
      <c r="C573" s="239"/>
      <c r="D573" s="239"/>
      <c r="E573" s="239"/>
      <c r="F573" s="239"/>
      <c r="G573" s="255"/>
      <c r="H573" s="239"/>
      <c r="I573" s="239"/>
      <c r="J573" s="239"/>
      <c r="K573" s="255"/>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row>
    <row r="574">
      <c r="A574" s="239"/>
      <c r="B574" s="239"/>
      <c r="C574" s="239"/>
      <c r="D574" s="239"/>
      <c r="E574" s="239"/>
      <c r="F574" s="239"/>
      <c r="G574" s="255"/>
      <c r="H574" s="239"/>
      <c r="I574" s="239"/>
      <c r="J574" s="239"/>
      <c r="K574" s="255"/>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row>
    <row r="575">
      <c r="A575" s="239"/>
      <c r="B575" s="239"/>
      <c r="C575" s="239"/>
      <c r="D575" s="239"/>
      <c r="E575" s="239"/>
      <c r="F575" s="239"/>
      <c r="G575" s="255"/>
      <c r="H575" s="239"/>
      <c r="I575" s="239"/>
      <c r="J575" s="239"/>
      <c r="K575" s="255"/>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row>
    <row r="576">
      <c r="A576" s="239"/>
      <c r="B576" s="239"/>
      <c r="C576" s="239"/>
      <c r="D576" s="239"/>
      <c r="E576" s="239"/>
      <c r="F576" s="239"/>
      <c r="G576" s="255"/>
      <c r="H576" s="239"/>
      <c r="I576" s="239"/>
      <c r="J576" s="239"/>
      <c r="K576" s="255"/>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row>
    <row r="577">
      <c r="A577" s="239"/>
      <c r="B577" s="239"/>
      <c r="C577" s="239"/>
      <c r="D577" s="239"/>
      <c r="E577" s="239"/>
      <c r="F577" s="239"/>
      <c r="G577" s="255"/>
      <c r="H577" s="239"/>
      <c r="I577" s="239"/>
      <c r="J577" s="239"/>
      <c r="K577" s="255"/>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row>
    <row r="578">
      <c r="A578" s="239"/>
      <c r="B578" s="239"/>
      <c r="C578" s="239"/>
      <c r="D578" s="239"/>
      <c r="E578" s="239"/>
      <c r="F578" s="239"/>
      <c r="G578" s="255"/>
      <c r="H578" s="239"/>
      <c r="I578" s="239"/>
      <c r="J578" s="239"/>
      <c r="K578" s="255"/>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row>
    <row r="579">
      <c r="A579" s="239"/>
      <c r="B579" s="239"/>
      <c r="C579" s="239"/>
      <c r="D579" s="239"/>
      <c r="E579" s="239"/>
      <c r="F579" s="239"/>
      <c r="G579" s="255"/>
      <c r="H579" s="239"/>
      <c r="I579" s="239"/>
      <c r="J579" s="239"/>
      <c r="K579" s="255"/>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row>
    <row r="580">
      <c r="A580" s="239"/>
      <c r="B580" s="239"/>
      <c r="C580" s="239"/>
      <c r="D580" s="239"/>
      <c r="E580" s="239"/>
      <c r="F580" s="239"/>
      <c r="G580" s="255"/>
      <c r="H580" s="239"/>
      <c r="I580" s="239"/>
      <c r="J580" s="239"/>
      <c r="K580" s="255"/>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row>
    <row r="581">
      <c r="A581" s="239"/>
      <c r="B581" s="239"/>
      <c r="C581" s="239"/>
      <c r="D581" s="239"/>
      <c r="E581" s="239"/>
      <c r="F581" s="239"/>
      <c r="G581" s="255"/>
      <c r="H581" s="239"/>
      <c r="I581" s="239"/>
      <c r="J581" s="239"/>
      <c r="K581" s="255"/>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row>
    <row r="582">
      <c r="A582" s="239"/>
      <c r="B582" s="239"/>
      <c r="C582" s="239"/>
      <c r="D582" s="239"/>
      <c r="E582" s="239"/>
      <c r="F582" s="239"/>
      <c r="G582" s="255"/>
      <c r="H582" s="239"/>
      <c r="I582" s="239"/>
      <c r="J582" s="239"/>
      <c r="K582" s="255"/>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row>
    <row r="583">
      <c r="A583" s="239"/>
      <c r="B583" s="239"/>
      <c r="C583" s="239"/>
      <c r="D583" s="239"/>
      <c r="E583" s="239"/>
      <c r="F583" s="239"/>
      <c r="G583" s="255"/>
      <c r="H583" s="239"/>
      <c r="I583" s="239"/>
      <c r="J583" s="239"/>
      <c r="K583" s="255"/>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row>
    <row r="584">
      <c r="A584" s="239"/>
      <c r="B584" s="239"/>
      <c r="C584" s="239"/>
      <c r="D584" s="239"/>
      <c r="E584" s="239"/>
      <c r="F584" s="239"/>
      <c r="G584" s="255"/>
      <c r="H584" s="239"/>
      <c r="I584" s="239"/>
      <c r="J584" s="239"/>
      <c r="K584" s="255"/>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row>
    <row r="585">
      <c r="A585" s="239"/>
      <c r="B585" s="239"/>
      <c r="C585" s="239"/>
      <c r="D585" s="239"/>
      <c r="E585" s="239"/>
      <c r="F585" s="239"/>
      <c r="G585" s="255"/>
      <c r="H585" s="239"/>
      <c r="I585" s="239"/>
      <c r="J585" s="239"/>
      <c r="K585" s="255"/>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row>
    <row r="586">
      <c r="A586" s="239"/>
      <c r="B586" s="239"/>
      <c r="C586" s="239"/>
      <c r="D586" s="239"/>
      <c r="E586" s="239"/>
      <c r="F586" s="239"/>
      <c r="G586" s="255"/>
      <c r="H586" s="239"/>
      <c r="I586" s="239"/>
      <c r="J586" s="239"/>
      <c r="K586" s="255"/>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row>
    <row r="587">
      <c r="A587" s="239"/>
      <c r="B587" s="239"/>
      <c r="C587" s="239"/>
      <c r="D587" s="239"/>
      <c r="E587" s="239"/>
      <c r="F587" s="239"/>
      <c r="G587" s="255"/>
      <c r="H587" s="239"/>
      <c r="I587" s="239"/>
      <c r="J587" s="239"/>
      <c r="K587" s="255"/>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row>
    <row r="588">
      <c r="A588" s="239"/>
      <c r="B588" s="239"/>
      <c r="C588" s="239"/>
      <c r="D588" s="239"/>
      <c r="E588" s="239"/>
      <c r="F588" s="239"/>
      <c r="G588" s="255"/>
      <c r="H588" s="239"/>
      <c r="I588" s="239"/>
      <c r="J588" s="239"/>
      <c r="K588" s="255"/>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row>
    <row r="589">
      <c r="A589" s="239"/>
      <c r="B589" s="239"/>
      <c r="C589" s="239"/>
      <c r="D589" s="239"/>
      <c r="E589" s="239"/>
      <c r="F589" s="239"/>
      <c r="G589" s="255"/>
      <c r="H589" s="239"/>
      <c r="I589" s="239"/>
      <c r="J589" s="239"/>
      <c r="K589" s="255"/>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row>
    <row r="590">
      <c r="A590" s="239"/>
      <c r="B590" s="239"/>
      <c r="C590" s="239"/>
      <c r="D590" s="239"/>
      <c r="E590" s="239"/>
      <c r="F590" s="239"/>
      <c r="G590" s="255"/>
      <c r="H590" s="239"/>
      <c r="I590" s="239"/>
      <c r="J590" s="239"/>
      <c r="K590" s="255"/>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row>
    <row r="591">
      <c r="A591" s="239"/>
      <c r="B591" s="239"/>
      <c r="C591" s="239"/>
      <c r="D591" s="239"/>
      <c r="E591" s="239"/>
      <c r="F591" s="239"/>
      <c r="G591" s="255"/>
      <c r="H591" s="239"/>
      <c r="I591" s="239"/>
      <c r="J591" s="239"/>
      <c r="K591" s="255"/>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row>
    <row r="592">
      <c r="A592" s="239"/>
      <c r="B592" s="239"/>
      <c r="C592" s="239"/>
      <c r="D592" s="239"/>
      <c r="E592" s="239"/>
      <c r="F592" s="239"/>
      <c r="G592" s="255"/>
      <c r="H592" s="239"/>
      <c r="I592" s="239"/>
      <c r="J592" s="239"/>
      <c r="K592" s="255"/>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row>
    <row r="593">
      <c r="A593" s="239"/>
      <c r="B593" s="239"/>
      <c r="C593" s="239"/>
      <c r="D593" s="239"/>
      <c r="E593" s="239"/>
      <c r="F593" s="239"/>
      <c r="G593" s="255"/>
      <c r="H593" s="239"/>
      <c r="I593" s="239"/>
      <c r="J593" s="239"/>
      <c r="K593" s="255"/>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row>
    <row r="594">
      <c r="A594" s="239"/>
      <c r="B594" s="239"/>
      <c r="C594" s="239"/>
      <c r="D594" s="239"/>
      <c r="E594" s="239"/>
      <c r="F594" s="239"/>
      <c r="G594" s="255"/>
      <c r="H594" s="239"/>
      <c r="I594" s="239"/>
      <c r="J594" s="239"/>
      <c r="K594" s="255"/>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row>
    <row r="595">
      <c r="A595" s="239"/>
      <c r="B595" s="239"/>
      <c r="C595" s="239"/>
      <c r="D595" s="239"/>
      <c r="E595" s="239"/>
      <c r="F595" s="239"/>
      <c r="G595" s="255"/>
      <c r="H595" s="239"/>
      <c r="I595" s="239"/>
      <c r="J595" s="239"/>
      <c r="K595" s="255"/>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row>
    <row r="596">
      <c r="A596" s="239"/>
      <c r="B596" s="239"/>
      <c r="C596" s="239"/>
      <c r="D596" s="239"/>
      <c r="E596" s="239"/>
      <c r="F596" s="239"/>
      <c r="G596" s="255"/>
      <c r="H596" s="239"/>
      <c r="I596" s="239"/>
      <c r="J596" s="239"/>
      <c r="K596" s="255"/>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row>
    <row r="597">
      <c r="A597" s="239"/>
      <c r="B597" s="239"/>
      <c r="C597" s="239"/>
      <c r="D597" s="239"/>
      <c r="E597" s="239"/>
      <c r="F597" s="239"/>
      <c r="G597" s="255"/>
      <c r="H597" s="239"/>
      <c r="I597" s="239"/>
      <c r="J597" s="239"/>
      <c r="K597" s="255"/>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row>
    <row r="598">
      <c r="A598" s="239"/>
      <c r="B598" s="239"/>
      <c r="C598" s="239"/>
      <c r="D598" s="239"/>
      <c r="E598" s="239"/>
      <c r="F598" s="239"/>
      <c r="G598" s="255"/>
      <c r="H598" s="239"/>
      <c r="I598" s="239"/>
      <c r="J598" s="239"/>
      <c r="K598" s="255"/>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row>
    <row r="599">
      <c r="A599" s="239"/>
      <c r="B599" s="239"/>
      <c r="C599" s="239"/>
      <c r="D599" s="239"/>
      <c r="E599" s="239"/>
      <c r="F599" s="239"/>
      <c r="G599" s="255"/>
      <c r="H599" s="239"/>
      <c r="I599" s="239"/>
      <c r="J599" s="239"/>
      <c r="K599" s="255"/>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row>
    <row r="600">
      <c r="A600" s="239"/>
      <c r="B600" s="239"/>
      <c r="C600" s="239"/>
      <c r="D600" s="239"/>
      <c r="E600" s="239"/>
      <c r="F600" s="239"/>
      <c r="G600" s="255"/>
      <c r="H600" s="239"/>
      <c r="I600" s="239"/>
      <c r="J600" s="239"/>
      <c r="K600" s="255"/>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row>
    <row r="601">
      <c r="A601" s="239"/>
      <c r="B601" s="239"/>
      <c r="C601" s="239"/>
      <c r="D601" s="239"/>
      <c r="E601" s="239"/>
      <c r="F601" s="239"/>
      <c r="G601" s="255"/>
      <c r="H601" s="239"/>
      <c r="I601" s="239"/>
      <c r="J601" s="239"/>
      <c r="K601" s="255"/>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row>
    <row r="602">
      <c r="A602" s="239"/>
      <c r="B602" s="239"/>
      <c r="C602" s="239"/>
      <c r="D602" s="239"/>
      <c r="E602" s="239"/>
      <c r="F602" s="239"/>
      <c r="G602" s="255"/>
      <c r="H602" s="239"/>
      <c r="I602" s="239"/>
      <c r="J602" s="239"/>
      <c r="K602" s="255"/>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row>
    <row r="603">
      <c r="A603" s="239"/>
      <c r="B603" s="239"/>
      <c r="C603" s="239"/>
      <c r="D603" s="239"/>
      <c r="E603" s="239"/>
      <c r="F603" s="239"/>
      <c r="G603" s="255"/>
      <c r="H603" s="239"/>
      <c r="I603" s="239"/>
      <c r="J603" s="239"/>
      <c r="K603" s="255"/>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row>
    <row r="604">
      <c r="A604" s="239"/>
      <c r="B604" s="239"/>
      <c r="C604" s="239"/>
      <c r="D604" s="239"/>
      <c r="E604" s="239"/>
      <c r="F604" s="239"/>
      <c r="G604" s="255"/>
      <c r="H604" s="239"/>
      <c r="I604" s="239"/>
      <c r="J604" s="239"/>
      <c r="K604" s="255"/>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row>
    <row r="605">
      <c r="A605" s="239"/>
      <c r="B605" s="239"/>
      <c r="C605" s="239"/>
      <c r="D605" s="239"/>
      <c r="E605" s="239"/>
      <c r="F605" s="239"/>
      <c r="G605" s="255"/>
      <c r="H605" s="239"/>
      <c r="I605" s="239"/>
      <c r="J605" s="239"/>
      <c r="K605" s="255"/>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row>
    <row r="606">
      <c r="A606" s="239"/>
      <c r="B606" s="239"/>
      <c r="C606" s="239"/>
      <c r="D606" s="239"/>
      <c r="E606" s="239"/>
      <c r="F606" s="239"/>
      <c r="G606" s="255"/>
      <c r="H606" s="239"/>
      <c r="I606" s="239"/>
      <c r="J606" s="239"/>
      <c r="K606" s="255"/>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row>
    <row r="607">
      <c r="A607" s="239"/>
      <c r="B607" s="239"/>
      <c r="C607" s="239"/>
      <c r="D607" s="239"/>
      <c r="E607" s="239"/>
      <c r="F607" s="239"/>
      <c r="G607" s="255"/>
      <c r="H607" s="239"/>
      <c r="I607" s="239"/>
      <c r="J607" s="239"/>
      <c r="K607" s="255"/>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row>
    <row r="608">
      <c r="A608" s="239"/>
      <c r="B608" s="239"/>
      <c r="C608" s="239"/>
      <c r="D608" s="239"/>
      <c r="E608" s="239"/>
      <c r="F608" s="239"/>
      <c r="G608" s="255"/>
      <c r="H608" s="239"/>
      <c r="I608" s="239"/>
      <c r="J608" s="239"/>
      <c r="K608" s="255"/>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row>
    <row r="609">
      <c r="A609" s="239"/>
      <c r="B609" s="239"/>
      <c r="C609" s="239"/>
      <c r="D609" s="239"/>
      <c r="E609" s="239"/>
      <c r="F609" s="239"/>
      <c r="G609" s="255"/>
      <c r="H609" s="239"/>
      <c r="I609" s="239"/>
      <c r="J609" s="239"/>
      <c r="K609" s="255"/>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row>
    <row r="610">
      <c r="A610" s="239"/>
      <c r="B610" s="239"/>
      <c r="C610" s="239"/>
      <c r="D610" s="239"/>
      <c r="E610" s="239"/>
      <c r="F610" s="239"/>
      <c r="G610" s="255"/>
      <c r="H610" s="239"/>
      <c r="I610" s="239"/>
      <c r="J610" s="239"/>
      <c r="K610" s="255"/>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row>
    <row r="611">
      <c r="A611" s="239"/>
      <c r="B611" s="239"/>
      <c r="C611" s="239"/>
      <c r="D611" s="239"/>
      <c r="E611" s="239"/>
      <c r="F611" s="239"/>
      <c r="G611" s="255"/>
      <c r="H611" s="239"/>
      <c r="I611" s="239"/>
      <c r="J611" s="239"/>
      <c r="K611" s="255"/>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row>
    <row r="612">
      <c r="A612" s="239"/>
      <c r="B612" s="239"/>
      <c r="C612" s="239"/>
      <c r="D612" s="239"/>
      <c r="E612" s="239"/>
      <c r="F612" s="239"/>
      <c r="G612" s="255"/>
      <c r="H612" s="239"/>
      <c r="I612" s="239"/>
      <c r="J612" s="239"/>
      <c r="K612" s="255"/>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row>
    <row r="613">
      <c r="A613" s="239"/>
      <c r="B613" s="239"/>
      <c r="C613" s="239"/>
      <c r="D613" s="239"/>
      <c r="E613" s="239"/>
      <c r="F613" s="239"/>
      <c r="G613" s="255"/>
      <c r="H613" s="239"/>
      <c r="I613" s="239"/>
      <c r="J613" s="239"/>
      <c r="K613" s="255"/>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row>
    <row r="614">
      <c r="A614" s="239"/>
      <c r="B614" s="239"/>
      <c r="C614" s="239"/>
      <c r="D614" s="239"/>
      <c r="E614" s="239"/>
      <c r="F614" s="239"/>
      <c r="G614" s="255"/>
      <c r="H614" s="239"/>
      <c r="I614" s="239"/>
      <c r="J614" s="239"/>
      <c r="K614" s="255"/>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row>
    <row r="615">
      <c r="A615" s="239"/>
      <c r="B615" s="239"/>
      <c r="C615" s="239"/>
      <c r="D615" s="239"/>
      <c r="E615" s="239"/>
      <c r="F615" s="239"/>
      <c r="G615" s="255"/>
      <c r="H615" s="239"/>
      <c r="I615" s="239"/>
      <c r="J615" s="239"/>
      <c r="K615" s="255"/>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c r="BD615" s="239"/>
      <c r="BE615" s="239"/>
      <c r="BF615" s="239"/>
      <c r="BG615" s="239"/>
      <c r="BH615" s="239"/>
      <c r="BI615" s="239"/>
    </row>
    <row r="616">
      <c r="A616" s="239"/>
      <c r="B616" s="239"/>
      <c r="C616" s="239"/>
      <c r="D616" s="239"/>
      <c r="E616" s="239"/>
      <c r="F616" s="239"/>
      <c r="G616" s="255"/>
      <c r="H616" s="239"/>
      <c r="I616" s="239"/>
      <c r="J616" s="239"/>
      <c r="K616" s="255"/>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row>
    <row r="617">
      <c r="A617" s="239"/>
      <c r="B617" s="239"/>
      <c r="C617" s="239"/>
      <c r="D617" s="239"/>
      <c r="E617" s="239"/>
      <c r="F617" s="239"/>
      <c r="G617" s="255"/>
      <c r="H617" s="239"/>
      <c r="I617" s="239"/>
      <c r="J617" s="239"/>
      <c r="K617" s="255"/>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row>
    <row r="618">
      <c r="A618" s="239"/>
      <c r="B618" s="239"/>
      <c r="C618" s="239"/>
      <c r="D618" s="239"/>
      <c r="E618" s="239"/>
      <c r="F618" s="239"/>
      <c r="G618" s="255"/>
      <c r="H618" s="239"/>
      <c r="I618" s="239"/>
      <c r="J618" s="239"/>
      <c r="K618" s="255"/>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row>
    <row r="619">
      <c r="A619" s="239"/>
      <c r="B619" s="239"/>
      <c r="C619" s="239"/>
      <c r="D619" s="239"/>
      <c r="E619" s="239"/>
      <c r="F619" s="239"/>
      <c r="G619" s="255"/>
      <c r="H619" s="239"/>
      <c r="I619" s="239"/>
      <c r="J619" s="239"/>
      <c r="K619" s="255"/>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c r="BD619" s="239"/>
      <c r="BE619" s="239"/>
      <c r="BF619" s="239"/>
      <c r="BG619" s="239"/>
      <c r="BH619" s="239"/>
      <c r="BI619" s="239"/>
    </row>
    <row r="620">
      <c r="A620" s="239"/>
      <c r="B620" s="239"/>
      <c r="C620" s="239"/>
      <c r="D620" s="239"/>
      <c r="E620" s="239"/>
      <c r="F620" s="239"/>
      <c r="G620" s="255"/>
      <c r="H620" s="239"/>
      <c r="I620" s="239"/>
      <c r="J620" s="239"/>
      <c r="K620" s="255"/>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row>
    <row r="621">
      <c r="A621" s="239"/>
      <c r="B621" s="239"/>
      <c r="C621" s="239"/>
      <c r="D621" s="239"/>
      <c r="E621" s="239"/>
      <c r="F621" s="239"/>
      <c r="G621" s="255"/>
      <c r="H621" s="239"/>
      <c r="I621" s="239"/>
      <c r="J621" s="239"/>
      <c r="K621" s="255"/>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row>
    <row r="622">
      <c r="A622" s="239"/>
      <c r="B622" s="239"/>
      <c r="C622" s="239"/>
      <c r="D622" s="239"/>
      <c r="E622" s="239"/>
      <c r="F622" s="239"/>
      <c r="G622" s="255"/>
      <c r="H622" s="239"/>
      <c r="I622" s="239"/>
      <c r="J622" s="239"/>
      <c r="K622" s="255"/>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row>
    <row r="623">
      <c r="A623" s="239"/>
      <c r="B623" s="239"/>
      <c r="C623" s="239"/>
      <c r="D623" s="239"/>
      <c r="E623" s="239"/>
      <c r="F623" s="239"/>
      <c r="G623" s="255"/>
      <c r="H623" s="239"/>
      <c r="I623" s="239"/>
      <c r="J623" s="239"/>
      <c r="K623" s="255"/>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c r="BD623" s="239"/>
      <c r="BE623" s="239"/>
      <c r="BF623" s="239"/>
      <c r="BG623" s="239"/>
      <c r="BH623" s="239"/>
      <c r="BI623" s="239"/>
    </row>
    <row r="624">
      <c r="A624" s="239"/>
      <c r="B624" s="239"/>
      <c r="C624" s="239"/>
      <c r="D624" s="239"/>
      <c r="E624" s="239"/>
      <c r="F624" s="239"/>
      <c r="G624" s="255"/>
      <c r="H624" s="239"/>
      <c r="I624" s="239"/>
      <c r="J624" s="239"/>
      <c r="K624" s="255"/>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c r="BD624" s="239"/>
      <c r="BE624" s="239"/>
      <c r="BF624" s="239"/>
      <c r="BG624" s="239"/>
      <c r="BH624" s="239"/>
      <c r="BI624" s="239"/>
    </row>
    <row r="625">
      <c r="A625" s="239"/>
      <c r="B625" s="239"/>
      <c r="C625" s="239"/>
      <c r="D625" s="239"/>
      <c r="E625" s="239"/>
      <c r="F625" s="239"/>
      <c r="G625" s="255"/>
      <c r="H625" s="239"/>
      <c r="I625" s="239"/>
      <c r="J625" s="239"/>
      <c r="K625" s="255"/>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c r="BD625" s="239"/>
      <c r="BE625" s="239"/>
      <c r="BF625" s="239"/>
      <c r="BG625" s="239"/>
      <c r="BH625" s="239"/>
      <c r="BI625" s="239"/>
    </row>
    <row r="626">
      <c r="A626" s="239"/>
      <c r="B626" s="239"/>
      <c r="C626" s="239"/>
      <c r="D626" s="239"/>
      <c r="E626" s="239"/>
      <c r="F626" s="239"/>
      <c r="G626" s="255"/>
      <c r="H626" s="239"/>
      <c r="I626" s="239"/>
      <c r="J626" s="239"/>
      <c r="K626" s="255"/>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c r="BD626" s="239"/>
      <c r="BE626" s="239"/>
      <c r="BF626" s="239"/>
      <c r="BG626" s="239"/>
      <c r="BH626" s="239"/>
      <c r="BI626" s="239"/>
    </row>
    <row r="627">
      <c r="A627" s="239"/>
      <c r="B627" s="239"/>
      <c r="C627" s="239"/>
      <c r="D627" s="239"/>
      <c r="E627" s="239"/>
      <c r="F627" s="239"/>
      <c r="G627" s="255"/>
      <c r="H627" s="239"/>
      <c r="I627" s="239"/>
      <c r="J627" s="239"/>
      <c r="K627" s="255"/>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c r="BD627" s="239"/>
      <c r="BE627" s="239"/>
      <c r="BF627" s="239"/>
      <c r="BG627" s="239"/>
      <c r="BH627" s="239"/>
      <c r="BI627" s="239"/>
    </row>
    <row r="628">
      <c r="A628" s="239"/>
      <c r="B628" s="239"/>
      <c r="C628" s="239"/>
      <c r="D628" s="239"/>
      <c r="E628" s="239"/>
      <c r="F628" s="239"/>
      <c r="G628" s="255"/>
      <c r="H628" s="239"/>
      <c r="I628" s="239"/>
      <c r="J628" s="239"/>
      <c r="K628" s="255"/>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c r="BD628" s="239"/>
      <c r="BE628" s="239"/>
      <c r="BF628" s="239"/>
      <c r="BG628" s="239"/>
      <c r="BH628" s="239"/>
      <c r="BI628" s="239"/>
    </row>
    <row r="629">
      <c r="A629" s="239"/>
      <c r="B629" s="239"/>
      <c r="C629" s="239"/>
      <c r="D629" s="239"/>
      <c r="E629" s="239"/>
      <c r="F629" s="239"/>
      <c r="G629" s="255"/>
      <c r="H629" s="239"/>
      <c r="I629" s="239"/>
      <c r="J629" s="239"/>
      <c r="K629" s="255"/>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c r="BD629" s="239"/>
      <c r="BE629" s="239"/>
      <c r="BF629" s="239"/>
      <c r="BG629" s="239"/>
      <c r="BH629" s="239"/>
      <c r="BI629" s="239"/>
    </row>
    <row r="630">
      <c r="A630" s="239"/>
      <c r="B630" s="239"/>
      <c r="C630" s="239"/>
      <c r="D630" s="239"/>
      <c r="E630" s="239"/>
      <c r="F630" s="239"/>
      <c r="G630" s="255"/>
      <c r="H630" s="239"/>
      <c r="I630" s="239"/>
      <c r="J630" s="239"/>
      <c r="K630" s="255"/>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c r="BD630" s="239"/>
      <c r="BE630" s="239"/>
      <c r="BF630" s="239"/>
      <c r="BG630" s="239"/>
      <c r="BH630" s="239"/>
      <c r="BI630" s="239"/>
    </row>
    <row r="631">
      <c r="A631" s="239"/>
      <c r="B631" s="239"/>
      <c r="C631" s="239"/>
      <c r="D631" s="239"/>
      <c r="E631" s="239"/>
      <c r="F631" s="239"/>
      <c r="G631" s="255"/>
      <c r="H631" s="239"/>
      <c r="I631" s="239"/>
      <c r="J631" s="239"/>
      <c r="K631" s="255"/>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row>
    <row r="632">
      <c r="A632" s="239"/>
      <c r="B632" s="239"/>
      <c r="C632" s="239"/>
      <c r="D632" s="239"/>
      <c r="E632" s="239"/>
      <c r="F632" s="239"/>
      <c r="G632" s="255"/>
      <c r="H632" s="239"/>
      <c r="I632" s="239"/>
      <c r="J632" s="239"/>
      <c r="K632" s="255"/>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row>
    <row r="633">
      <c r="A633" s="239"/>
      <c r="B633" s="239"/>
      <c r="C633" s="239"/>
      <c r="D633" s="239"/>
      <c r="E633" s="239"/>
      <c r="F633" s="239"/>
      <c r="G633" s="255"/>
      <c r="H633" s="239"/>
      <c r="I633" s="239"/>
      <c r="J633" s="239"/>
      <c r="K633" s="255"/>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row>
    <row r="634">
      <c r="A634" s="239"/>
      <c r="B634" s="239"/>
      <c r="C634" s="239"/>
      <c r="D634" s="239"/>
      <c r="E634" s="239"/>
      <c r="F634" s="239"/>
      <c r="G634" s="255"/>
      <c r="H634" s="239"/>
      <c r="I634" s="239"/>
      <c r="J634" s="239"/>
      <c r="K634" s="255"/>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row>
    <row r="635">
      <c r="A635" s="239"/>
      <c r="B635" s="239"/>
      <c r="C635" s="239"/>
      <c r="D635" s="239"/>
      <c r="E635" s="239"/>
      <c r="F635" s="239"/>
      <c r="G635" s="255"/>
      <c r="H635" s="239"/>
      <c r="I635" s="239"/>
      <c r="J635" s="239"/>
      <c r="K635" s="255"/>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row>
    <row r="636">
      <c r="A636" s="239"/>
      <c r="B636" s="239"/>
      <c r="C636" s="239"/>
      <c r="D636" s="239"/>
      <c r="E636" s="239"/>
      <c r="F636" s="239"/>
      <c r="G636" s="255"/>
      <c r="H636" s="239"/>
      <c r="I636" s="239"/>
      <c r="J636" s="239"/>
      <c r="K636" s="255"/>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row>
    <row r="637">
      <c r="A637" s="239"/>
      <c r="B637" s="239"/>
      <c r="C637" s="239"/>
      <c r="D637" s="239"/>
      <c r="E637" s="239"/>
      <c r="F637" s="239"/>
      <c r="G637" s="255"/>
      <c r="H637" s="239"/>
      <c r="I637" s="239"/>
      <c r="J637" s="239"/>
      <c r="K637" s="255"/>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c r="BD637" s="239"/>
      <c r="BE637" s="239"/>
      <c r="BF637" s="239"/>
      <c r="BG637" s="239"/>
      <c r="BH637" s="239"/>
      <c r="BI637" s="239"/>
    </row>
    <row r="638">
      <c r="A638" s="239"/>
      <c r="B638" s="239"/>
      <c r="C638" s="239"/>
      <c r="D638" s="239"/>
      <c r="E638" s="239"/>
      <c r="F638" s="239"/>
      <c r="G638" s="255"/>
      <c r="H638" s="239"/>
      <c r="I638" s="239"/>
      <c r="J638" s="239"/>
      <c r="K638" s="255"/>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row>
    <row r="639">
      <c r="A639" s="239"/>
      <c r="B639" s="239"/>
      <c r="C639" s="239"/>
      <c r="D639" s="239"/>
      <c r="E639" s="239"/>
      <c r="F639" s="239"/>
      <c r="G639" s="255"/>
      <c r="H639" s="239"/>
      <c r="I639" s="239"/>
      <c r="J639" s="239"/>
      <c r="K639" s="255"/>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row>
    <row r="640">
      <c r="A640" s="239"/>
      <c r="B640" s="239"/>
      <c r="C640" s="239"/>
      <c r="D640" s="239"/>
      <c r="E640" s="239"/>
      <c r="F640" s="239"/>
      <c r="G640" s="255"/>
      <c r="H640" s="239"/>
      <c r="I640" s="239"/>
      <c r="J640" s="239"/>
      <c r="K640" s="255"/>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row>
    <row r="641">
      <c r="A641" s="239"/>
      <c r="B641" s="239"/>
      <c r="C641" s="239"/>
      <c r="D641" s="239"/>
      <c r="E641" s="239"/>
      <c r="F641" s="239"/>
      <c r="G641" s="255"/>
      <c r="H641" s="239"/>
      <c r="I641" s="239"/>
      <c r="J641" s="239"/>
      <c r="K641" s="255"/>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row>
    <row r="642">
      <c r="A642" s="239"/>
      <c r="B642" s="239"/>
      <c r="C642" s="239"/>
      <c r="D642" s="239"/>
      <c r="E642" s="239"/>
      <c r="F642" s="239"/>
      <c r="G642" s="255"/>
      <c r="H642" s="239"/>
      <c r="I642" s="239"/>
      <c r="J642" s="239"/>
      <c r="K642" s="255"/>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row>
    <row r="643">
      <c r="A643" s="239"/>
      <c r="B643" s="239"/>
      <c r="C643" s="239"/>
      <c r="D643" s="239"/>
      <c r="E643" s="239"/>
      <c r="F643" s="239"/>
      <c r="G643" s="255"/>
      <c r="H643" s="239"/>
      <c r="I643" s="239"/>
      <c r="J643" s="239"/>
      <c r="K643" s="255"/>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row>
    <row r="644">
      <c r="A644" s="239"/>
      <c r="B644" s="239"/>
      <c r="C644" s="239"/>
      <c r="D644" s="239"/>
      <c r="E644" s="239"/>
      <c r="F644" s="239"/>
      <c r="G644" s="255"/>
      <c r="H644" s="239"/>
      <c r="I644" s="239"/>
      <c r="J644" s="239"/>
      <c r="K644" s="255"/>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row>
    <row r="645">
      <c r="A645" s="239"/>
      <c r="B645" s="239"/>
      <c r="C645" s="239"/>
      <c r="D645" s="239"/>
      <c r="E645" s="239"/>
      <c r="F645" s="239"/>
      <c r="G645" s="255"/>
      <c r="H645" s="239"/>
      <c r="I645" s="239"/>
      <c r="J645" s="239"/>
      <c r="K645" s="255"/>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row>
    <row r="646">
      <c r="A646" s="239"/>
      <c r="B646" s="239"/>
      <c r="C646" s="239"/>
      <c r="D646" s="239"/>
      <c r="E646" s="239"/>
      <c r="F646" s="239"/>
      <c r="G646" s="255"/>
      <c r="H646" s="239"/>
      <c r="I646" s="239"/>
      <c r="J646" s="239"/>
      <c r="K646" s="255"/>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row>
    <row r="647">
      <c r="A647" s="239"/>
      <c r="B647" s="239"/>
      <c r="C647" s="239"/>
      <c r="D647" s="239"/>
      <c r="E647" s="239"/>
      <c r="F647" s="239"/>
      <c r="G647" s="255"/>
      <c r="H647" s="239"/>
      <c r="I647" s="239"/>
      <c r="J647" s="239"/>
      <c r="K647" s="255"/>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row>
    <row r="648">
      <c r="A648" s="239"/>
      <c r="B648" s="239"/>
      <c r="C648" s="239"/>
      <c r="D648" s="239"/>
      <c r="E648" s="239"/>
      <c r="F648" s="239"/>
      <c r="G648" s="255"/>
      <c r="H648" s="239"/>
      <c r="I648" s="239"/>
      <c r="J648" s="239"/>
      <c r="K648" s="255"/>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row>
    <row r="649">
      <c r="A649" s="239"/>
      <c r="B649" s="239"/>
      <c r="C649" s="239"/>
      <c r="D649" s="239"/>
      <c r="E649" s="239"/>
      <c r="F649" s="239"/>
      <c r="G649" s="255"/>
      <c r="H649" s="239"/>
      <c r="I649" s="239"/>
      <c r="J649" s="239"/>
      <c r="K649" s="255"/>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row>
    <row r="650">
      <c r="A650" s="239"/>
      <c r="B650" s="239"/>
      <c r="C650" s="239"/>
      <c r="D650" s="239"/>
      <c r="E650" s="239"/>
      <c r="F650" s="239"/>
      <c r="G650" s="255"/>
      <c r="H650" s="239"/>
      <c r="I650" s="239"/>
      <c r="J650" s="239"/>
      <c r="K650" s="255"/>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row>
    <row r="651">
      <c r="A651" s="239"/>
      <c r="B651" s="239"/>
      <c r="C651" s="239"/>
      <c r="D651" s="239"/>
      <c r="E651" s="239"/>
      <c r="F651" s="239"/>
      <c r="G651" s="255"/>
      <c r="H651" s="239"/>
      <c r="I651" s="239"/>
      <c r="J651" s="239"/>
      <c r="K651" s="255"/>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row>
    <row r="652">
      <c r="A652" s="239"/>
      <c r="B652" s="239"/>
      <c r="C652" s="239"/>
      <c r="D652" s="239"/>
      <c r="E652" s="239"/>
      <c r="F652" s="239"/>
      <c r="G652" s="255"/>
      <c r="H652" s="239"/>
      <c r="I652" s="239"/>
      <c r="J652" s="239"/>
      <c r="K652" s="255"/>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row>
    <row r="653">
      <c r="A653" s="239"/>
      <c r="B653" s="239"/>
      <c r="C653" s="239"/>
      <c r="D653" s="239"/>
      <c r="E653" s="239"/>
      <c r="F653" s="239"/>
      <c r="G653" s="255"/>
      <c r="H653" s="239"/>
      <c r="I653" s="239"/>
      <c r="J653" s="239"/>
      <c r="K653" s="255"/>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row>
    <row r="654">
      <c r="A654" s="239"/>
      <c r="B654" s="239"/>
      <c r="C654" s="239"/>
      <c r="D654" s="239"/>
      <c r="E654" s="239"/>
      <c r="F654" s="239"/>
      <c r="G654" s="255"/>
      <c r="H654" s="239"/>
      <c r="I654" s="239"/>
      <c r="J654" s="239"/>
      <c r="K654" s="255"/>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row>
    <row r="655">
      <c r="A655" s="239"/>
      <c r="B655" s="239"/>
      <c r="C655" s="239"/>
      <c r="D655" s="239"/>
      <c r="E655" s="239"/>
      <c r="F655" s="239"/>
      <c r="G655" s="255"/>
      <c r="H655" s="239"/>
      <c r="I655" s="239"/>
      <c r="J655" s="239"/>
      <c r="K655" s="255"/>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row>
    <row r="656">
      <c r="A656" s="239"/>
      <c r="B656" s="239"/>
      <c r="C656" s="239"/>
      <c r="D656" s="239"/>
      <c r="E656" s="239"/>
      <c r="F656" s="239"/>
      <c r="G656" s="255"/>
      <c r="H656" s="239"/>
      <c r="I656" s="239"/>
      <c r="J656" s="239"/>
      <c r="K656" s="255"/>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row>
    <row r="657">
      <c r="A657" s="239"/>
      <c r="B657" s="239"/>
      <c r="C657" s="239"/>
      <c r="D657" s="239"/>
      <c r="E657" s="239"/>
      <c r="F657" s="239"/>
      <c r="G657" s="255"/>
      <c r="H657" s="239"/>
      <c r="I657" s="239"/>
      <c r="J657" s="239"/>
      <c r="K657" s="255"/>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row>
    <row r="658">
      <c r="A658" s="239"/>
      <c r="B658" s="239"/>
      <c r="C658" s="239"/>
      <c r="D658" s="239"/>
      <c r="E658" s="239"/>
      <c r="F658" s="239"/>
      <c r="G658" s="255"/>
      <c r="H658" s="239"/>
      <c r="I658" s="239"/>
      <c r="J658" s="239"/>
      <c r="K658" s="255"/>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row>
    <row r="659">
      <c r="A659" s="239"/>
      <c r="B659" s="239"/>
      <c r="C659" s="239"/>
      <c r="D659" s="239"/>
      <c r="E659" s="239"/>
      <c r="F659" s="239"/>
      <c r="G659" s="255"/>
      <c r="H659" s="239"/>
      <c r="I659" s="239"/>
      <c r="J659" s="239"/>
      <c r="K659" s="255"/>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row>
    <row r="660">
      <c r="A660" s="239"/>
      <c r="B660" s="239"/>
      <c r="C660" s="239"/>
      <c r="D660" s="239"/>
      <c r="E660" s="239"/>
      <c r="F660" s="239"/>
      <c r="G660" s="255"/>
      <c r="H660" s="239"/>
      <c r="I660" s="239"/>
      <c r="J660" s="239"/>
      <c r="K660" s="255"/>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row>
    <row r="661">
      <c r="A661" s="239"/>
      <c r="B661" s="239"/>
      <c r="C661" s="239"/>
      <c r="D661" s="239"/>
      <c r="E661" s="239"/>
      <c r="F661" s="239"/>
      <c r="G661" s="255"/>
      <c r="H661" s="239"/>
      <c r="I661" s="239"/>
      <c r="J661" s="239"/>
      <c r="K661" s="255"/>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row>
    <row r="662">
      <c r="A662" s="239"/>
      <c r="B662" s="239"/>
      <c r="C662" s="239"/>
      <c r="D662" s="239"/>
      <c r="E662" s="239"/>
      <c r="F662" s="239"/>
      <c r="G662" s="255"/>
      <c r="H662" s="239"/>
      <c r="I662" s="239"/>
      <c r="J662" s="239"/>
      <c r="K662" s="255"/>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row>
    <row r="663">
      <c r="A663" s="239"/>
      <c r="B663" s="239"/>
      <c r="C663" s="239"/>
      <c r="D663" s="239"/>
      <c r="E663" s="239"/>
      <c r="F663" s="239"/>
      <c r="G663" s="255"/>
      <c r="H663" s="239"/>
      <c r="I663" s="239"/>
      <c r="J663" s="239"/>
      <c r="K663" s="255"/>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row>
    <row r="664">
      <c r="A664" s="239"/>
      <c r="B664" s="239"/>
      <c r="C664" s="239"/>
      <c r="D664" s="239"/>
      <c r="E664" s="239"/>
      <c r="F664" s="239"/>
      <c r="G664" s="255"/>
      <c r="H664" s="239"/>
      <c r="I664" s="239"/>
      <c r="J664" s="239"/>
      <c r="K664" s="255"/>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row>
    <row r="665">
      <c r="A665" s="239"/>
      <c r="B665" s="239"/>
      <c r="C665" s="239"/>
      <c r="D665" s="239"/>
      <c r="E665" s="239"/>
      <c r="F665" s="239"/>
      <c r="G665" s="255"/>
      <c r="H665" s="239"/>
      <c r="I665" s="239"/>
      <c r="J665" s="239"/>
      <c r="K665" s="255"/>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row>
    <row r="666">
      <c r="A666" s="239"/>
      <c r="B666" s="239"/>
      <c r="C666" s="239"/>
      <c r="D666" s="239"/>
      <c r="E666" s="239"/>
      <c r="F666" s="239"/>
      <c r="G666" s="255"/>
      <c r="H666" s="239"/>
      <c r="I666" s="239"/>
      <c r="J666" s="239"/>
      <c r="K666" s="255"/>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row>
    <row r="667">
      <c r="A667" s="239"/>
      <c r="B667" s="239"/>
      <c r="C667" s="239"/>
      <c r="D667" s="239"/>
      <c r="E667" s="239"/>
      <c r="F667" s="239"/>
      <c r="G667" s="255"/>
      <c r="H667" s="239"/>
      <c r="I667" s="239"/>
      <c r="J667" s="239"/>
      <c r="K667" s="255"/>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row>
    <row r="668">
      <c r="A668" s="239"/>
      <c r="B668" s="239"/>
      <c r="C668" s="239"/>
      <c r="D668" s="239"/>
      <c r="E668" s="239"/>
      <c r="F668" s="239"/>
      <c r="G668" s="255"/>
      <c r="H668" s="239"/>
      <c r="I668" s="239"/>
      <c r="J668" s="239"/>
      <c r="K668" s="255"/>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row>
    <row r="669">
      <c r="A669" s="239"/>
      <c r="B669" s="239"/>
      <c r="C669" s="239"/>
      <c r="D669" s="239"/>
      <c r="E669" s="239"/>
      <c r="F669" s="239"/>
      <c r="G669" s="255"/>
      <c r="H669" s="239"/>
      <c r="I669" s="239"/>
      <c r="J669" s="239"/>
      <c r="K669" s="255"/>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row>
    <row r="670">
      <c r="A670" s="239"/>
      <c r="B670" s="239"/>
      <c r="C670" s="239"/>
      <c r="D670" s="239"/>
      <c r="E670" s="239"/>
      <c r="F670" s="239"/>
      <c r="G670" s="255"/>
      <c r="H670" s="239"/>
      <c r="I670" s="239"/>
      <c r="J670" s="239"/>
      <c r="K670" s="255"/>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row>
    <row r="671">
      <c r="A671" s="239"/>
      <c r="B671" s="239"/>
      <c r="C671" s="239"/>
      <c r="D671" s="239"/>
      <c r="E671" s="239"/>
      <c r="F671" s="239"/>
      <c r="G671" s="255"/>
      <c r="H671" s="239"/>
      <c r="I671" s="239"/>
      <c r="J671" s="239"/>
      <c r="K671" s="255"/>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row>
    <row r="672">
      <c r="A672" s="239"/>
      <c r="B672" s="239"/>
      <c r="C672" s="239"/>
      <c r="D672" s="239"/>
      <c r="E672" s="239"/>
      <c r="F672" s="239"/>
      <c r="G672" s="255"/>
      <c r="H672" s="239"/>
      <c r="I672" s="239"/>
      <c r="J672" s="239"/>
      <c r="K672" s="255"/>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row>
    <row r="673">
      <c r="A673" s="239"/>
      <c r="B673" s="239"/>
      <c r="C673" s="239"/>
      <c r="D673" s="239"/>
      <c r="E673" s="239"/>
      <c r="F673" s="239"/>
      <c r="G673" s="255"/>
      <c r="H673" s="239"/>
      <c r="I673" s="239"/>
      <c r="J673" s="239"/>
      <c r="K673" s="255"/>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row>
    <row r="674">
      <c r="A674" s="239"/>
      <c r="B674" s="239"/>
      <c r="C674" s="239"/>
      <c r="D674" s="239"/>
      <c r="E674" s="239"/>
      <c r="F674" s="239"/>
      <c r="G674" s="255"/>
      <c r="H674" s="239"/>
      <c r="I674" s="239"/>
      <c r="J674" s="239"/>
      <c r="K674" s="255"/>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row>
    <row r="675">
      <c r="A675" s="239"/>
      <c r="B675" s="239"/>
      <c r="C675" s="239"/>
      <c r="D675" s="239"/>
      <c r="E675" s="239"/>
      <c r="F675" s="239"/>
      <c r="G675" s="255"/>
      <c r="H675" s="239"/>
      <c r="I675" s="239"/>
      <c r="J675" s="239"/>
      <c r="K675" s="255"/>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row>
    <row r="676">
      <c r="A676" s="239"/>
      <c r="B676" s="239"/>
      <c r="C676" s="239"/>
      <c r="D676" s="239"/>
      <c r="E676" s="239"/>
      <c r="F676" s="239"/>
      <c r="G676" s="255"/>
      <c r="H676" s="239"/>
      <c r="I676" s="239"/>
      <c r="J676" s="239"/>
      <c r="K676" s="255"/>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row>
    <row r="677">
      <c r="A677" s="239"/>
      <c r="B677" s="239"/>
      <c r="C677" s="239"/>
      <c r="D677" s="239"/>
      <c r="E677" s="239"/>
      <c r="F677" s="239"/>
      <c r="G677" s="255"/>
      <c r="H677" s="239"/>
      <c r="I677" s="239"/>
      <c r="J677" s="239"/>
      <c r="K677" s="255"/>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row>
    <row r="678">
      <c r="A678" s="239"/>
      <c r="B678" s="239"/>
      <c r="C678" s="239"/>
      <c r="D678" s="239"/>
      <c r="E678" s="239"/>
      <c r="F678" s="239"/>
      <c r="G678" s="255"/>
      <c r="H678" s="239"/>
      <c r="I678" s="239"/>
      <c r="J678" s="239"/>
      <c r="K678" s="255"/>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row>
    <row r="679">
      <c r="A679" s="239"/>
      <c r="B679" s="239"/>
      <c r="C679" s="239"/>
      <c r="D679" s="239"/>
      <c r="E679" s="239"/>
      <c r="F679" s="239"/>
      <c r="G679" s="255"/>
      <c r="H679" s="239"/>
      <c r="I679" s="239"/>
      <c r="J679" s="239"/>
      <c r="K679" s="255"/>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row>
    <row r="680">
      <c r="A680" s="239"/>
      <c r="B680" s="239"/>
      <c r="C680" s="239"/>
      <c r="D680" s="239"/>
      <c r="E680" s="239"/>
      <c r="F680" s="239"/>
      <c r="G680" s="255"/>
      <c r="H680" s="239"/>
      <c r="I680" s="239"/>
      <c r="J680" s="239"/>
      <c r="K680" s="255"/>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row>
    <row r="681">
      <c r="A681" s="239"/>
      <c r="B681" s="239"/>
      <c r="C681" s="239"/>
      <c r="D681" s="239"/>
      <c r="E681" s="239"/>
      <c r="F681" s="239"/>
      <c r="G681" s="255"/>
      <c r="H681" s="239"/>
      <c r="I681" s="239"/>
      <c r="J681" s="239"/>
      <c r="K681" s="255"/>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row>
    <row r="682">
      <c r="A682" s="239"/>
      <c r="B682" s="239"/>
      <c r="C682" s="239"/>
      <c r="D682" s="239"/>
      <c r="E682" s="239"/>
      <c r="F682" s="239"/>
      <c r="G682" s="255"/>
      <c r="H682" s="239"/>
      <c r="I682" s="239"/>
      <c r="J682" s="239"/>
      <c r="K682" s="255"/>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row>
    <row r="683">
      <c r="A683" s="239"/>
      <c r="B683" s="239"/>
      <c r="C683" s="239"/>
      <c r="D683" s="239"/>
      <c r="E683" s="239"/>
      <c r="F683" s="239"/>
      <c r="G683" s="255"/>
      <c r="H683" s="239"/>
      <c r="I683" s="239"/>
      <c r="J683" s="239"/>
      <c r="K683" s="255"/>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row>
    <row r="684">
      <c r="A684" s="239"/>
      <c r="B684" s="239"/>
      <c r="C684" s="239"/>
      <c r="D684" s="239"/>
      <c r="E684" s="239"/>
      <c r="F684" s="239"/>
      <c r="G684" s="255"/>
      <c r="H684" s="239"/>
      <c r="I684" s="239"/>
      <c r="J684" s="239"/>
      <c r="K684" s="255"/>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row>
    <row r="685">
      <c r="A685" s="239"/>
      <c r="B685" s="239"/>
      <c r="C685" s="239"/>
      <c r="D685" s="239"/>
      <c r="E685" s="239"/>
      <c r="F685" s="239"/>
      <c r="G685" s="255"/>
      <c r="H685" s="239"/>
      <c r="I685" s="239"/>
      <c r="J685" s="239"/>
      <c r="K685" s="255"/>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row>
    <row r="686">
      <c r="A686" s="239"/>
      <c r="B686" s="239"/>
      <c r="C686" s="239"/>
      <c r="D686" s="239"/>
      <c r="E686" s="239"/>
      <c r="F686" s="239"/>
      <c r="G686" s="255"/>
      <c r="H686" s="239"/>
      <c r="I686" s="239"/>
      <c r="J686" s="239"/>
      <c r="K686" s="255"/>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c r="BD686" s="239"/>
      <c r="BE686" s="239"/>
      <c r="BF686" s="239"/>
      <c r="BG686" s="239"/>
      <c r="BH686" s="239"/>
      <c r="BI686" s="239"/>
    </row>
    <row r="687">
      <c r="A687" s="239"/>
      <c r="B687" s="239"/>
      <c r="C687" s="239"/>
      <c r="D687" s="239"/>
      <c r="E687" s="239"/>
      <c r="F687" s="239"/>
      <c r="G687" s="255"/>
      <c r="H687" s="239"/>
      <c r="I687" s="239"/>
      <c r="J687" s="239"/>
      <c r="K687" s="255"/>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row>
    <row r="688">
      <c r="A688" s="239"/>
      <c r="B688" s="239"/>
      <c r="C688" s="239"/>
      <c r="D688" s="239"/>
      <c r="E688" s="239"/>
      <c r="F688" s="239"/>
      <c r="G688" s="255"/>
      <c r="H688" s="239"/>
      <c r="I688" s="239"/>
      <c r="J688" s="239"/>
      <c r="K688" s="255"/>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row>
    <row r="689">
      <c r="A689" s="239"/>
      <c r="B689" s="239"/>
      <c r="C689" s="239"/>
      <c r="D689" s="239"/>
      <c r="E689" s="239"/>
      <c r="F689" s="239"/>
      <c r="G689" s="255"/>
      <c r="H689" s="239"/>
      <c r="I689" s="239"/>
      <c r="J689" s="239"/>
      <c r="K689" s="255"/>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row>
    <row r="690">
      <c r="A690" s="239"/>
      <c r="B690" s="239"/>
      <c r="C690" s="239"/>
      <c r="D690" s="239"/>
      <c r="E690" s="239"/>
      <c r="F690" s="239"/>
      <c r="G690" s="255"/>
      <c r="H690" s="239"/>
      <c r="I690" s="239"/>
      <c r="J690" s="239"/>
      <c r="K690" s="255"/>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row>
    <row r="691">
      <c r="A691" s="239"/>
      <c r="B691" s="239"/>
      <c r="C691" s="239"/>
      <c r="D691" s="239"/>
      <c r="E691" s="239"/>
      <c r="F691" s="239"/>
      <c r="G691" s="255"/>
      <c r="H691" s="239"/>
      <c r="I691" s="239"/>
      <c r="J691" s="239"/>
      <c r="K691" s="255"/>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row>
    <row r="692">
      <c r="A692" s="239"/>
      <c r="B692" s="239"/>
      <c r="C692" s="239"/>
      <c r="D692" s="239"/>
      <c r="E692" s="239"/>
      <c r="F692" s="239"/>
      <c r="G692" s="255"/>
      <c r="H692" s="239"/>
      <c r="I692" s="239"/>
      <c r="J692" s="239"/>
      <c r="K692" s="255"/>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row>
    <row r="693">
      <c r="A693" s="239"/>
      <c r="B693" s="239"/>
      <c r="C693" s="239"/>
      <c r="D693" s="239"/>
      <c r="E693" s="239"/>
      <c r="F693" s="239"/>
      <c r="G693" s="255"/>
      <c r="H693" s="239"/>
      <c r="I693" s="239"/>
      <c r="J693" s="239"/>
      <c r="K693" s="255"/>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row>
    <row r="694">
      <c r="A694" s="239"/>
      <c r="B694" s="239"/>
      <c r="C694" s="239"/>
      <c r="D694" s="239"/>
      <c r="E694" s="239"/>
      <c r="F694" s="239"/>
      <c r="G694" s="255"/>
      <c r="H694" s="239"/>
      <c r="I694" s="239"/>
      <c r="J694" s="239"/>
      <c r="K694" s="255"/>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row>
    <row r="695">
      <c r="A695" s="239"/>
      <c r="B695" s="239"/>
      <c r="C695" s="239"/>
      <c r="D695" s="239"/>
      <c r="E695" s="239"/>
      <c r="F695" s="239"/>
      <c r="G695" s="255"/>
      <c r="H695" s="239"/>
      <c r="I695" s="239"/>
      <c r="J695" s="239"/>
      <c r="K695" s="255"/>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row>
    <row r="696">
      <c r="A696" s="239"/>
      <c r="B696" s="239"/>
      <c r="C696" s="239"/>
      <c r="D696" s="239"/>
      <c r="E696" s="239"/>
      <c r="F696" s="239"/>
      <c r="G696" s="255"/>
      <c r="H696" s="239"/>
      <c r="I696" s="239"/>
      <c r="J696" s="239"/>
      <c r="K696" s="255"/>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row>
    <row r="697">
      <c r="A697" s="239"/>
      <c r="B697" s="239"/>
      <c r="C697" s="239"/>
      <c r="D697" s="239"/>
      <c r="E697" s="239"/>
      <c r="F697" s="239"/>
      <c r="G697" s="255"/>
      <c r="H697" s="239"/>
      <c r="I697" s="239"/>
      <c r="J697" s="239"/>
      <c r="K697" s="255"/>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row>
    <row r="698">
      <c r="A698" s="239"/>
      <c r="B698" s="239"/>
      <c r="C698" s="239"/>
      <c r="D698" s="239"/>
      <c r="E698" s="239"/>
      <c r="F698" s="239"/>
      <c r="G698" s="255"/>
      <c r="H698" s="239"/>
      <c r="I698" s="239"/>
      <c r="J698" s="239"/>
      <c r="K698" s="255"/>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row>
    <row r="699">
      <c r="A699" s="239"/>
      <c r="B699" s="239"/>
      <c r="C699" s="239"/>
      <c r="D699" s="239"/>
      <c r="E699" s="239"/>
      <c r="F699" s="239"/>
      <c r="G699" s="255"/>
      <c r="H699" s="239"/>
      <c r="I699" s="239"/>
      <c r="J699" s="239"/>
      <c r="K699" s="255"/>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row>
    <row r="700">
      <c r="A700" s="239"/>
      <c r="B700" s="239"/>
      <c r="C700" s="239"/>
      <c r="D700" s="239"/>
      <c r="E700" s="239"/>
      <c r="F700" s="239"/>
      <c r="G700" s="255"/>
      <c r="H700" s="239"/>
      <c r="I700" s="239"/>
      <c r="J700" s="239"/>
      <c r="K700" s="255"/>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row>
    <row r="701">
      <c r="A701" s="239"/>
      <c r="B701" s="239"/>
      <c r="C701" s="239"/>
      <c r="D701" s="239"/>
      <c r="E701" s="239"/>
      <c r="F701" s="239"/>
      <c r="G701" s="255"/>
      <c r="H701" s="239"/>
      <c r="I701" s="239"/>
      <c r="J701" s="239"/>
      <c r="K701" s="255"/>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row>
    <row r="702">
      <c r="A702" s="239"/>
      <c r="B702" s="239"/>
      <c r="C702" s="239"/>
      <c r="D702" s="239"/>
      <c r="E702" s="239"/>
      <c r="F702" s="239"/>
      <c r="G702" s="255"/>
      <c r="H702" s="239"/>
      <c r="I702" s="239"/>
      <c r="J702" s="239"/>
      <c r="K702" s="255"/>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row>
    <row r="703">
      <c r="A703" s="239"/>
      <c r="B703" s="239"/>
      <c r="C703" s="239"/>
      <c r="D703" s="239"/>
      <c r="E703" s="239"/>
      <c r="F703" s="239"/>
      <c r="G703" s="255"/>
      <c r="H703" s="239"/>
      <c r="I703" s="239"/>
      <c r="J703" s="239"/>
      <c r="K703" s="255"/>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row>
    <row r="704">
      <c r="A704" s="239"/>
      <c r="B704" s="239"/>
      <c r="C704" s="239"/>
      <c r="D704" s="239"/>
      <c r="E704" s="239"/>
      <c r="F704" s="239"/>
      <c r="G704" s="255"/>
      <c r="H704" s="239"/>
      <c r="I704" s="239"/>
      <c r="J704" s="239"/>
      <c r="K704" s="255"/>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row>
    <row r="705">
      <c r="A705" s="239"/>
      <c r="B705" s="239"/>
      <c r="C705" s="239"/>
      <c r="D705" s="239"/>
      <c r="E705" s="239"/>
      <c r="F705" s="239"/>
      <c r="G705" s="255"/>
      <c r="H705" s="239"/>
      <c r="I705" s="239"/>
      <c r="J705" s="239"/>
      <c r="K705" s="255"/>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row>
    <row r="706">
      <c r="A706" s="239"/>
      <c r="B706" s="239"/>
      <c r="C706" s="239"/>
      <c r="D706" s="239"/>
      <c r="E706" s="239"/>
      <c r="F706" s="239"/>
      <c r="G706" s="255"/>
      <c r="H706" s="239"/>
      <c r="I706" s="239"/>
      <c r="J706" s="239"/>
      <c r="K706" s="255"/>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row>
    <row r="707">
      <c r="A707" s="239"/>
      <c r="B707" s="239"/>
      <c r="C707" s="239"/>
      <c r="D707" s="239"/>
      <c r="E707" s="239"/>
      <c r="F707" s="239"/>
      <c r="G707" s="255"/>
      <c r="H707" s="239"/>
      <c r="I707" s="239"/>
      <c r="J707" s="239"/>
      <c r="K707" s="255"/>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row>
    <row r="708">
      <c r="A708" s="239"/>
      <c r="B708" s="239"/>
      <c r="C708" s="239"/>
      <c r="D708" s="239"/>
      <c r="E708" s="239"/>
      <c r="F708" s="239"/>
      <c r="G708" s="255"/>
      <c r="H708" s="239"/>
      <c r="I708" s="239"/>
      <c r="J708" s="239"/>
      <c r="K708" s="255"/>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row>
    <row r="709">
      <c r="A709" s="239"/>
      <c r="B709" s="239"/>
      <c r="C709" s="239"/>
      <c r="D709" s="239"/>
      <c r="E709" s="239"/>
      <c r="F709" s="239"/>
      <c r="G709" s="255"/>
      <c r="H709" s="239"/>
      <c r="I709" s="239"/>
      <c r="J709" s="239"/>
      <c r="K709" s="255"/>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row>
    <row r="710">
      <c r="A710" s="239"/>
      <c r="B710" s="239"/>
      <c r="C710" s="239"/>
      <c r="D710" s="239"/>
      <c r="E710" s="239"/>
      <c r="F710" s="239"/>
      <c r="G710" s="255"/>
      <c r="H710" s="239"/>
      <c r="I710" s="239"/>
      <c r="J710" s="239"/>
      <c r="K710" s="255"/>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row>
    <row r="711">
      <c r="A711" s="239"/>
      <c r="B711" s="239"/>
      <c r="C711" s="239"/>
      <c r="D711" s="239"/>
      <c r="E711" s="239"/>
      <c r="F711" s="239"/>
      <c r="G711" s="255"/>
      <c r="H711" s="239"/>
      <c r="I711" s="239"/>
      <c r="J711" s="239"/>
      <c r="K711" s="255"/>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row>
    <row r="712">
      <c r="A712" s="239"/>
      <c r="B712" s="239"/>
      <c r="C712" s="239"/>
      <c r="D712" s="239"/>
      <c r="E712" s="239"/>
      <c r="F712" s="239"/>
      <c r="G712" s="255"/>
      <c r="H712" s="239"/>
      <c r="I712" s="239"/>
      <c r="J712" s="239"/>
      <c r="K712" s="255"/>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row>
    <row r="713">
      <c r="A713" s="239"/>
      <c r="B713" s="239"/>
      <c r="C713" s="239"/>
      <c r="D713" s="239"/>
      <c r="E713" s="239"/>
      <c r="F713" s="239"/>
      <c r="G713" s="255"/>
      <c r="H713" s="239"/>
      <c r="I713" s="239"/>
      <c r="J713" s="239"/>
      <c r="K713" s="255"/>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row>
    <row r="714">
      <c r="A714" s="239"/>
      <c r="B714" s="239"/>
      <c r="C714" s="239"/>
      <c r="D714" s="239"/>
      <c r="E714" s="239"/>
      <c r="F714" s="239"/>
      <c r="G714" s="255"/>
      <c r="H714" s="239"/>
      <c r="I714" s="239"/>
      <c r="J714" s="239"/>
      <c r="K714" s="255"/>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row>
    <row r="715">
      <c r="A715" s="239"/>
      <c r="B715" s="239"/>
      <c r="C715" s="239"/>
      <c r="D715" s="239"/>
      <c r="E715" s="239"/>
      <c r="F715" s="239"/>
      <c r="G715" s="255"/>
      <c r="H715" s="239"/>
      <c r="I715" s="239"/>
      <c r="J715" s="239"/>
      <c r="K715" s="255"/>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row>
    <row r="716">
      <c r="A716" s="239"/>
      <c r="B716" s="239"/>
      <c r="C716" s="239"/>
      <c r="D716" s="239"/>
      <c r="E716" s="239"/>
      <c r="F716" s="239"/>
      <c r="G716" s="255"/>
      <c r="H716" s="239"/>
      <c r="I716" s="239"/>
      <c r="J716" s="239"/>
      <c r="K716" s="255"/>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row>
    <row r="717">
      <c r="A717" s="239"/>
      <c r="B717" s="239"/>
      <c r="C717" s="239"/>
      <c r="D717" s="239"/>
      <c r="E717" s="239"/>
      <c r="F717" s="239"/>
      <c r="G717" s="255"/>
      <c r="H717" s="239"/>
      <c r="I717" s="239"/>
      <c r="J717" s="239"/>
      <c r="K717" s="255"/>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row>
    <row r="718">
      <c r="A718" s="239"/>
      <c r="B718" s="239"/>
      <c r="C718" s="239"/>
      <c r="D718" s="239"/>
      <c r="E718" s="239"/>
      <c r="F718" s="239"/>
      <c r="G718" s="255"/>
      <c r="H718" s="239"/>
      <c r="I718" s="239"/>
      <c r="J718" s="239"/>
      <c r="K718" s="255"/>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row>
    <row r="719">
      <c r="A719" s="239"/>
      <c r="B719" s="239"/>
      <c r="C719" s="239"/>
      <c r="D719" s="239"/>
      <c r="E719" s="239"/>
      <c r="F719" s="239"/>
      <c r="G719" s="255"/>
      <c r="H719" s="239"/>
      <c r="I719" s="239"/>
      <c r="J719" s="239"/>
      <c r="K719" s="255"/>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row>
    <row r="720">
      <c r="A720" s="239"/>
      <c r="B720" s="239"/>
      <c r="C720" s="239"/>
      <c r="D720" s="239"/>
      <c r="E720" s="239"/>
      <c r="F720" s="239"/>
      <c r="G720" s="255"/>
      <c r="H720" s="239"/>
      <c r="I720" s="239"/>
      <c r="J720" s="239"/>
      <c r="K720" s="255"/>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row>
    <row r="721">
      <c r="A721" s="239"/>
      <c r="B721" s="239"/>
      <c r="C721" s="239"/>
      <c r="D721" s="239"/>
      <c r="E721" s="239"/>
      <c r="F721" s="239"/>
      <c r="G721" s="255"/>
      <c r="H721" s="239"/>
      <c r="I721" s="239"/>
      <c r="J721" s="239"/>
      <c r="K721" s="255"/>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row>
    <row r="722">
      <c r="A722" s="239"/>
      <c r="B722" s="239"/>
      <c r="C722" s="239"/>
      <c r="D722" s="239"/>
      <c r="E722" s="239"/>
      <c r="F722" s="239"/>
      <c r="G722" s="255"/>
      <c r="H722" s="239"/>
      <c r="I722" s="239"/>
      <c r="J722" s="239"/>
      <c r="K722" s="255"/>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row>
    <row r="723">
      <c r="A723" s="239"/>
      <c r="B723" s="239"/>
      <c r="C723" s="239"/>
      <c r="D723" s="239"/>
      <c r="E723" s="239"/>
      <c r="F723" s="239"/>
      <c r="G723" s="255"/>
      <c r="H723" s="239"/>
      <c r="I723" s="239"/>
      <c r="J723" s="239"/>
      <c r="K723" s="255"/>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row>
    <row r="724">
      <c r="A724" s="239"/>
      <c r="B724" s="239"/>
      <c r="C724" s="239"/>
      <c r="D724" s="239"/>
      <c r="E724" s="239"/>
      <c r="F724" s="239"/>
      <c r="G724" s="255"/>
      <c r="H724" s="239"/>
      <c r="I724" s="239"/>
      <c r="J724" s="239"/>
      <c r="K724" s="255"/>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c r="BD724" s="239"/>
      <c r="BE724" s="239"/>
      <c r="BF724" s="239"/>
      <c r="BG724" s="239"/>
      <c r="BH724" s="239"/>
      <c r="BI724" s="239"/>
    </row>
    <row r="725">
      <c r="A725" s="239"/>
      <c r="B725" s="239"/>
      <c r="C725" s="239"/>
      <c r="D725" s="239"/>
      <c r="E725" s="239"/>
      <c r="F725" s="239"/>
      <c r="G725" s="255"/>
      <c r="H725" s="239"/>
      <c r="I725" s="239"/>
      <c r="J725" s="239"/>
      <c r="K725" s="255"/>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row>
    <row r="726">
      <c r="A726" s="239"/>
      <c r="B726" s="239"/>
      <c r="C726" s="239"/>
      <c r="D726" s="239"/>
      <c r="E726" s="239"/>
      <c r="F726" s="239"/>
      <c r="G726" s="255"/>
      <c r="H726" s="239"/>
      <c r="I726" s="239"/>
      <c r="J726" s="239"/>
      <c r="K726" s="255"/>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row>
    <row r="727">
      <c r="A727" s="239"/>
      <c r="B727" s="239"/>
      <c r="C727" s="239"/>
      <c r="D727" s="239"/>
      <c r="E727" s="239"/>
      <c r="F727" s="239"/>
      <c r="G727" s="255"/>
      <c r="H727" s="239"/>
      <c r="I727" s="239"/>
      <c r="J727" s="239"/>
      <c r="K727" s="255"/>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row>
    <row r="728">
      <c r="A728" s="239"/>
      <c r="B728" s="239"/>
      <c r="C728" s="239"/>
      <c r="D728" s="239"/>
      <c r="E728" s="239"/>
      <c r="F728" s="239"/>
      <c r="G728" s="255"/>
      <c r="H728" s="239"/>
      <c r="I728" s="239"/>
      <c r="J728" s="239"/>
      <c r="K728" s="255"/>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row>
    <row r="729">
      <c r="A729" s="239"/>
      <c r="B729" s="239"/>
      <c r="C729" s="239"/>
      <c r="D729" s="239"/>
      <c r="E729" s="239"/>
      <c r="F729" s="239"/>
      <c r="G729" s="255"/>
      <c r="H729" s="239"/>
      <c r="I729" s="239"/>
      <c r="J729" s="239"/>
      <c r="K729" s="255"/>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row>
    <row r="730">
      <c r="A730" s="239"/>
      <c r="B730" s="239"/>
      <c r="C730" s="239"/>
      <c r="D730" s="239"/>
      <c r="E730" s="239"/>
      <c r="F730" s="239"/>
      <c r="G730" s="255"/>
      <c r="H730" s="239"/>
      <c r="I730" s="239"/>
      <c r="J730" s="239"/>
      <c r="K730" s="255"/>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row>
    <row r="731">
      <c r="A731" s="239"/>
      <c r="B731" s="239"/>
      <c r="C731" s="239"/>
      <c r="D731" s="239"/>
      <c r="E731" s="239"/>
      <c r="F731" s="239"/>
      <c r="G731" s="255"/>
      <c r="H731" s="239"/>
      <c r="I731" s="239"/>
      <c r="J731" s="239"/>
      <c r="K731" s="255"/>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row>
    <row r="732">
      <c r="A732" s="239"/>
      <c r="B732" s="239"/>
      <c r="C732" s="239"/>
      <c r="D732" s="239"/>
      <c r="E732" s="239"/>
      <c r="F732" s="239"/>
      <c r="G732" s="255"/>
      <c r="H732" s="239"/>
      <c r="I732" s="239"/>
      <c r="J732" s="239"/>
      <c r="K732" s="255"/>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row>
    <row r="733">
      <c r="A733" s="239"/>
      <c r="B733" s="239"/>
      <c r="C733" s="239"/>
      <c r="D733" s="239"/>
      <c r="E733" s="239"/>
      <c r="F733" s="239"/>
      <c r="G733" s="255"/>
      <c r="H733" s="239"/>
      <c r="I733" s="239"/>
      <c r="J733" s="239"/>
      <c r="K733" s="255"/>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row>
    <row r="734">
      <c r="A734" s="239"/>
      <c r="B734" s="239"/>
      <c r="C734" s="239"/>
      <c r="D734" s="239"/>
      <c r="E734" s="239"/>
      <c r="F734" s="239"/>
      <c r="G734" s="255"/>
      <c r="H734" s="239"/>
      <c r="I734" s="239"/>
      <c r="J734" s="239"/>
      <c r="K734" s="255"/>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row>
    <row r="735">
      <c r="A735" s="239"/>
      <c r="B735" s="239"/>
      <c r="C735" s="239"/>
      <c r="D735" s="239"/>
      <c r="E735" s="239"/>
      <c r="F735" s="239"/>
      <c r="G735" s="255"/>
      <c r="H735" s="239"/>
      <c r="I735" s="239"/>
      <c r="J735" s="239"/>
      <c r="K735" s="255"/>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row>
    <row r="736">
      <c r="A736" s="239"/>
      <c r="B736" s="239"/>
      <c r="C736" s="239"/>
      <c r="D736" s="239"/>
      <c r="E736" s="239"/>
      <c r="F736" s="239"/>
      <c r="G736" s="255"/>
      <c r="H736" s="239"/>
      <c r="I736" s="239"/>
      <c r="J736" s="239"/>
      <c r="K736" s="255"/>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row>
    <row r="737">
      <c r="A737" s="239"/>
      <c r="B737" s="239"/>
      <c r="C737" s="239"/>
      <c r="D737" s="239"/>
      <c r="E737" s="239"/>
      <c r="F737" s="239"/>
      <c r="G737" s="255"/>
      <c r="H737" s="239"/>
      <c r="I737" s="239"/>
      <c r="J737" s="239"/>
      <c r="K737" s="255"/>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c r="BD737" s="239"/>
      <c r="BE737" s="239"/>
      <c r="BF737" s="239"/>
      <c r="BG737" s="239"/>
      <c r="BH737" s="239"/>
      <c r="BI737" s="239"/>
    </row>
    <row r="738">
      <c r="A738" s="239"/>
      <c r="B738" s="239"/>
      <c r="C738" s="239"/>
      <c r="D738" s="239"/>
      <c r="E738" s="239"/>
      <c r="F738" s="239"/>
      <c r="G738" s="255"/>
      <c r="H738" s="239"/>
      <c r="I738" s="239"/>
      <c r="J738" s="239"/>
      <c r="K738" s="255"/>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row>
    <row r="739">
      <c r="A739" s="239"/>
      <c r="B739" s="239"/>
      <c r="C739" s="239"/>
      <c r="D739" s="239"/>
      <c r="E739" s="239"/>
      <c r="F739" s="239"/>
      <c r="G739" s="255"/>
      <c r="H739" s="239"/>
      <c r="I739" s="239"/>
      <c r="J739" s="239"/>
      <c r="K739" s="255"/>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row>
    <row r="740">
      <c r="A740" s="239"/>
      <c r="B740" s="239"/>
      <c r="C740" s="239"/>
      <c r="D740" s="239"/>
      <c r="E740" s="239"/>
      <c r="F740" s="239"/>
      <c r="G740" s="255"/>
      <c r="H740" s="239"/>
      <c r="I740" s="239"/>
      <c r="J740" s="239"/>
      <c r="K740" s="255"/>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row>
    <row r="741">
      <c r="A741" s="239"/>
      <c r="B741" s="239"/>
      <c r="C741" s="239"/>
      <c r="D741" s="239"/>
      <c r="E741" s="239"/>
      <c r="F741" s="239"/>
      <c r="G741" s="255"/>
      <c r="H741" s="239"/>
      <c r="I741" s="239"/>
      <c r="J741" s="239"/>
      <c r="K741" s="255"/>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row>
    <row r="742">
      <c r="A742" s="239"/>
      <c r="B742" s="239"/>
      <c r="C742" s="239"/>
      <c r="D742" s="239"/>
      <c r="E742" s="239"/>
      <c r="F742" s="239"/>
      <c r="G742" s="255"/>
      <c r="H742" s="239"/>
      <c r="I742" s="239"/>
      <c r="J742" s="239"/>
      <c r="K742" s="255"/>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row>
    <row r="743">
      <c r="A743" s="239"/>
      <c r="B743" s="239"/>
      <c r="C743" s="239"/>
      <c r="D743" s="239"/>
      <c r="E743" s="239"/>
      <c r="F743" s="239"/>
      <c r="G743" s="255"/>
      <c r="H743" s="239"/>
      <c r="I743" s="239"/>
      <c r="J743" s="239"/>
      <c r="K743" s="255"/>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row>
    <row r="744">
      <c r="A744" s="239"/>
      <c r="B744" s="239"/>
      <c r="C744" s="239"/>
      <c r="D744" s="239"/>
      <c r="E744" s="239"/>
      <c r="F744" s="239"/>
      <c r="G744" s="255"/>
      <c r="H744" s="239"/>
      <c r="I744" s="239"/>
      <c r="J744" s="239"/>
      <c r="K744" s="255"/>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row>
    <row r="745">
      <c r="A745" s="239"/>
      <c r="B745" s="239"/>
      <c r="C745" s="239"/>
      <c r="D745" s="239"/>
      <c r="E745" s="239"/>
      <c r="F745" s="239"/>
      <c r="G745" s="255"/>
      <c r="H745" s="239"/>
      <c r="I745" s="239"/>
      <c r="J745" s="239"/>
      <c r="K745" s="255"/>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row>
    <row r="746">
      <c r="A746" s="239"/>
      <c r="B746" s="239"/>
      <c r="C746" s="239"/>
      <c r="D746" s="239"/>
      <c r="E746" s="239"/>
      <c r="F746" s="239"/>
      <c r="G746" s="255"/>
      <c r="H746" s="239"/>
      <c r="I746" s="239"/>
      <c r="J746" s="239"/>
      <c r="K746" s="255"/>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row>
    <row r="747">
      <c r="A747" s="239"/>
      <c r="B747" s="239"/>
      <c r="C747" s="239"/>
      <c r="D747" s="239"/>
      <c r="E747" s="239"/>
      <c r="F747" s="239"/>
      <c r="G747" s="255"/>
      <c r="H747" s="239"/>
      <c r="I747" s="239"/>
      <c r="J747" s="239"/>
      <c r="K747" s="255"/>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row>
    <row r="748">
      <c r="A748" s="239"/>
      <c r="B748" s="239"/>
      <c r="C748" s="239"/>
      <c r="D748" s="239"/>
      <c r="E748" s="239"/>
      <c r="F748" s="239"/>
      <c r="G748" s="255"/>
      <c r="H748" s="239"/>
      <c r="I748" s="239"/>
      <c r="J748" s="239"/>
      <c r="K748" s="255"/>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row>
    <row r="749">
      <c r="A749" s="239"/>
      <c r="B749" s="239"/>
      <c r="C749" s="239"/>
      <c r="D749" s="239"/>
      <c r="E749" s="239"/>
      <c r="F749" s="239"/>
      <c r="G749" s="255"/>
      <c r="H749" s="239"/>
      <c r="I749" s="239"/>
      <c r="J749" s="239"/>
      <c r="K749" s="255"/>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row>
    <row r="750">
      <c r="A750" s="239"/>
      <c r="B750" s="239"/>
      <c r="C750" s="239"/>
      <c r="D750" s="239"/>
      <c r="E750" s="239"/>
      <c r="F750" s="239"/>
      <c r="G750" s="255"/>
      <c r="H750" s="239"/>
      <c r="I750" s="239"/>
      <c r="J750" s="239"/>
      <c r="K750" s="255"/>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row>
    <row r="751">
      <c r="A751" s="239"/>
      <c r="B751" s="239"/>
      <c r="C751" s="239"/>
      <c r="D751" s="239"/>
      <c r="E751" s="239"/>
      <c r="F751" s="239"/>
      <c r="G751" s="255"/>
      <c r="H751" s="239"/>
      <c r="I751" s="239"/>
      <c r="J751" s="239"/>
      <c r="K751" s="255"/>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c r="BD751" s="239"/>
      <c r="BE751" s="239"/>
      <c r="BF751" s="239"/>
      <c r="BG751" s="239"/>
      <c r="BH751" s="239"/>
      <c r="BI751" s="239"/>
    </row>
    <row r="752">
      <c r="A752" s="239"/>
      <c r="B752" s="239"/>
      <c r="C752" s="239"/>
      <c r="D752" s="239"/>
      <c r="E752" s="239"/>
      <c r="F752" s="239"/>
      <c r="G752" s="255"/>
      <c r="H752" s="239"/>
      <c r="I752" s="239"/>
      <c r="J752" s="239"/>
      <c r="K752" s="255"/>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row>
    <row r="753">
      <c r="A753" s="239"/>
      <c r="B753" s="239"/>
      <c r="C753" s="239"/>
      <c r="D753" s="239"/>
      <c r="E753" s="239"/>
      <c r="F753" s="239"/>
      <c r="G753" s="255"/>
      <c r="H753" s="239"/>
      <c r="I753" s="239"/>
      <c r="J753" s="239"/>
      <c r="K753" s="255"/>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row>
    <row r="754">
      <c r="A754" s="239"/>
      <c r="B754" s="239"/>
      <c r="C754" s="239"/>
      <c r="D754" s="239"/>
      <c r="E754" s="239"/>
      <c r="F754" s="239"/>
      <c r="G754" s="255"/>
      <c r="H754" s="239"/>
      <c r="I754" s="239"/>
      <c r="J754" s="239"/>
      <c r="K754" s="255"/>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row>
    <row r="755">
      <c r="A755" s="239"/>
      <c r="B755" s="239"/>
      <c r="C755" s="239"/>
      <c r="D755" s="239"/>
      <c r="E755" s="239"/>
      <c r="F755" s="239"/>
      <c r="G755" s="255"/>
      <c r="H755" s="239"/>
      <c r="I755" s="239"/>
      <c r="J755" s="239"/>
      <c r="K755" s="255"/>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row>
    <row r="756">
      <c r="A756" s="239"/>
      <c r="B756" s="239"/>
      <c r="C756" s="239"/>
      <c r="D756" s="239"/>
      <c r="E756" s="239"/>
      <c r="F756" s="239"/>
      <c r="G756" s="255"/>
      <c r="H756" s="239"/>
      <c r="I756" s="239"/>
      <c r="J756" s="239"/>
      <c r="K756" s="255"/>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row>
    <row r="757">
      <c r="A757" s="239"/>
      <c r="B757" s="239"/>
      <c r="C757" s="239"/>
      <c r="D757" s="239"/>
      <c r="E757" s="239"/>
      <c r="F757" s="239"/>
      <c r="G757" s="255"/>
      <c r="H757" s="239"/>
      <c r="I757" s="239"/>
      <c r="J757" s="239"/>
      <c r="K757" s="255"/>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row>
    <row r="758">
      <c r="A758" s="239"/>
      <c r="B758" s="239"/>
      <c r="C758" s="239"/>
      <c r="D758" s="239"/>
      <c r="E758" s="239"/>
      <c r="F758" s="239"/>
      <c r="G758" s="255"/>
      <c r="H758" s="239"/>
      <c r="I758" s="239"/>
      <c r="J758" s="239"/>
      <c r="K758" s="255"/>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row>
    <row r="759">
      <c r="A759" s="239"/>
      <c r="B759" s="239"/>
      <c r="C759" s="239"/>
      <c r="D759" s="239"/>
      <c r="E759" s="239"/>
      <c r="F759" s="239"/>
      <c r="G759" s="255"/>
      <c r="H759" s="239"/>
      <c r="I759" s="239"/>
      <c r="J759" s="239"/>
      <c r="K759" s="255"/>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row>
    <row r="760">
      <c r="A760" s="239"/>
      <c r="B760" s="239"/>
      <c r="C760" s="239"/>
      <c r="D760" s="239"/>
      <c r="E760" s="239"/>
      <c r="F760" s="239"/>
      <c r="G760" s="255"/>
      <c r="H760" s="239"/>
      <c r="I760" s="239"/>
      <c r="J760" s="239"/>
      <c r="K760" s="255"/>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row>
    <row r="761">
      <c r="A761" s="239"/>
      <c r="B761" s="239"/>
      <c r="C761" s="239"/>
      <c r="D761" s="239"/>
      <c r="E761" s="239"/>
      <c r="F761" s="239"/>
      <c r="G761" s="255"/>
      <c r="H761" s="239"/>
      <c r="I761" s="239"/>
      <c r="J761" s="239"/>
      <c r="K761" s="255"/>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row>
    <row r="762">
      <c r="A762" s="239"/>
      <c r="B762" s="239"/>
      <c r="C762" s="239"/>
      <c r="D762" s="239"/>
      <c r="E762" s="239"/>
      <c r="F762" s="239"/>
      <c r="G762" s="255"/>
      <c r="H762" s="239"/>
      <c r="I762" s="239"/>
      <c r="J762" s="239"/>
      <c r="K762" s="255"/>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row>
    <row r="763">
      <c r="A763" s="239"/>
      <c r="B763" s="239"/>
      <c r="C763" s="239"/>
      <c r="D763" s="239"/>
      <c r="E763" s="239"/>
      <c r="F763" s="239"/>
      <c r="G763" s="255"/>
      <c r="H763" s="239"/>
      <c r="I763" s="239"/>
      <c r="J763" s="239"/>
      <c r="K763" s="255"/>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c r="BD763" s="239"/>
      <c r="BE763" s="239"/>
      <c r="BF763" s="239"/>
      <c r="BG763" s="239"/>
      <c r="BH763" s="239"/>
      <c r="BI763" s="239"/>
    </row>
    <row r="764">
      <c r="A764" s="239"/>
      <c r="B764" s="239"/>
      <c r="C764" s="239"/>
      <c r="D764" s="239"/>
      <c r="E764" s="239"/>
      <c r="F764" s="239"/>
      <c r="G764" s="255"/>
      <c r="H764" s="239"/>
      <c r="I764" s="239"/>
      <c r="J764" s="239"/>
      <c r="K764" s="255"/>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row>
    <row r="765">
      <c r="A765" s="239"/>
      <c r="B765" s="239"/>
      <c r="C765" s="239"/>
      <c r="D765" s="239"/>
      <c r="E765" s="239"/>
      <c r="F765" s="239"/>
      <c r="G765" s="255"/>
      <c r="H765" s="239"/>
      <c r="I765" s="239"/>
      <c r="J765" s="239"/>
      <c r="K765" s="255"/>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c r="BD765" s="239"/>
      <c r="BE765" s="239"/>
      <c r="BF765" s="239"/>
      <c r="BG765" s="239"/>
      <c r="BH765" s="239"/>
      <c r="BI765" s="239"/>
    </row>
    <row r="766">
      <c r="A766" s="239"/>
      <c r="B766" s="239"/>
      <c r="C766" s="239"/>
      <c r="D766" s="239"/>
      <c r="E766" s="239"/>
      <c r="F766" s="239"/>
      <c r="G766" s="255"/>
      <c r="H766" s="239"/>
      <c r="I766" s="239"/>
      <c r="J766" s="239"/>
      <c r="K766" s="255"/>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row>
    <row r="767">
      <c r="A767" s="239"/>
      <c r="B767" s="239"/>
      <c r="C767" s="239"/>
      <c r="D767" s="239"/>
      <c r="E767" s="239"/>
      <c r="F767" s="239"/>
      <c r="G767" s="255"/>
      <c r="H767" s="239"/>
      <c r="I767" s="239"/>
      <c r="J767" s="239"/>
      <c r="K767" s="255"/>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39"/>
      <c r="BF767" s="239"/>
      <c r="BG767" s="239"/>
      <c r="BH767" s="239"/>
      <c r="BI767" s="239"/>
    </row>
    <row r="768">
      <c r="A768" s="239"/>
      <c r="B768" s="239"/>
      <c r="C768" s="239"/>
      <c r="D768" s="239"/>
      <c r="E768" s="239"/>
      <c r="F768" s="239"/>
      <c r="G768" s="255"/>
      <c r="H768" s="239"/>
      <c r="I768" s="239"/>
      <c r="J768" s="239"/>
      <c r="K768" s="255"/>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39"/>
      <c r="BF768" s="239"/>
      <c r="BG768" s="239"/>
      <c r="BH768" s="239"/>
      <c r="BI768" s="239"/>
    </row>
    <row r="769">
      <c r="A769" s="239"/>
      <c r="B769" s="239"/>
      <c r="C769" s="239"/>
      <c r="D769" s="239"/>
      <c r="E769" s="239"/>
      <c r="F769" s="239"/>
      <c r="G769" s="255"/>
      <c r="H769" s="239"/>
      <c r="I769" s="239"/>
      <c r="J769" s="239"/>
      <c r="K769" s="255"/>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39"/>
      <c r="BF769" s="239"/>
      <c r="BG769" s="239"/>
      <c r="BH769" s="239"/>
      <c r="BI769" s="239"/>
    </row>
    <row r="770">
      <c r="A770" s="239"/>
      <c r="B770" s="239"/>
      <c r="C770" s="239"/>
      <c r="D770" s="239"/>
      <c r="E770" s="239"/>
      <c r="F770" s="239"/>
      <c r="G770" s="255"/>
      <c r="H770" s="239"/>
      <c r="I770" s="239"/>
      <c r="J770" s="239"/>
      <c r="K770" s="255"/>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39"/>
      <c r="BF770" s="239"/>
      <c r="BG770" s="239"/>
      <c r="BH770" s="239"/>
      <c r="BI770" s="239"/>
    </row>
    <row r="771">
      <c r="A771" s="239"/>
      <c r="B771" s="239"/>
      <c r="C771" s="239"/>
      <c r="D771" s="239"/>
      <c r="E771" s="239"/>
      <c r="F771" s="239"/>
      <c r="G771" s="255"/>
      <c r="H771" s="239"/>
      <c r="I771" s="239"/>
      <c r="J771" s="239"/>
      <c r="K771" s="255"/>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39"/>
      <c r="BF771" s="239"/>
      <c r="BG771" s="239"/>
      <c r="BH771" s="239"/>
      <c r="BI771" s="239"/>
    </row>
    <row r="772">
      <c r="A772" s="239"/>
      <c r="B772" s="239"/>
      <c r="C772" s="239"/>
      <c r="D772" s="239"/>
      <c r="E772" s="239"/>
      <c r="F772" s="239"/>
      <c r="G772" s="255"/>
      <c r="H772" s="239"/>
      <c r="I772" s="239"/>
      <c r="J772" s="239"/>
      <c r="K772" s="255"/>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39"/>
      <c r="BF772" s="239"/>
      <c r="BG772" s="239"/>
      <c r="BH772" s="239"/>
      <c r="BI772" s="239"/>
    </row>
    <row r="773">
      <c r="A773" s="239"/>
      <c r="B773" s="239"/>
      <c r="C773" s="239"/>
      <c r="D773" s="239"/>
      <c r="E773" s="239"/>
      <c r="F773" s="239"/>
      <c r="G773" s="255"/>
      <c r="H773" s="239"/>
      <c r="I773" s="239"/>
      <c r="J773" s="239"/>
      <c r="K773" s="255"/>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39"/>
      <c r="BF773" s="239"/>
      <c r="BG773" s="239"/>
      <c r="BH773" s="239"/>
      <c r="BI773" s="239"/>
    </row>
    <row r="774">
      <c r="A774" s="239"/>
      <c r="B774" s="239"/>
      <c r="C774" s="239"/>
      <c r="D774" s="239"/>
      <c r="E774" s="239"/>
      <c r="F774" s="239"/>
      <c r="G774" s="255"/>
      <c r="H774" s="239"/>
      <c r="I774" s="239"/>
      <c r="J774" s="239"/>
      <c r="K774" s="255"/>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39"/>
      <c r="BF774" s="239"/>
      <c r="BG774" s="239"/>
      <c r="BH774" s="239"/>
      <c r="BI774" s="239"/>
    </row>
    <row r="775">
      <c r="A775" s="239"/>
      <c r="B775" s="239"/>
      <c r="C775" s="239"/>
      <c r="D775" s="239"/>
      <c r="E775" s="239"/>
      <c r="F775" s="239"/>
      <c r="G775" s="255"/>
      <c r="H775" s="239"/>
      <c r="I775" s="239"/>
      <c r="J775" s="239"/>
      <c r="K775" s="255"/>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row>
    <row r="776">
      <c r="A776" s="239"/>
      <c r="B776" s="239"/>
      <c r="C776" s="239"/>
      <c r="D776" s="239"/>
      <c r="E776" s="239"/>
      <c r="F776" s="239"/>
      <c r="G776" s="255"/>
      <c r="H776" s="239"/>
      <c r="I776" s="239"/>
      <c r="J776" s="239"/>
      <c r="K776" s="255"/>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row>
    <row r="777">
      <c r="A777" s="239"/>
      <c r="B777" s="239"/>
      <c r="C777" s="239"/>
      <c r="D777" s="239"/>
      <c r="E777" s="239"/>
      <c r="F777" s="239"/>
      <c r="G777" s="255"/>
      <c r="H777" s="239"/>
      <c r="I777" s="239"/>
      <c r="J777" s="239"/>
      <c r="K777" s="255"/>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row>
    <row r="778">
      <c r="A778" s="239"/>
      <c r="B778" s="239"/>
      <c r="C778" s="239"/>
      <c r="D778" s="239"/>
      <c r="E778" s="239"/>
      <c r="F778" s="239"/>
      <c r="G778" s="255"/>
      <c r="H778" s="239"/>
      <c r="I778" s="239"/>
      <c r="J778" s="239"/>
      <c r="K778" s="255"/>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row>
    <row r="779">
      <c r="A779" s="239"/>
      <c r="B779" s="239"/>
      <c r="C779" s="239"/>
      <c r="D779" s="239"/>
      <c r="E779" s="239"/>
      <c r="F779" s="239"/>
      <c r="G779" s="255"/>
      <c r="H779" s="239"/>
      <c r="I779" s="239"/>
      <c r="J779" s="239"/>
      <c r="K779" s="255"/>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c r="BD779" s="239"/>
      <c r="BE779" s="239"/>
      <c r="BF779" s="239"/>
      <c r="BG779" s="239"/>
      <c r="BH779" s="239"/>
      <c r="BI779" s="239"/>
    </row>
    <row r="780">
      <c r="A780" s="239"/>
      <c r="B780" s="239"/>
      <c r="C780" s="239"/>
      <c r="D780" s="239"/>
      <c r="E780" s="239"/>
      <c r="F780" s="239"/>
      <c r="G780" s="255"/>
      <c r="H780" s="239"/>
      <c r="I780" s="239"/>
      <c r="J780" s="239"/>
      <c r="K780" s="255"/>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row>
    <row r="781">
      <c r="A781" s="239"/>
      <c r="B781" s="239"/>
      <c r="C781" s="239"/>
      <c r="D781" s="239"/>
      <c r="E781" s="239"/>
      <c r="F781" s="239"/>
      <c r="G781" s="255"/>
      <c r="H781" s="239"/>
      <c r="I781" s="239"/>
      <c r="J781" s="239"/>
      <c r="K781" s="255"/>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row>
    <row r="782">
      <c r="A782" s="239"/>
      <c r="B782" s="239"/>
      <c r="C782" s="239"/>
      <c r="D782" s="239"/>
      <c r="E782" s="239"/>
      <c r="F782" s="239"/>
      <c r="G782" s="255"/>
      <c r="H782" s="239"/>
      <c r="I782" s="239"/>
      <c r="J782" s="239"/>
      <c r="K782" s="255"/>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39"/>
      <c r="BF782" s="239"/>
      <c r="BG782" s="239"/>
      <c r="BH782" s="239"/>
      <c r="BI782" s="239"/>
    </row>
    <row r="783">
      <c r="A783" s="239"/>
      <c r="B783" s="239"/>
      <c r="C783" s="239"/>
      <c r="D783" s="239"/>
      <c r="E783" s="239"/>
      <c r="F783" s="239"/>
      <c r="G783" s="255"/>
      <c r="H783" s="239"/>
      <c r="I783" s="239"/>
      <c r="J783" s="239"/>
      <c r="K783" s="255"/>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row>
    <row r="784">
      <c r="A784" s="239"/>
      <c r="B784" s="239"/>
      <c r="C784" s="239"/>
      <c r="D784" s="239"/>
      <c r="E784" s="239"/>
      <c r="F784" s="239"/>
      <c r="G784" s="255"/>
      <c r="H784" s="239"/>
      <c r="I784" s="239"/>
      <c r="J784" s="239"/>
      <c r="K784" s="255"/>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row>
    <row r="785">
      <c r="A785" s="239"/>
      <c r="B785" s="239"/>
      <c r="C785" s="239"/>
      <c r="D785" s="239"/>
      <c r="E785" s="239"/>
      <c r="F785" s="239"/>
      <c r="G785" s="255"/>
      <c r="H785" s="239"/>
      <c r="I785" s="239"/>
      <c r="J785" s="239"/>
      <c r="K785" s="255"/>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row>
    <row r="786">
      <c r="A786" s="239"/>
      <c r="B786" s="239"/>
      <c r="C786" s="239"/>
      <c r="D786" s="239"/>
      <c r="E786" s="239"/>
      <c r="F786" s="239"/>
      <c r="G786" s="255"/>
      <c r="H786" s="239"/>
      <c r="I786" s="239"/>
      <c r="J786" s="239"/>
      <c r="K786" s="255"/>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row>
    <row r="787">
      <c r="A787" s="239"/>
      <c r="B787" s="239"/>
      <c r="C787" s="239"/>
      <c r="D787" s="239"/>
      <c r="E787" s="239"/>
      <c r="F787" s="239"/>
      <c r="G787" s="255"/>
      <c r="H787" s="239"/>
      <c r="I787" s="239"/>
      <c r="J787" s="239"/>
      <c r="K787" s="255"/>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row>
    <row r="788">
      <c r="A788" s="239"/>
      <c r="B788" s="239"/>
      <c r="C788" s="239"/>
      <c r="D788" s="239"/>
      <c r="E788" s="239"/>
      <c r="F788" s="239"/>
      <c r="G788" s="255"/>
      <c r="H788" s="239"/>
      <c r="I788" s="239"/>
      <c r="J788" s="239"/>
      <c r="K788" s="255"/>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row>
    <row r="789">
      <c r="A789" s="239"/>
      <c r="B789" s="239"/>
      <c r="C789" s="239"/>
      <c r="D789" s="239"/>
      <c r="E789" s="239"/>
      <c r="F789" s="239"/>
      <c r="G789" s="255"/>
      <c r="H789" s="239"/>
      <c r="I789" s="239"/>
      <c r="J789" s="239"/>
      <c r="K789" s="255"/>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row>
    <row r="790">
      <c r="A790" s="239"/>
      <c r="B790" s="239"/>
      <c r="C790" s="239"/>
      <c r="D790" s="239"/>
      <c r="E790" s="239"/>
      <c r="F790" s="239"/>
      <c r="G790" s="255"/>
      <c r="H790" s="239"/>
      <c r="I790" s="239"/>
      <c r="J790" s="239"/>
      <c r="K790" s="255"/>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row>
    <row r="791">
      <c r="A791" s="239"/>
      <c r="B791" s="239"/>
      <c r="C791" s="239"/>
      <c r="D791" s="239"/>
      <c r="E791" s="239"/>
      <c r="F791" s="239"/>
      <c r="G791" s="255"/>
      <c r="H791" s="239"/>
      <c r="I791" s="239"/>
      <c r="J791" s="239"/>
      <c r="K791" s="255"/>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row>
    <row r="792">
      <c r="A792" s="239"/>
      <c r="B792" s="239"/>
      <c r="C792" s="239"/>
      <c r="D792" s="239"/>
      <c r="E792" s="239"/>
      <c r="F792" s="239"/>
      <c r="G792" s="255"/>
      <c r="H792" s="239"/>
      <c r="I792" s="239"/>
      <c r="J792" s="239"/>
      <c r="K792" s="255"/>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row>
    <row r="793">
      <c r="A793" s="239"/>
      <c r="B793" s="239"/>
      <c r="C793" s="239"/>
      <c r="D793" s="239"/>
      <c r="E793" s="239"/>
      <c r="F793" s="239"/>
      <c r="G793" s="255"/>
      <c r="H793" s="239"/>
      <c r="I793" s="239"/>
      <c r="J793" s="239"/>
      <c r="K793" s="255"/>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c r="BD793" s="239"/>
      <c r="BE793" s="239"/>
      <c r="BF793" s="239"/>
      <c r="BG793" s="239"/>
      <c r="BH793" s="239"/>
      <c r="BI793" s="239"/>
    </row>
    <row r="794">
      <c r="A794" s="239"/>
      <c r="B794" s="239"/>
      <c r="C794" s="239"/>
      <c r="D794" s="239"/>
      <c r="E794" s="239"/>
      <c r="F794" s="239"/>
      <c r="G794" s="255"/>
      <c r="H794" s="239"/>
      <c r="I794" s="239"/>
      <c r="J794" s="239"/>
      <c r="K794" s="255"/>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row>
    <row r="795">
      <c r="A795" s="239"/>
      <c r="B795" s="239"/>
      <c r="C795" s="239"/>
      <c r="D795" s="239"/>
      <c r="E795" s="239"/>
      <c r="F795" s="239"/>
      <c r="G795" s="255"/>
      <c r="H795" s="239"/>
      <c r="I795" s="239"/>
      <c r="J795" s="239"/>
      <c r="K795" s="255"/>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row>
    <row r="796">
      <c r="A796" s="239"/>
      <c r="B796" s="239"/>
      <c r="C796" s="239"/>
      <c r="D796" s="239"/>
      <c r="E796" s="239"/>
      <c r="F796" s="239"/>
      <c r="G796" s="255"/>
      <c r="H796" s="239"/>
      <c r="I796" s="239"/>
      <c r="J796" s="239"/>
      <c r="K796" s="255"/>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row>
    <row r="797">
      <c r="A797" s="239"/>
      <c r="B797" s="239"/>
      <c r="C797" s="239"/>
      <c r="D797" s="239"/>
      <c r="E797" s="239"/>
      <c r="F797" s="239"/>
      <c r="G797" s="255"/>
      <c r="H797" s="239"/>
      <c r="I797" s="239"/>
      <c r="J797" s="239"/>
      <c r="K797" s="255"/>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row>
    <row r="798">
      <c r="A798" s="239"/>
      <c r="B798" s="239"/>
      <c r="C798" s="239"/>
      <c r="D798" s="239"/>
      <c r="E798" s="239"/>
      <c r="F798" s="239"/>
      <c r="G798" s="255"/>
      <c r="H798" s="239"/>
      <c r="I798" s="239"/>
      <c r="J798" s="239"/>
      <c r="K798" s="255"/>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row>
    <row r="799">
      <c r="A799" s="239"/>
      <c r="B799" s="239"/>
      <c r="C799" s="239"/>
      <c r="D799" s="239"/>
      <c r="E799" s="239"/>
      <c r="F799" s="239"/>
      <c r="G799" s="255"/>
      <c r="H799" s="239"/>
      <c r="I799" s="239"/>
      <c r="J799" s="239"/>
      <c r="K799" s="255"/>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row>
    <row r="800">
      <c r="A800" s="239"/>
      <c r="B800" s="239"/>
      <c r="C800" s="239"/>
      <c r="D800" s="239"/>
      <c r="E800" s="239"/>
      <c r="F800" s="239"/>
      <c r="G800" s="255"/>
      <c r="H800" s="239"/>
      <c r="I800" s="239"/>
      <c r="J800" s="239"/>
      <c r="K800" s="255"/>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row>
    <row r="801">
      <c r="A801" s="239"/>
      <c r="B801" s="239"/>
      <c r="C801" s="239"/>
      <c r="D801" s="239"/>
      <c r="E801" s="239"/>
      <c r="F801" s="239"/>
      <c r="G801" s="255"/>
      <c r="H801" s="239"/>
      <c r="I801" s="239"/>
      <c r="J801" s="239"/>
      <c r="K801" s="255"/>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row>
    <row r="802">
      <c r="A802" s="239"/>
      <c r="B802" s="239"/>
      <c r="C802" s="239"/>
      <c r="D802" s="239"/>
      <c r="E802" s="239"/>
      <c r="F802" s="239"/>
      <c r="G802" s="255"/>
      <c r="H802" s="239"/>
      <c r="I802" s="239"/>
      <c r="J802" s="239"/>
      <c r="K802" s="255"/>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row>
    <row r="803">
      <c r="A803" s="239"/>
      <c r="B803" s="239"/>
      <c r="C803" s="239"/>
      <c r="D803" s="239"/>
      <c r="E803" s="239"/>
      <c r="F803" s="239"/>
      <c r="G803" s="255"/>
      <c r="H803" s="239"/>
      <c r="I803" s="239"/>
      <c r="J803" s="239"/>
      <c r="K803" s="255"/>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row>
    <row r="804">
      <c r="A804" s="239"/>
      <c r="B804" s="239"/>
      <c r="C804" s="239"/>
      <c r="D804" s="239"/>
      <c r="E804" s="239"/>
      <c r="F804" s="239"/>
      <c r="G804" s="255"/>
      <c r="H804" s="239"/>
      <c r="I804" s="239"/>
      <c r="J804" s="239"/>
      <c r="K804" s="255"/>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row>
    <row r="805">
      <c r="A805" s="239"/>
      <c r="B805" s="239"/>
      <c r="C805" s="239"/>
      <c r="D805" s="239"/>
      <c r="E805" s="239"/>
      <c r="F805" s="239"/>
      <c r="G805" s="255"/>
      <c r="H805" s="239"/>
      <c r="I805" s="239"/>
      <c r="J805" s="239"/>
      <c r="K805" s="255"/>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row>
    <row r="806">
      <c r="A806" s="239"/>
      <c r="B806" s="239"/>
      <c r="C806" s="239"/>
      <c r="D806" s="239"/>
      <c r="E806" s="239"/>
      <c r="F806" s="239"/>
      <c r="G806" s="255"/>
      <c r="H806" s="239"/>
      <c r="I806" s="239"/>
      <c r="J806" s="239"/>
      <c r="K806" s="255"/>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row>
    <row r="807">
      <c r="A807" s="239"/>
      <c r="B807" s="239"/>
      <c r="C807" s="239"/>
      <c r="D807" s="239"/>
      <c r="E807" s="239"/>
      <c r="F807" s="239"/>
      <c r="G807" s="255"/>
      <c r="H807" s="239"/>
      <c r="I807" s="239"/>
      <c r="J807" s="239"/>
      <c r="K807" s="255"/>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c r="BD807" s="239"/>
      <c r="BE807" s="239"/>
      <c r="BF807" s="239"/>
      <c r="BG807" s="239"/>
      <c r="BH807" s="239"/>
      <c r="BI807" s="239"/>
    </row>
    <row r="808">
      <c r="A808" s="239"/>
      <c r="B808" s="239"/>
      <c r="C808" s="239"/>
      <c r="D808" s="239"/>
      <c r="E808" s="239"/>
      <c r="F808" s="239"/>
      <c r="G808" s="255"/>
      <c r="H808" s="239"/>
      <c r="I808" s="239"/>
      <c r="J808" s="239"/>
      <c r="K808" s="255"/>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row>
    <row r="809">
      <c r="A809" s="239"/>
      <c r="B809" s="239"/>
      <c r="C809" s="239"/>
      <c r="D809" s="239"/>
      <c r="E809" s="239"/>
      <c r="F809" s="239"/>
      <c r="G809" s="255"/>
      <c r="H809" s="239"/>
      <c r="I809" s="239"/>
      <c r="J809" s="239"/>
      <c r="K809" s="255"/>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row>
    <row r="810">
      <c r="A810" s="239"/>
      <c r="B810" s="239"/>
      <c r="C810" s="239"/>
      <c r="D810" s="239"/>
      <c r="E810" s="239"/>
      <c r="F810" s="239"/>
      <c r="G810" s="255"/>
      <c r="H810" s="239"/>
      <c r="I810" s="239"/>
      <c r="J810" s="239"/>
      <c r="K810" s="255"/>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row>
    <row r="811">
      <c r="A811" s="239"/>
      <c r="B811" s="239"/>
      <c r="C811" s="239"/>
      <c r="D811" s="239"/>
      <c r="E811" s="239"/>
      <c r="F811" s="239"/>
      <c r="G811" s="255"/>
      <c r="H811" s="239"/>
      <c r="I811" s="239"/>
      <c r="J811" s="239"/>
      <c r="K811" s="255"/>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row>
    <row r="812">
      <c r="A812" s="239"/>
      <c r="B812" s="239"/>
      <c r="C812" s="239"/>
      <c r="D812" s="239"/>
      <c r="E812" s="239"/>
      <c r="F812" s="239"/>
      <c r="G812" s="255"/>
      <c r="H812" s="239"/>
      <c r="I812" s="239"/>
      <c r="J812" s="239"/>
      <c r="K812" s="255"/>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row>
    <row r="813">
      <c r="A813" s="239"/>
      <c r="B813" s="239"/>
      <c r="C813" s="239"/>
      <c r="D813" s="239"/>
      <c r="E813" s="239"/>
      <c r="F813" s="239"/>
      <c r="G813" s="255"/>
      <c r="H813" s="239"/>
      <c r="I813" s="239"/>
      <c r="J813" s="239"/>
      <c r="K813" s="255"/>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row>
    <row r="814">
      <c r="A814" s="239"/>
      <c r="B814" s="239"/>
      <c r="C814" s="239"/>
      <c r="D814" s="239"/>
      <c r="E814" s="239"/>
      <c r="F814" s="239"/>
      <c r="G814" s="255"/>
      <c r="H814" s="239"/>
      <c r="I814" s="239"/>
      <c r="J814" s="239"/>
      <c r="K814" s="255"/>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row>
    <row r="815">
      <c r="A815" s="239"/>
      <c r="B815" s="239"/>
      <c r="C815" s="239"/>
      <c r="D815" s="239"/>
      <c r="E815" s="239"/>
      <c r="F815" s="239"/>
      <c r="G815" s="255"/>
      <c r="H815" s="239"/>
      <c r="I815" s="239"/>
      <c r="J815" s="239"/>
      <c r="K815" s="255"/>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row>
    <row r="816">
      <c r="A816" s="239"/>
      <c r="B816" s="239"/>
      <c r="C816" s="239"/>
      <c r="D816" s="239"/>
      <c r="E816" s="239"/>
      <c r="F816" s="239"/>
      <c r="G816" s="255"/>
      <c r="H816" s="239"/>
      <c r="I816" s="239"/>
      <c r="J816" s="239"/>
      <c r="K816" s="255"/>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row>
    <row r="817">
      <c r="A817" s="239"/>
      <c r="B817" s="239"/>
      <c r="C817" s="239"/>
      <c r="D817" s="239"/>
      <c r="E817" s="239"/>
      <c r="F817" s="239"/>
      <c r="G817" s="255"/>
      <c r="H817" s="239"/>
      <c r="I817" s="239"/>
      <c r="J817" s="239"/>
      <c r="K817" s="255"/>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row>
    <row r="818">
      <c r="A818" s="239"/>
      <c r="B818" s="239"/>
      <c r="C818" s="239"/>
      <c r="D818" s="239"/>
      <c r="E818" s="239"/>
      <c r="F818" s="239"/>
      <c r="G818" s="255"/>
      <c r="H818" s="239"/>
      <c r="I818" s="239"/>
      <c r="J818" s="239"/>
      <c r="K818" s="255"/>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row>
    <row r="819">
      <c r="A819" s="239"/>
      <c r="B819" s="239"/>
      <c r="C819" s="239"/>
      <c r="D819" s="239"/>
      <c r="E819" s="239"/>
      <c r="F819" s="239"/>
      <c r="G819" s="255"/>
      <c r="H819" s="239"/>
      <c r="I819" s="239"/>
      <c r="J819" s="239"/>
      <c r="K819" s="255"/>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row>
    <row r="820">
      <c r="A820" s="239"/>
      <c r="B820" s="239"/>
      <c r="C820" s="239"/>
      <c r="D820" s="239"/>
      <c r="E820" s="239"/>
      <c r="F820" s="239"/>
      <c r="G820" s="255"/>
      <c r="H820" s="239"/>
      <c r="I820" s="239"/>
      <c r="J820" s="239"/>
      <c r="K820" s="255"/>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row>
    <row r="821">
      <c r="A821" s="239"/>
      <c r="B821" s="239"/>
      <c r="C821" s="239"/>
      <c r="D821" s="239"/>
      <c r="E821" s="239"/>
      <c r="F821" s="239"/>
      <c r="G821" s="255"/>
      <c r="H821" s="239"/>
      <c r="I821" s="239"/>
      <c r="J821" s="239"/>
      <c r="K821" s="255"/>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c r="BD821" s="239"/>
      <c r="BE821" s="239"/>
      <c r="BF821" s="239"/>
      <c r="BG821" s="239"/>
      <c r="BH821" s="239"/>
      <c r="BI821" s="239"/>
    </row>
    <row r="822">
      <c r="A822" s="239"/>
      <c r="B822" s="239"/>
      <c r="C822" s="239"/>
      <c r="D822" s="239"/>
      <c r="E822" s="239"/>
      <c r="F822" s="239"/>
      <c r="G822" s="255"/>
      <c r="H822" s="239"/>
      <c r="I822" s="239"/>
      <c r="J822" s="239"/>
      <c r="K822" s="255"/>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c r="BD822" s="239"/>
      <c r="BE822" s="239"/>
      <c r="BF822" s="239"/>
      <c r="BG822" s="239"/>
      <c r="BH822" s="239"/>
      <c r="BI822" s="239"/>
    </row>
    <row r="823">
      <c r="A823" s="239"/>
      <c r="B823" s="239"/>
      <c r="C823" s="239"/>
      <c r="D823" s="239"/>
      <c r="E823" s="239"/>
      <c r="F823" s="239"/>
      <c r="G823" s="255"/>
      <c r="H823" s="239"/>
      <c r="I823" s="239"/>
      <c r="J823" s="239"/>
      <c r="K823" s="255"/>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row>
    <row r="824">
      <c r="A824" s="239"/>
      <c r="B824" s="239"/>
      <c r="C824" s="239"/>
      <c r="D824" s="239"/>
      <c r="E824" s="239"/>
      <c r="F824" s="239"/>
      <c r="G824" s="255"/>
      <c r="H824" s="239"/>
      <c r="I824" s="239"/>
      <c r="J824" s="239"/>
      <c r="K824" s="255"/>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row>
    <row r="825">
      <c r="A825" s="239"/>
      <c r="B825" s="239"/>
      <c r="C825" s="239"/>
      <c r="D825" s="239"/>
      <c r="E825" s="239"/>
      <c r="F825" s="239"/>
      <c r="G825" s="255"/>
      <c r="H825" s="239"/>
      <c r="I825" s="239"/>
      <c r="J825" s="239"/>
      <c r="K825" s="255"/>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row>
    <row r="826">
      <c r="A826" s="239"/>
      <c r="B826" s="239"/>
      <c r="C826" s="239"/>
      <c r="D826" s="239"/>
      <c r="E826" s="239"/>
      <c r="F826" s="239"/>
      <c r="G826" s="255"/>
      <c r="H826" s="239"/>
      <c r="I826" s="239"/>
      <c r="J826" s="239"/>
      <c r="K826" s="255"/>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row>
    <row r="827">
      <c r="A827" s="239"/>
      <c r="B827" s="239"/>
      <c r="C827" s="239"/>
      <c r="D827" s="239"/>
      <c r="E827" s="239"/>
      <c r="F827" s="239"/>
      <c r="G827" s="255"/>
      <c r="H827" s="239"/>
      <c r="I827" s="239"/>
      <c r="J827" s="239"/>
      <c r="K827" s="255"/>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row>
    <row r="828">
      <c r="A828" s="239"/>
      <c r="B828" s="239"/>
      <c r="C828" s="239"/>
      <c r="D828" s="239"/>
      <c r="E828" s="239"/>
      <c r="F828" s="239"/>
      <c r="G828" s="255"/>
      <c r="H828" s="239"/>
      <c r="I828" s="239"/>
      <c r="J828" s="239"/>
      <c r="K828" s="255"/>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row>
    <row r="829">
      <c r="A829" s="239"/>
      <c r="B829" s="239"/>
      <c r="C829" s="239"/>
      <c r="D829" s="239"/>
      <c r="E829" s="239"/>
      <c r="F829" s="239"/>
      <c r="G829" s="255"/>
      <c r="H829" s="239"/>
      <c r="I829" s="239"/>
      <c r="J829" s="239"/>
      <c r="K829" s="255"/>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row>
    <row r="830">
      <c r="A830" s="239"/>
      <c r="B830" s="239"/>
      <c r="C830" s="239"/>
      <c r="D830" s="239"/>
      <c r="E830" s="239"/>
      <c r="F830" s="239"/>
      <c r="G830" s="255"/>
      <c r="H830" s="239"/>
      <c r="I830" s="239"/>
      <c r="J830" s="239"/>
      <c r="K830" s="255"/>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row>
    <row r="831">
      <c r="A831" s="239"/>
      <c r="B831" s="239"/>
      <c r="C831" s="239"/>
      <c r="D831" s="239"/>
      <c r="E831" s="239"/>
      <c r="F831" s="239"/>
      <c r="G831" s="255"/>
      <c r="H831" s="239"/>
      <c r="I831" s="239"/>
      <c r="J831" s="239"/>
      <c r="K831" s="255"/>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row>
    <row r="832">
      <c r="A832" s="239"/>
      <c r="B832" s="239"/>
      <c r="C832" s="239"/>
      <c r="D832" s="239"/>
      <c r="E832" s="239"/>
      <c r="F832" s="239"/>
      <c r="G832" s="255"/>
      <c r="H832" s="239"/>
      <c r="I832" s="239"/>
      <c r="J832" s="239"/>
      <c r="K832" s="255"/>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row>
    <row r="833">
      <c r="A833" s="239"/>
      <c r="B833" s="239"/>
      <c r="C833" s="239"/>
      <c r="D833" s="239"/>
      <c r="E833" s="239"/>
      <c r="F833" s="239"/>
      <c r="G833" s="255"/>
      <c r="H833" s="239"/>
      <c r="I833" s="239"/>
      <c r="J833" s="239"/>
      <c r="K833" s="255"/>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row>
    <row r="834">
      <c r="A834" s="239"/>
      <c r="B834" s="239"/>
      <c r="C834" s="239"/>
      <c r="D834" s="239"/>
      <c r="E834" s="239"/>
      <c r="F834" s="239"/>
      <c r="G834" s="255"/>
      <c r="H834" s="239"/>
      <c r="I834" s="239"/>
      <c r="J834" s="239"/>
      <c r="K834" s="255"/>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c r="BD834" s="239"/>
      <c r="BE834" s="239"/>
      <c r="BF834" s="239"/>
      <c r="BG834" s="239"/>
      <c r="BH834" s="239"/>
      <c r="BI834" s="239"/>
    </row>
    <row r="835">
      <c r="A835" s="239"/>
      <c r="B835" s="239"/>
      <c r="C835" s="239"/>
      <c r="D835" s="239"/>
      <c r="E835" s="239"/>
      <c r="F835" s="239"/>
      <c r="G835" s="255"/>
      <c r="H835" s="239"/>
      <c r="I835" s="239"/>
      <c r="J835" s="239"/>
      <c r="K835" s="255"/>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c r="BD835" s="239"/>
      <c r="BE835" s="239"/>
      <c r="BF835" s="239"/>
      <c r="BG835" s="239"/>
      <c r="BH835" s="239"/>
      <c r="BI835" s="239"/>
    </row>
    <row r="836">
      <c r="A836" s="239"/>
      <c r="B836" s="239"/>
      <c r="C836" s="239"/>
      <c r="D836" s="239"/>
      <c r="E836" s="239"/>
      <c r="F836" s="239"/>
      <c r="G836" s="255"/>
      <c r="H836" s="239"/>
      <c r="I836" s="239"/>
      <c r="J836" s="239"/>
      <c r="K836" s="255"/>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row>
    <row r="837">
      <c r="A837" s="239"/>
      <c r="B837" s="239"/>
      <c r="C837" s="239"/>
      <c r="D837" s="239"/>
      <c r="E837" s="239"/>
      <c r="F837" s="239"/>
      <c r="G837" s="255"/>
      <c r="H837" s="239"/>
      <c r="I837" s="239"/>
      <c r="J837" s="239"/>
      <c r="K837" s="255"/>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row>
    <row r="838">
      <c r="A838" s="239"/>
      <c r="B838" s="239"/>
      <c r="C838" s="239"/>
      <c r="D838" s="239"/>
      <c r="E838" s="239"/>
      <c r="F838" s="239"/>
      <c r="G838" s="255"/>
      <c r="H838" s="239"/>
      <c r="I838" s="239"/>
      <c r="J838" s="239"/>
      <c r="K838" s="255"/>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row>
    <row r="839">
      <c r="A839" s="239"/>
      <c r="B839" s="239"/>
      <c r="C839" s="239"/>
      <c r="D839" s="239"/>
      <c r="E839" s="239"/>
      <c r="F839" s="239"/>
      <c r="G839" s="255"/>
      <c r="H839" s="239"/>
      <c r="I839" s="239"/>
      <c r="J839" s="239"/>
      <c r="K839" s="255"/>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row>
    <row r="840">
      <c r="A840" s="239"/>
      <c r="B840" s="239"/>
      <c r="C840" s="239"/>
      <c r="D840" s="239"/>
      <c r="E840" s="239"/>
      <c r="F840" s="239"/>
      <c r="G840" s="255"/>
      <c r="H840" s="239"/>
      <c r="I840" s="239"/>
      <c r="J840" s="239"/>
      <c r="K840" s="255"/>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row>
    <row r="841">
      <c r="A841" s="239"/>
      <c r="B841" s="239"/>
      <c r="C841" s="239"/>
      <c r="D841" s="239"/>
      <c r="E841" s="239"/>
      <c r="F841" s="239"/>
      <c r="G841" s="255"/>
      <c r="H841" s="239"/>
      <c r="I841" s="239"/>
      <c r="J841" s="239"/>
      <c r="K841" s="255"/>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row>
    <row r="842">
      <c r="A842" s="239"/>
      <c r="B842" s="239"/>
      <c r="C842" s="239"/>
      <c r="D842" s="239"/>
      <c r="E842" s="239"/>
      <c r="F842" s="239"/>
      <c r="G842" s="255"/>
      <c r="H842" s="239"/>
      <c r="I842" s="239"/>
      <c r="J842" s="239"/>
      <c r="K842" s="255"/>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row>
    <row r="843">
      <c r="A843" s="239"/>
      <c r="B843" s="239"/>
      <c r="C843" s="239"/>
      <c r="D843" s="239"/>
      <c r="E843" s="239"/>
      <c r="F843" s="239"/>
      <c r="G843" s="255"/>
      <c r="H843" s="239"/>
      <c r="I843" s="239"/>
      <c r="J843" s="239"/>
      <c r="K843" s="255"/>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row>
    <row r="844">
      <c r="A844" s="239"/>
      <c r="B844" s="239"/>
      <c r="C844" s="239"/>
      <c r="D844" s="239"/>
      <c r="E844" s="239"/>
      <c r="F844" s="239"/>
      <c r="G844" s="255"/>
      <c r="H844" s="239"/>
      <c r="I844" s="239"/>
      <c r="J844" s="239"/>
      <c r="K844" s="255"/>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row>
    <row r="845">
      <c r="A845" s="239"/>
      <c r="B845" s="239"/>
      <c r="C845" s="239"/>
      <c r="D845" s="239"/>
      <c r="E845" s="239"/>
      <c r="F845" s="239"/>
      <c r="G845" s="255"/>
      <c r="H845" s="239"/>
      <c r="I845" s="239"/>
      <c r="J845" s="239"/>
      <c r="K845" s="255"/>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c r="BD845" s="239"/>
      <c r="BE845" s="239"/>
      <c r="BF845" s="239"/>
      <c r="BG845" s="239"/>
      <c r="BH845" s="239"/>
      <c r="BI845" s="239"/>
    </row>
    <row r="846">
      <c r="A846" s="239"/>
      <c r="B846" s="239"/>
      <c r="C846" s="239"/>
      <c r="D846" s="239"/>
      <c r="E846" s="239"/>
      <c r="F846" s="239"/>
      <c r="G846" s="255"/>
      <c r="H846" s="239"/>
      <c r="I846" s="239"/>
      <c r="J846" s="239"/>
      <c r="K846" s="255"/>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row>
    <row r="847">
      <c r="A847" s="239"/>
      <c r="B847" s="239"/>
      <c r="C847" s="239"/>
      <c r="D847" s="239"/>
      <c r="E847" s="239"/>
      <c r="F847" s="239"/>
      <c r="G847" s="255"/>
      <c r="H847" s="239"/>
      <c r="I847" s="239"/>
      <c r="J847" s="239"/>
      <c r="K847" s="255"/>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row>
    <row r="848">
      <c r="A848" s="239"/>
      <c r="B848" s="239"/>
      <c r="C848" s="239"/>
      <c r="D848" s="239"/>
      <c r="E848" s="239"/>
      <c r="F848" s="239"/>
      <c r="G848" s="255"/>
      <c r="H848" s="239"/>
      <c r="I848" s="239"/>
      <c r="J848" s="239"/>
      <c r="K848" s="255"/>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c r="BD848" s="239"/>
      <c r="BE848" s="239"/>
      <c r="BF848" s="239"/>
      <c r="BG848" s="239"/>
      <c r="BH848" s="239"/>
      <c r="BI848" s="239"/>
    </row>
    <row r="849">
      <c r="A849" s="239"/>
      <c r="B849" s="239"/>
      <c r="C849" s="239"/>
      <c r="D849" s="239"/>
      <c r="E849" s="239"/>
      <c r="F849" s="239"/>
      <c r="G849" s="255"/>
      <c r="H849" s="239"/>
      <c r="I849" s="239"/>
      <c r="J849" s="239"/>
      <c r="K849" s="255"/>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row>
    <row r="850">
      <c r="A850" s="239"/>
      <c r="B850" s="239"/>
      <c r="C850" s="239"/>
      <c r="D850" s="239"/>
      <c r="E850" s="239"/>
      <c r="F850" s="239"/>
      <c r="G850" s="255"/>
      <c r="H850" s="239"/>
      <c r="I850" s="239"/>
      <c r="J850" s="239"/>
      <c r="K850" s="255"/>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row>
    <row r="851">
      <c r="A851" s="239"/>
      <c r="B851" s="239"/>
      <c r="C851" s="239"/>
      <c r="D851" s="239"/>
      <c r="E851" s="239"/>
      <c r="F851" s="239"/>
      <c r="G851" s="255"/>
      <c r="H851" s="239"/>
      <c r="I851" s="239"/>
      <c r="J851" s="239"/>
      <c r="K851" s="255"/>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c r="BD851" s="239"/>
      <c r="BE851" s="239"/>
      <c r="BF851" s="239"/>
      <c r="BG851" s="239"/>
      <c r="BH851" s="239"/>
      <c r="BI851" s="239"/>
    </row>
    <row r="852">
      <c r="A852" s="239"/>
      <c r="B852" s="239"/>
      <c r="C852" s="239"/>
      <c r="D852" s="239"/>
      <c r="E852" s="239"/>
      <c r="F852" s="239"/>
      <c r="G852" s="255"/>
      <c r="H852" s="239"/>
      <c r="I852" s="239"/>
      <c r="J852" s="239"/>
      <c r="K852" s="255"/>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c r="BD852" s="239"/>
      <c r="BE852" s="239"/>
      <c r="BF852" s="239"/>
      <c r="BG852" s="239"/>
      <c r="BH852" s="239"/>
      <c r="BI852" s="239"/>
    </row>
    <row r="853">
      <c r="A853" s="239"/>
      <c r="B853" s="239"/>
      <c r="C853" s="239"/>
      <c r="D853" s="239"/>
      <c r="E853" s="239"/>
      <c r="F853" s="239"/>
      <c r="G853" s="255"/>
      <c r="H853" s="239"/>
      <c r="I853" s="239"/>
      <c r="J853" s="239"/>
      <c r="K853" s="255"/>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c r="BD853" s="239"/>
      <c r="BE853" s="239"/>
      <c r="BF853" s="239"/>
      <c r="BG853" s="239"/>
      <c r="BH853" s="239"/>
      <c r="BI853" s="239"/>
    </row>
    <row r="854">
      <c r="A854" s="239"/>
      <c r="B854" s="239"/>
      <c r="C854" s="239"/>
      <c r="D854" s="239"/>
      <c r="E854" s="239"/>
      <c r="F854" s="239"/>
      <c r="G854" s="255"/>
      <c r="H854" s="239"/>
      <c r="I854" s="239"/>
      <c r="J854" s="239"/>
      <c r="K854" s="255"/>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row>
    <row r="855">
      <c r="A855" s="239"/>
      <c r="B855" s="239"/>
      <c r="C855" s="239"/>
      <c r="D855" s="239"/>
      <c r="E855" s="239"/>
      <c r="F855" s="239"/>
      <c r="G855" s="255"/>
      <c r="H855" s="239"/>
      <c r="I855" s="239"/>
      <c r="J855" s="239"/>
      <c r="K855" s="255"/>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row>
    <row r="856">
      <c r="A856" s="239"/>
      <c r="B856" s="239"/>
      <c r="C856" s="239"/>
      <c r="D856" s="239"/>
      <c r="E856" s="239"/>
      <c r="F856" s="239"/>
      <c r="G856" s="255"/>
      <c r="H856" s="239"/>
      <c r="I856" s="239"/>
      <c r="J856" s="239"/>
      <c r="K856" s="255"/>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row>
    <row r="857">
      <c r="A857" s="239"/>
      <c r="B857" s="239"/>
      <c r="C857" s="239"/>
      <c r="D857" s="239"/>
      <c r="E857" s="239"/>
      <c r="F857" s="239"/>
      <c r="G857" s="255"/>
      <c r="H857" s="239"/>
      <c r="I857" s="239"/>
      <c r="J857" s="239"/>
      <c r="K857" s="255"/>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row>
    <row r="858">
      <c r="A858" s="239"/>
      <c r="B858" s="239"/>
      <c r="C858" s="239"/>
      <c r="D858" s="239"/>
      <c r="E858" s="239"/>
      <c r="F858" s="239"/>
      <c r="G858" s="255"/>
      <c r="H858" s="239"/>
      <c r="I858" s="239"/>
      <c r="J858" s="239"/>
      <c r="K858" s="255"/>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row>
    <row r="859">
      <c r="A859" s="239"/>
      <c r="B859" s="239"/>
      <c r="C859" s="239"/>
      <c r="D859" s="239"/>
      <c r="E859" s="239"/>
      <c r="F859" s="239"/>
      <c r="G859" s="255"/>
      <c r="H859" s="239"/>
      <c r="I859" s="239"/>
      <c r="J859" s="239"/>
      <c r="K859" s="255"/>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row>
    <row r="860">
      <c r="A860" s="239"/>
      <c r="B860" s="239"/>
      <c r="C860" s="239"/>
      <c r="D860" s="239"/>
      <c r="E860" s="239"/>
      <c r="F860" s="239"/>
      <c r="G860" s="255"/>
      <c r="H860" s="239"/>
      <c r="I860" s="239"/>
      <c r="J860" s="239"/>
      <c r="K860" s="255"/>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row>
    <row r="861">
      <c r="A861" s="239"/>
      <c r="B861" s="239"/>
      <c r="C861" s="239"/>
      <c r="D861" s="239"/>
      <c r="E861" s="239"/>
      <c r="F861" s="239"/>
      <c r="G861" s="255"/>
      <c r="H861" s="239"/>
      <c r="I861" s="239"/>
      <c r="J861" s="239"/>
      <c r="K861" s="255"/>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row>
    <row r="862">
      <c r="A862" s="239"/>
      <c r="B862" s="239"/>
      <c r="C862" s="239"/>
      <c r="D862" s="239"/>
      <c r="E862" s="239"/>
      <c r="F862" s="239"/>
      <c r="G862" s="255"/>
      <c r="H862" s="239"/>
      <c r="I862" s="239"/>
      <c r="J862" s="239"/>
      <c r="K862" s="255"/>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row>
    <row r="863">
      <c r="A863" s="239"/>
      <c r="B863" s="239"/>
      <c r="C863" s="239"/>
      <c r="D863" s="239"/>
      <c r="E863" s="239"/>
      <c r="F863" s="239"/>
      <c r="G863" s="255"/>
      <c r="H863" s="239"/>
      <c r="I863" s="239"/>
      <c r="J863" s="239"/>
      <c r="K863" s="255"/>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c r="BD863" s="239"/>
      <c r="BE863" s="239"/>
      <c r="BF863" s="239"/>
      <c r="BG863" s="239"/>
      <c r="BH863" s="239"/>
      <c r="BI863" s="239"/>
    </row>
    <row r="864">
      <c r="A864" s="239"/>
      <c r="B864" s="239"/>
      <c r="C864" s="239"/>
      <c r="D864" s="239"/>
      <c r="E864" s="239"/>
      <c r="F864" s="239"/>
      <c r="G864" s="255"/>
      <c r="H864" s="239"/>
      <c r="I864" s="239"/>
      <c r="J864" s="239"/>
      <c r="K864" s="255"/>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row>
    <row r="865">
      <c r="A865" s="239"/>
      <c r="B865" s="239"/>
      <c r="C865" s="239"/>
      <c r="D865" s="239"/>
      <c r="E865" s="239"/>
      <c r="F865" s="239"/>
      <c r="G865" s="255"/>
      <c r="H865" s="239"/>
      <c r="I865" s="239"/>
      <c r="J865" s="239"/>
      <c r="K865" s="255"/>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c r="BD865" s="239"/>
      <c r="BE865" s="239"/>
      <c r="BF865" s="239"/>
      <c r="BG865" s="239"/>
      <c r="BH865" s="239"/>
      <c r="BI865" s="239"/>
    </row>
    <row r="866">
      <c r="A866" s="239"/>
      <c r="B866" s="239"/>
      <c r="C866" s="239"/>
      <c r="D866" s="239"/>
      <c r="E866" s="239"/>
      <c r="F866" s="239"/>
      <c r="G866" s="255"/>
      <c r="H866" s="239"/>
      <c r="I866" s="239"/>
      <c r="J866" s="239"/>
      <c r="K866" s="255"/>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row>
    <row r="867">
      <c r="A867" s="239"/>
      <c r="B867" s="239"/>
      <c r="C867" s="239"/>
      <c r="D867" s="239"/>
      <c r="E867" s="239"/>
      <c r="F867" s="239"/>
      <c r="G867" s="255"/>
      <c r="H867" s="239"/>
      <c r="I867" s="239"/>
      <c r="J867" s="239"/>
      <c r="K867" s="255"/>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row>
    <row r="868">
      <c r="A868" s="239"/>
      <c r="B868" s="239"/>
      <c r="C868" s="239"/>
      <c r="D868" s="239"/>
      <c r="E868" s="239"/>
      <c r="F868" s="239"/>
      <c r="G868" s="255"/>
      <c r="H868" s="239"/>
      <c r="I868" s="239"/>
      <c r="J868" s="239"/>
      <c r="K868" s="255"/>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row>
    <row r="869">
      <c r="A869" s="239"/>
      <c r="B869" s="239"/>
      <c r="C869" s="239"/>
      <c r="D869" s="239"/>
      <c r="E869" s="239"/>
      <c r="F869" s="239"/>
      <c r="G869" s="255"/>
      <c r="H869" s="239"/>
      <c r="I869" s="239"/>
      <c r="J869" s="239"/>
      <c r="K869" s="255"/>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row>
    <row r="870">
      <c r="A870" s="239"/>
      <c r="B870" s="239"/>
      <c r="C870" s="239"/>
      <c r="D870" s="239"/>
      <c r="E870" s="239"/>
      <c r="F870" s="239"/>
      <c r="G870" s="255"/>
      <c r="H870" s="239"/>
      <c r="I870" s="239"/>
      <c r="J870" s="239"/>
      <c r="K870" s="255"/>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row>
    <row r="871">
      <c r="A871" s="239"/>
      <c r="B871" s="239"/>
      <c r="C871" s="239"/>
      <c r="D871" s="239"/>
      <c r="E871" s="239"/>
      <c r="F871" s="239"/>
      <c r="G871" s="255"/>
      <c r="H871" s="239"/>
      <c r="I871" s="239"/>
      <c r="J871" s="239"/>
      <c r="K871" s="255"/>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row>
    <row r="872">
      <c r="A872" s="239"/>
      <c r="B872" s="239"/>
      <c r="C872" s="239"/>
      <c r="D872" s="239"/>
      <c r="E872" s="239"/>
      <c r="F872" s="239"/>
      <c r="G872" s="255"/>
      <c r="H872" s="239"/>
      <c r="I872" s="239"/>
      <c r="J872" s="239"/>
      <c r="K872" s="255"/>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row>
    <row r="873">
      <c r="A873" s="239"/>
      <c r="B873" s="239"/>
      <c r="C873" s="239"/>
      <c r="D873" s="239"/>
      <c r="E873" s="239"/>
      <c r="F873" s="239"/>
      <c r="G873" s="255"/>
      <c r="H873" s="239"/>
      <c r="I873" s="239"/>
      <c r="J873" s="239"/>
      <c r="K873" s="255"/>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c r="BE873" s="239"/>
      <c r="BF873" s="239"/>
      <c r="BG873" s="239"/>
      <c r="BH873" s="239"/>
      <c r="BI873" s="239"/>
    </row>
    <row r="874">
      <c r="A874" s="239"/>
      <c r="B874" s="239"/>
      <c r="C874" s="239"/>
      <c r="D874" s="239"/>
      <c r="E874" s="239"/>
      <c r="F874" s="239"/>
      <c r="G874" s="255"/>
      <c r="H874" s="239"/>
      <c r="I874" s="239"/>
      <c r="J874" s="239"/>
      <c r="K874" s="255"/>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row>
    <row r="875">
      <c r="A875" s="239"/>
      <c r="B875" s="239"/>
      <c r="C875" s="239"/>
      <c r="D875" s="239"/>
      <c r="E875" s="239"/>
      <c r="F875" s="239"/>
      <c r="G875" s="255"/>
      <c r="H875" s="239"/>
      <c r="I875" s="239"/>
      <c r="J875" s="239"/>
      <c r="K875" s="255"/>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row>
    <row r="876">
      <c r="A876" s="239"/>
      <c r="B876" s="239"/>
      <c r="C876" s="239"/>
      <c r="D876" s="239"/>
      <c r="E876" s="239"/>
      <c r="F876" s="239"/>
      <c r="G876" s="255"/>
      <c r="H876" s="239"/>
      <c r="I876" s="239"/>
      <c r="J876" s="239"/>
      <c r="K876" s="255"/>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row>
    <row r="877">
      <c r="A877" s="239"/>
      <c r="B877" s="239"/>
      <c r="C877" s="239"/>
      <c r="D877" s="239"/>
      <c r="E877" s="239"/>
      <c r="F877" s="239"/>
      <c r="G877" s="255"/>
      <c r="H877" s="239"/>
      <c r="I877" s="239"/>
      <c r="J877" s="239"/>
      <c r="K877" s="255"/>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row>
    <row r="878">
      <c r="A878" s="239"/>
      <c r="B878" s="239"/>
      <c r="C878" s="239"/>
      <c r="D878" s="239"/>
      <c r="E878" s="239"/>
      <c r="F878" s="239"/>
      <c r="G878" s="255"/>
      <c r="H878" s="239"/>
      <c r="I878" s="239"/>
      <c r="J878" s="239"/>
      <c r="K878" s="255"/>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row>
    <row r="879">
      <c r="A879" s="239"/>
      <c r="B879" s="239"/>
      <c r="C879" s="239"/>
      <c r="D879" s="239"/>
      <c r="E879" s="239"/>
      <c r="F879" s="239"/>
      <c r="G879" s="255"/>
      <c r="H879" s="239"/>
      <c r="I879" s="239"/>
      <c r="J879" s="239"/>
      <c r="K879" s="255"/>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row>
    <row r="880">
      <c r="A880" s="239"/>
      <c r="B880" s="239"/>
      <c r="C880" s="239"/>
      <c r="D880" s="239"/>
      <c r="E880" s="239"/>
      <c r="F880" s="239"/>
      <c r="G880" s="255"/>
      <c r="H880" s="239"/>
      <c r="I880" s="239"/>
      <c r="J880" s="239"/>
      <c r="K880" s="255"/>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row>
    <row r="881">
      <c r="A881" s="239"/>
      <c r="B881" s="239"/>
      <c r="C881" s="239"/>
      <c r="D881" s="239"/>
      <c r="E881" s="239"/>
      <c r="F881" s="239"/>
      <c r="G881" s="255"/>
      <c r="H881" s="239"/>
      <c r="I881" s="239"/>
      <c r="J881" s="239"/>
      <c r="K881" s="255"/>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row>
    <row r="882">
      <c r="A882" s="239"/>
      <c r="B882" s="239"/>
      <c r="C882" s="239"/>
      <c r="D882" s="239"/>
      <c r="E882" s="239"/>
      <c r="F882" s="239"/>
      <c r="G882" s="255"/>
      <c r="H882" s="239"/>
      <c r="I882" s="239"/>
      <c r="J882" s="239"/>
      <c r="K882" s="255"/>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row>
    <row r="883">
      <c r="A883" s="239"/>
      <c r="B883" s="239"/>
      <c r="C883" s="239"/>
      <c r="D883" s="239"/>
      <c r="E883" s="239"/>
      <c r="F883" s="239"/>
      <c r="G883" s="255"/>
      <c r="H883" s="239"/>
      <c r="I883" s="239"/>
      <c r="J883" s="239"/>
      <c r="K883" s="255"/>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row>
    <row r="884">
      <c r="A884" s="239"/>
      <c r="B884" s="239"/>
      <c r="C884" s="239"/>
      <c r="D884" s="239"/>
      <c r="E884" s="239"/>
      <c r="F884" s="239"/>
      <c r="G884" s="255"/>
      <c r="H884" s="239"/>
      <c r="I884" s="239"/>
      <c r="J884" s="239"/>
      <c r="K884" s="255"/>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row>
    <row r="885">
      <c r="A885" s="239"/>
      <c r="B885" s="239"/>
      <c r="C885" s="239"/>
      <c r="D885" s="239"/>
      <c r="E885" s="239"/>
      <c r="F885" s="239"/>
      <c r="G885" s="255"/>
      <c r="H885" s="239"/>
      <c r="I885" s="239"/>
      <c r="J885" s="239"/>
      <c r="K885" s="255"/>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row>
    <row r="886">
      <c r="A886" s="239"/>
      <c r="B886" s="239"/>
      <c r="C886" s="239"/>
      <c r="D886" s="239"/>
      <c r="E886" s="239"/>
      <c r="F886" s="239"/>
      <c r="G886" s="255"/>
      <c r="H886" s="239"/>
      <c r="I886" s="239"/>
      <c r="J886" s="239"/>
      <c r="K886" s="255"/>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c r="BE886" s="239"/>
      <c r="BF886" s="239"/>
      <c r="BG886" s="239"/>
      <c r="BH886" s="239"/>
      <c r="BI886" s="239"/>
    </row>
    <row r="887">
      <c r="A887" s="239"/>
      <c r="B887" s="239"/>
      <c r="C887" s="239"/>
      <c r="D887" s="239"/>
      <c r="E887" s="239"/>
      <c r="F887" s="239"/>
      <c r="G887" s="255"/>
      <c r="H887" s="239"/>
      <c r="I887" s="239"/>
      <c r="J887" s="239"/>
      <c r="K887" s="255"/>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row>
    <row r="888">
      <c r="A888" s="239"/>
      <c r="B888" s="239"/>
      <c r="C888" s="239"/>
      <c r="D888" s="239"/>
      <c r="E888" s="239"/>
      <c r="F888" s="239"/>
      <c r="G888" s="255"/>
      <c r="H888" s="239"/>
      <c r="I888" s="239"/>
      <c r="J888" s="239"/>
      <c r="K888" s="255"/>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row>
    <row r="889">
      <c r="A889" s="239"/>
      <c r="B889" s="239"/>
      <c r="C889" s="239"/>
      <c r="D889" s="239"/>
      <c r="E889" s="239"/>
      <c r="F889" s="239"/>
      <c r="G889" s="255"/>
      <c r="H889" s="239"/>
      <c r="I889" s="239"/>
      <c r="J889" s="239"/>
      <c r="K889" s="255"/>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row>
    <row r="890">
      <c r="A890" s="239"/>
      <c r="B890" s="239"/>
      <c r="C890" s="239"/>
      <c r="D890" s="239"/>
      <c r="E890" s="239"/>
      <c r="F890" s="239"/>
      <c r="G890" s="255"/>
      <c r="H890" s="239"/>
      <c r="I890" s="239"/>
      <c r="J890" s="239"/>
      <c r="K890" s="255"/>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row>
    <row r="891">
      <c r="A891" s="239"/>
      <c r="B891" s="239"/>
      <c r="C891" s="239"/>
      <c r="D891" s="239"/>
      <c r="E891" s="239"/>
      <c r="F891" s="239"/>
      <c r="G891" s="255"/>
      <c r="H891" s="239"/>
      <c r="I891" s="239"/>
      <c r="J891" s="239"/>
      <c r="K891" s="255"/>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row>
    <row r="892">
      <c r="A892" s="239"/>
      <c r="B892" s="239"/>
      <c r="C892" s="239"/>
      <c r="D892" s="239"/>
      <c r="E892" s="239"/>
      <c r="F892" s="239"/>
      <c r="G892" s="255"/>
      <c r="H892" s="239"/>
      <c r="I892" s="239"/>
      <c r="J892" s="239"/>
      <c r="K892" s="255"/>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row>
    <row r="893">
      <c r="A893" s="239"/>
      <c r="B893" s="239"/>
      <c r="C893" s="239"/>
      <c r="D893" s="239"/>
      <c r="E893" s="239"/>
      <c r="F893" s="239"/>
      <c r="G893" s="255"/>
      <c r="H893" s="239"/>
      <c r="I893" s="239"/>
      <c r="J893" s="239"/>
      <c r="K893" s="255"/>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row>
    <row r="894">
      <c r="A894" s="239"/>
      <c r="B894" s="239"/>
      <c r="C894" s="239"/>
      <c r="D894" s="239"/>
      <c r="E894" s="239"/>
      <c r="F894" s="239"/>
      <c r="G894" s="255"/>
      <c r="H894" s="239"/>
      <c r="I894" s="239"/>
      <c r="J894" s="239"/>
      <c r="K894" s="255"/>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row>
    <row r="895">
      <c r="A895" s="239"/>
      <c r="B895" s="239"/>
      <c r="C895" s="239"/>
      <c r="D895" s="239"/>
      <c r="E895" s="239"/>
      <c r="F895" s="239"/>
      <c r="G895" s="255"/>
      <c r="H895" s="239"/>
      <c r="I895" s="239"/>
      <c r="J895" s="239"/>
      <c r="K895" s="255"/>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row>
    <row r="896">
      <c r="A896" s="239"/>
      <c r="B896" s="239"/>
      <c r="C896" s="239"/>
      <c r="D896" s="239"/>
      <c r="E896" s="239"/>
      <c r="F896" s="239"/>
      <c r="G896" s="255"/>
      <c r="H896" s="239"/>
      <c r="I896" s="239"/>
      <c r="J896" s="239"/>
      <c r="K896" s="255"/>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row>
    <row r="897">
      <c r="A897" s="239"/>
      <c r="B897" s="239"/>
      <c r="C897" s="239"/>
      <c r="D897" s="239"/>
      <c r="E897" s="239"/>
      <c r="F897" s="239"/>
      <c r="G897" s="255"/>
      <c r="H897" s="239"/>
      <c r="I897" s="239"/>
      <c r="J897" s="239"/>
      <c r="K897" s="255"/>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row>
    <row r="898">
      <c r="A898" s="239"/>
      <c r="B898" s="239"/>
      <c r="C898" s="239"/>
      <c r="D898" s="239"/>
      <c r="E898" s="239"/>
      <c r="F898" s="239"/>
      <c r="G898" s="255"/>
      <c r="H898" s="239"/>
      <c r="I898" s="239"/>
      <c r="J898" s="239"/>
      <c r="K898" s="255"/>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row>
    <row r="899">
      <c r="A899" s="239"/>
      <c r="B899" s="239"/>
      <c r="C899" s="239"/>
      <c r="D899" s="239"/>
      <c r="E899" s="239"/>
      <c r="F899" s="239"/>
      <c r="G899" s="255"/>
      <c r="H899" s="239"/>
      <c r="I899" s="239"/>
      <c r="J899" s="239"/>
      <c r="K899" s="255"/>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c r="BD899" s="239"/>
      <c r="BE899" s="239"/>
      <c r="BF899" s="239"/>
      <c r="BG899" s="239"/>
      <c r="BH899" s="239"/>
      <c r="BI899" s="239"/>
    </row>
    <row r="900">
      <c r="A900" s="239"/>
      <c r="B900" s="239"/>
      <c r="C900" s="239"/>
      <c r="D900" s="239"/>
      <c r="E900" s="239"/>
      <c r="F900" s="239"/>
      <c r="G900" s="255"/>
      <c r="H900" s="239"/>
      <c r="I900" s="239"/>
      <c r="J900" s="239"/>
      <c r="K900" s="255"/>
      <c r="L900" s="239"/>
      <c r="M900" s="239"/>
      <c r="N900" s="239"/>
      <c r="O900" s="239"/>
      <c r="P900" s="239"/>
      <c r="Q900" s="239"/>
      <c r="R900" s="239"/>
      <c r="S900" s="239"/>
      <c r="T900" s="239"/>
      <c r="U900" s="239"/>
      <c r="V900" s="239"/>
      <c r="W900" s="239"/>
      <c r="X900" s="239"/>
      <c r="Y900" s="239"/>
      <c r="Z900" s="239"/>
      <c r="AA900" s="239"/>
      <c r="AB900" s="239"/>
      <c r="AC900" s="239"/>
      <c r="AD900" s="239"/>
      <c r="AE900" s="239"/>
      <c r="AF900" s="239"/>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c r="BD900" s="239"/>
      <c r="BE900" s="239"/>
      <c r="BF900" s="239"/>
      <c r="BG900" s="239"/>
      <c r="BH900" s="239"/>
      <c r="BI900" s="239"/>
    </row>
    <row r="901">
      <c r="A901" s="239"/>
      <c r="B901" s="239"/>
      <c r="C901" s="239"/>
      <c r="D901" s="239"/>
      <c r="E901" s="239"/>
      <c r="F901" s="239"/>
      <c r="G901" s="255"/>
      <c r="H901" s="239"/>
      <c r="I901" s="239"/>
      <c r="J901" s="239"/>
      <c r="K901" s="255"/>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c r="BD901" s="239"/>
      <c r="BE901" s="239"/>
      <c r="BF901" s="239"/>
      <c r="BG901" s="239"/>
      <c r="BH901" s="239"/>
      <c r="BI901" s="239"/>
    </row>
    <row r="902">
      <c r="A902" s="239"/>
      <c r="B902" s="239"/>
      <c r="C902" s="239"/>
      <c r="D902" s="239"/>
      <c r="E902" s="239"/>
      <c r="F902" s="239"/>
      <c r="G902" s="255"/>
      <c r="H902" s="239"/>
      <c r="I902" s="239"/>
      <c r="J902" s="239"/>
      <c r="K902" s="255"/>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c r="BD902" s="239"/>
      <c r="BE902" s="239"/>
      <c r="BF902" s="239"/>
      <c r="BG902" s="239"/>
      <c r="BH902" s="239"/>
      <c r="BI902" s="239"/>
    </row>
    <row r="903">
      <c r="A903" s="239"/>
      <c r="B903" s="239"/>
      <c r="C903" s="239"/>
      <c r="D903" s="239"/>
      <c r="E903" s="239"/>
      <c r="F903" s="239"/>
      <c r="G903" s="255"/>
      <c r="H903" s="239"/>
      <c r="I903" s="239"/>
      <c r="J903" s="239"/>
      <c r="K903" s="255"/>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c r="BD903" s="239"/>
      <c r="BE903" s="239"/>
      <c r="BF903" s="239"/>
      <c r="BG903" s="239"/>
      <c r="BH903" s="239"/>
      <c r="BI903" s="239"/>
    </row>
    <row r="904">
      <c r="A904" s="239"/>
      <c r="B904" s="239"/>
      <c r="C904" s="239"/>
      <c r="D904" s="239"/>
      <c r="E904" s="239"/>
      <c r="F904" s="239"/>
      <c r="G904" s="255"/>
      <c r="H904" s="239"/>
      <c r="I904" s="239"/>
      <c r="J904" s="239"/>
      <c r="K904" s="255"/>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c r="BD904" s="239"/>
      <c r="BE904" s="239"/>
      <c r="BF904" s="239"/>
      <c r="BG904" s="239"/>
      <c r="BH904" s="239"/>
      <c r="BI904" s="239"/>
    </row>
    <row r="905">
      <c r="A905" s="239"/>
      <c r="B905" s="239"/>
      <c r="C905" s="239"/>
      <c r="D905" s="239"/>
      <c r="E905" s="239"/>
      <c r="F905" s="239"/>
      <c r="G905" s="255"/>
      <c r="H905" s="239"/>
      <c r="I905" s="239"/>
      <c r="J905" s="239"/>
      <c r="K905" s="255"/>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c r="BD905" s="239"/>
      <c r="BE905" s="239"/>
      <c r="BF905" s="239"/>
      <c r="BG905" s="239"/>
      <c r="BH905" s="239"/>
      <c r="BI905" s="239"/>
    </row>
    <row r="906">
      <c r="A906" s="239"/>
      <c r="B906" s="239"/>
      <c r="C906" s="239"/>
      <c r="D906" s="239"/>
      <c r="E906" s="239"/>
      <c r="F906" s="239"/>
      <c r="G906" s="255"/>
      <c r="H906" s="239"/>
      <c r="I906" s="239"/>
      <c r="J906" s="239"/>
      <c r="K906" s="255"/>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c r="BD906" s="239"/>
      <c r="BE906" s="239"/>
      <c r="BF906" s="239"/>
      <c r="BG906" s="239"/>
      <c r="BH906" s="239"/>
      <c r="BI906" s="239"/>
    </row>
    <row r="907">
      <c r="A907" s="239"/>
      <c r="B907" s="239"/>
      <c r="C907" s="239"/>
      <c r="D907" s="239"/>
      <c r="E907" s="239"/>
      <c r="F907" s="239"/>
      <c r="G907" s="255"/>
      <c r="H907" s="239"/>
      <c r="I907" s="239"/>
      <c r="J907" s="239"/>
      <c r="K907" s="255"/>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c r="BD907" s="239"/>
      <c r="BE907" s="239"/>
      <c r="BF907" s="239"/>
      <c r="BG907" s="239"/>
      <c r="BH907" s="239"/>
      <c r="BI907" s="239"/>
    </row>
    <row r="908">
      <c r="A908" s="239"/>
      <c r="B908" s="239"/>
      <c r="C908" s="239"/>
      <c r="D908" s="239"/>
      <c r="E908" s="239"/>
      <c r="F908" s="239"/>
      <c r="G908" s="255"/>
      <c r="H908" s="239"/>
      <c r="I908" s="239"/>
      <c r="J908" s="239"/>
      <c r="K908" s="255"/>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c r="BD908" s="239"/>
      <c r="BE908" s="239"/>
      <c r="BF908" s="239"/>
      <c r="BG908" s="239"/>
      <c r="BH908" s="239"/>
      <c r="BI908" s="239"/>
    </row>
    <row r="909">
      <c r="A909" s="239"/>
      <c r="B909" s="239"/>
      <c r="C909" s="239"/>
      <c r="D909" s="239"/>
      <c r="E909" s="239"/>
      <c r="F909" s="239"/>
      <c r="G909" s="255"/>
      <c r="H909" s="239"/>
      <c r="I909" s="239"/>
      <c r="J909" s="239"/>
      <c r="K909" s="255"/>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c r="BD909" s="239"/>
      <c r="BE909" s="239"/>
      <c r="BF909" s="239"/>
      <c r="BG909" s="239"/>
      <c r="BH909" s="239"/>
      <c r="BI909" s="239"/>
    </row>
    <row r="910">
      <c r="A910" s="239"/>
      <c r="B910" s="239"/>
      <c r="C910" s="239"/>
      <c r="D910" s="239"/>
      <c r="E910" s="239"/>
      <c r="F910" s="239"/>
      <c r="G910" s="255"/>
      <c r="H910" s="239"/>
      <c r="I910" s="239"/>
      <c r="J910" s="239"/>
      <c r="K910" s="255"/>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c r="BD910" s="239"/>
      <c r="BE910" s="239"/>
      <c r="BF910" s="239"/>
      <c r="BG910" s="239"/>
      <c r="BH910" s="239"/>
      <c r="BI910" s="239"/>
    </row>
    <row r="911">
      <c r="A911" s="239"/>
      <c r="B911" s="239"/>
      <c r="C911" s="239"/>
      <c r="D911" s="239"/>
      <c r="E911" s="239"/>
      <c r="F911" s="239"/>
      <c r="G911" s="255"/>
      <c r="H911" s="239"/>
      <c r="I911" s="239"/>
      <c r="J911" s="239"/>
      <c r="K911" s="255"/>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c r="BD911" s="239"/>
      <c r="BE911" s="239"/>
      <c r="BF911" s="239"/>
      <c r="BG911" s="239"/>
      <c r="BH911" s="239"/>
      <c r="BI911" s="239"/>
    </row>
    <row r="912">
      <c r="A912" s="239"/>
      <c r="B912" s="239"/>
      <c r="C912" s="239"/>
      <c r="D912" s="239"/>
      <c r="E912" s="239"/>
      <c r="F912" s="239"/>
      <c r="G912" s="255"/>
      <c r="H912" s="239"/>
      <c r="I912" s="239"/>
      <c r="J912" s="239"/>
      <c r="K912" s="255"/>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c r="BD912" s="239"/>
      <c r="BE912" s="239"/>
      <c r="BF912" s="239"/>
      <c r="BG912" s="239"/>
      <c r="BH912" s="239"/>
      <c r="BI912" s="239"/>
    </row>
    <row r="913">
      <c r="A913" s="239"/>
      <c r="B913" s="239"/>
      <c r="C913" s="239"/>
      <c r="D913" s="239"/>
      <c r="E913" s="239"/>
      <c r="F913" s="239"/>
      <c r="G913" s="255"/>
      <c r="H913" s="239"/>
      <c r="I913" s="239"/>
      <c r="J913" s="239"/>
      <c r="K913" s="255"/>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c r="BD913" s="239"/>
      <c r="BE913" s="239"/>
      <c r="BF913" s="239"/>
      <c r="BG913" s="239"/>
      <c r="BH913" s="239"/>
      <c r="BI913" s="239"/>
    </row>
    <row r="914">
      <c r="A914" s="239"/>
      <c r="B914" s="239"/>
      <c r="C914" s="239"/>
      <c r="D914" s="239"/>
      <c r="E914" s="239"/>
      <c r="F914" s="239"/>
      <c r="G914" s="255"/>
      <c r="H914" s="239"/>
      <c r="I914" s="239"/>
      <c r="J914" s="239"/>
      <c r="K914" s="255"/>
      <c r="L914" s="239"/>
      <c r="M914" s="239"/>
      <c r="N914" s="239"/>
      <c r="O914" s="239"/>
      <c r="P914" s="239"/>
      <c r="Q914" s="239"/>
      <c r="R914" s="239"/>
      <c r="S914" s="239"/>
      <c r="T914" s="239"/>
      <c r="U914" s="239"/>
      <c r="V914" s="239"/>
      <c r="W914" s="239"/>
      <c r="X914" s="239"/>
      <c r="Y914" s="239"/>
      <c r="Z914" s="239"/>
      <c r="AA914" s="239"/>
      <c r="AB914" s="239"/>
      <c r="AC914" s="239"/>
      <c r="AD914" s="239"/>
      <c r="AE914" s="239"/>
      <c r="AF914" s="239"/>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c r="BD914" s="239"/>
      <c r="BE914" s="239"/>
      <c r="BF914" s="239"/>
      <c r="BG914" s="239"/>
      <c r="BH914" s="239"/>
      <c r="BI914" s="239"/>
    </row>
    <row r="915">
      <c r="A915" s="239"/>
      <c r="B915" s="239"/>
      <c r="C915" s="239"/>
      <c r="D915" s="239"/>
      <c r="E915" s="239"/>
      <c r="F915" s="239"/>
      <c r="G915" s="255"/>
      <c r="H915" s="239"/>
      <c r="I915" s="239"/>
      <c r="J915" s="239"/>
      <c r="K915" s="255"/>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c r="BD915" s="239"/>
      <c r="BE915" s="239"/>
      <c r="BF915" s="239"/>
      <c r="BG915" s="239"/>
      <c r="BH915" s="239"/>
      <c r="BI915" s="239"/>
    </row>
    <row r="916">
      <c r="A916" s="239"/>
      <c r="B916" s="239"/>
      <c r="C916" s="239"/>
      <c r="D916" s="239"/>
      <c r="E916" s="239"/>
      <c r="F916" s="239"/>
      <c r="G916" s="255"/>
      <c r="H916" s="239"/>
      <c r="I916" s="239"/>
      <c r="J916" s="239"/>
      <c r="K916" s="255"/>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c r="BD916" s="239"/>
      <c r="BE916" s="239"/>
      <c r="BF916" s="239"/>
      <c r="BG916" s="239"/>
      <c r="BH916" s="239"/>
      <c r="BI916" s="239"/>
    </row>
    <row r="917">
      <c r="A917" s="239"/>
      <c r="B917" s="239"/>
      <c r="C917" s="239"/>
      <c r="D917" s="239"/>
      <c r="E917" s="239"/>
      <c r="F917" s="239"/>
      <c r="G917" s="255"/>
      <c r="H917" s="239"/>
      <c r="I917" s="239"/>
      <c r="J917" s="239"/>
      <c r="K917" s="255"/>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c r="BD917" s="239"/>
      <c r="BE917" s="239"/>
      <c r="BF917" s="239"/>
      <c r="BG917" s="239"/>
      <c r="BH917" s="239"/>
      <c r="BI917" s="239"/>
    </row>
    <row r="918">
      <c r="A918" s="239"/>
      <c r="B918" s="239"/>
      <c r="C918" s="239"/>
      <c r="D918" s="239"/>
      <c r="E918" s="239"/>
      <c r="F918" s="239"/>
      <c r="G918" s="255"/>
      <c r="H918" s="239"/>
      <c r="I918" s="239"/>
      <c r="J918" s="239"/>
      <c r="K918" s="255"/>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c r="BD918" s="239"/>
      <c r="BE918" s="239"/>
      <c r="BF918" s="239"/>
      <c r="BG918" s="239"/>
      <c r="BH918" s="239"/>
      <c r="BI918" s="239"/>
    </row>
    <row r="919">
      <c r="A919" s="239"/>
      <c r="B919" s="239"/>
      <c r="C919" s="239"/>
      <c r="D919" s="239"/>
      <c r="E919" s="239"/>
      <c r="F919" s="239"/>
      <c r="G919" s="255"/>
      <c r="H919" s="239"/>
      <c r="I919" s="239"/>
      <c r="J919" s="239"/>
      <c r="K919" s="255"/>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c r="BD919" s="239"/>
      <c r="BE919" s="239"/>
      <c r="BF919" s="239"/>
      <c r="BG919" s="239"/>
      <c r="BH919" s="239"/>
      <c r="BI919" s="239"/>
    </row>
    <row r="920">
      <c r="A920" s="239"/>
      <c r="B920" s="239"/>
      <c r="C920" s="239"/>
      <c r="D920" s="239"/>
      <c r="E920" s="239"/>
      <c r="F920" s="239"/>
      <c r="G920" s="255"/>
      <c r="H920" s="239"/>
      <c r="I920" s="239"/>
      <c r="J920" s="239"/>
      <c r="K920" s="255"/>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c r="BD920" s="239"/>
      <c r="BE920" s="239"/>
      <c r="BF920" s="239"/>
      <c r="BG920" s="239"/>
      <c r="BH920" s="239"/>
      <c r="BI920" s="239"/>
    </row>
    <row r="921">
      <c r="A921" s="239"/>
      <c r="B921" s="239"/>
      <c r="C921" s="239"/>
      <c r="D921" s="239"/>
      <c r="E921" s="239"/>
      <c r="F921" s="239"/>
      <c r="G921" s="255"/>
      <c r="H921" s="239"/>
      <c r="I921" s="239"/>
      <c r="J921" s="239"/>
      <c r="K921" s="255"/>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c r="BD921" s="239"/>
      <c r="BE921" s="239"/>
      <c r="BF921" s="239"/>
      <c r="BG921" s="239"/>
      <c r="BH921" s="239"/>
      <c r="BI921" s="239"/>
    </row>
    <row r="922">
      <c r="A922" s="239"/>
      <c r="B922" s="239"/>
      <c r="C922" s="239"/>
      <c r="D922" s="239"/>
      <c r="E922" s="239"/>
      <c r="F922" s="239"/>
      <c r="G922" s="255"/>
      <c r="H922" s="239"/>
      <c r="I922" s="239"/>
      <c r="J922" s="239"/>
      <c r="K922" s="255"/>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c r="BD922" s="239"/>
      <c r="BE922" s="239"/>
      <c r="BF922" s="239"/>
      <c r="BG922" s="239"/>
      <c r="BH922" s="239"/>
      <c r="BI922" s="239"/>
    </row>
    <row r="923">
      <c r="A923" s="239"/>
      <c r="B923" s="239"/>
      <c r="C923" s="239"/>
      <c r="D923" s="239"/>
      <c r="E923" s="239"/>
      <c r="F923" s="239"/>
      <c r="G923" s="255"/>
      <c r="H923" s="239"/>
      <c r="I923" s="239"/>
      <c r="J923" s="239"/>
      <c r="K923" s="255"/>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c r="BD923" s="239"/>
      <c r="BE923" s="239"/>
      <c r="BF923" s="239"/>
      <c r="BG923" s="239"/>
      <c r="BH923" s="239"/>
      <c r="BI923" s="239"/>
    </row>
    <row r="924">
      <c r="A924" s="239"/>
      <c r="B924" s="239"/>
      <c r="C924" s="239"/>
      <c r="D924" s="239"/>
      <c r="E924" s="239"/>
      <c r="F924" s="239"/>
      <c r="G924" s="255"/>
      <c r="H924" s="239"/>
      <c r="I924" s="239"/>
      <c r="J924" s="239"/>
      <c r="K924" s="255"/>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c r="BD924" s="239"/>
      <c r="BE924" s="239"/>
      <c r="BF924" s="239"/>
      <c r="BG924" s="239"/>
      <c r="BH924" s="239"/>
      <c r="BI924" s="239"/>
    </row>
    <row r="925">
      <c r="A925" s="239"/>
      <c r="B925" s="239"/>
      <c r="C925" s="239"/>
      <c r="D925" s="239"/>
      <c r="E925" s="239"/>
      <c r="F925" s="239"/>
      <c r="G925" s="255"/>
      <c r="H925" s="239"/>
      <c r="I925" s="239"/>
      <c r="J925" s="239"/>
      <c r="K925" s="255"/>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c r="BD925" s="239"/>
      <c r="BE925" s="239"/>
      <c r="BF925" s="239"/>
      <c r="BG925" s="239"/>
      <c r="BH925" s="239"/>
      <c r="BI925" s="239"/>
    </row>
    <row r="926">
      <c r="A926" s="239"/>
      <c r="B926" s="239"/>
      <c r="C926" s="239"/>
      <c r="D926" s="239"/>
      <c r="E926" s="239"/>
      <c r="F926" s="239"/>
      <c r="G926" s="255"/>
      <c r="H926" s="239"/>
      <c r="I926" s="239"/>
      <c r="J926" s="239"/>
      <c r="K926" s="255"/>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c r="BD926" s="239"/>
      <c r="BE926" s="239"/>
      <c r="BF926" s="239"/>
      <c r="BG926" s="239"/>
      <c r="BH926" s="239"/>
      <c r="BI926" s="239"/>
    </row>
    <row r="927">
      <c r="A927" s="239"/>
      <c r="B927" s="239"/>
      <c r="C927" s="239"/>
      <c r="D927" s="239"/>
      <c r="E927" s="239"/>
      <c r="F927" s="239"/>
      <c r="G927" s="255"/>
      <c r="H927" s="239"/>
      <c r="I927" s="239"/>
      <c r="J927" s="239"/>
      <c r="K927" s="255"/>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c r="BD927" s="239"/>
      <c r="BE927" s="239"/>
      <c r="BF927" s="239"/>
      <c r="BG927" s="239"/>
      <c r="BH927" s="239"/>
      <c r="BI927" s="239"/>
    </row>
    <row r="928">
      <c r="A928" s="239"/>
      <c r="B928" s="239"/>
      <c r="C928" s="239"/>
      <c r="D928" s="239"/>
      <c r="E928" s="239"/>
      <c r="F928" s="239"/>
      <c r="G928" s="255"/>
      <c r="H928" s="239"/>
      <c r="I928" s="239"/>
      <c r="J928" s="239"/>
      <c r="K928" s="255"/>
      <c r="L928" s="239"/>
      <c r="M928" s="239"/>
      <c r="N928" s="239"/>
      <c r="O928" s="239"/>
      <c r="P928" s="239"/>
      <c r="Q928" s="239"/>
      <c r="R928" s="239"/>
      <c r="S928" s="239"/>
      <c r="T928" s="239"/>
      <c r="U928" s="239"/>
      <c r="V928" s="239"/>
      <c r="W928" s="239"/>
      <c r="X928" s="239"/>
      <c r="Y928" s="239"/>
      <c r="Z928" s="239"/>
      <c r="AA928" s="239"/>
      <c r="AB928" s="239"/>
      <c r="AC928" s="239"/>
      <c r="AD928" s="239"/>
      <c r="AE928" s="239"/>
      <c r="AF928" s="239"/>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c r="BD928" s="239"/>
      <c r="BE928" s="239"/>
      <c r="BF928" s="239"/>
      <c r="BG928" s="239"/>
      <c r="BH928" s="239"/>
      <c r="BI928" s="239"/>
    </row>
    <row r="929">
      <c r="A929" s="239"/>
      <c r="B929" s="239"/>
      <c r="C929" s="239"/>
      <c r="D929" s="239"/>
      <c r="E929" s="239"/>
      <c r="F929" s="239"/>
      <c r="G929" s="255"/>
      <c r="H929" s="239"/>
      <c r="I929" s="239"/>
      <c r="J929" s="239"/>
      <c r="K929" s="255"/>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c r="BD929" s="239"/>
      <c r="BE929" s="239"/>
      <c r="BF929" s="239"/>
      <c r="BG929" s="239"/>
      <c r="BH929" s="239"/>
      <c r="BI929" s="239"/>
    </row>
    <row r="930">
      <c r="A930" s="239"/>
      <c r="B930" s="239"/>
      <c r="C930" s="239"/>
      <c r="D930" s="239"/>
      <c r="E930" s="239"/>
      <c r="F930" s="239"/>
      <c r="G930" s="255"/>
      <c r="H930" s="239"/>
      <c r="I930" s="239"/>
      <c r="J930" s="239"/>
      <c r="K930" s="255"/>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c r="BD930" s="239"/>
      <c r="BE930" s="239"/>
      <c r="BF930" s="239"/>
      <c r="BG930" s="239"/>
      <c r="BH930" s="239"/>
      <c r="BI930" s="239"/>
    </row>
    <row r="931">
      <c r="A931" s="239"/>
      <c r="B931" s="239"/>
      <c r="C931" s="239"/>
      <c r="D931" s="239"/>
      <c r="E931" s="239"/>
      <c r="F931" s="239"/>
      <c r="G931" s="255"/>
      <c r="H931" s="239"/>
      <c r="I931" s="239"/>
      <c r="J931" s="239"/>
      <c r="K931" s="255"/>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c r="BD931" s="239"/>
      <c r="BE931" s="239"/>
      <c r="BF931" s="239"/>
      <c r="BG931" s="239"/>
      <c r="BH931" s="239"/>
      <c r="BI931" s="239"/>
    </row>
    <row r="932">
      <c r="A932" s="239"/>
      <c r="B932" s="239"/>
      <c r="C932" s="239"/>
      <c r="D932" s="239"/>
      <c r="E932" s="239"/>
      <c r="F932" s="239"/>
      <c r="G932" s="255"/>
      <c r="H932" s="239"/>
      <c r="I932" s="239"/>
      <c r="J932" s="239"/>
      <c r="K932" s="255"/>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c r="BD932" s="239"/>
      <c r="BE932" s="239"/>
      <c r="BF932" s="239"/>
      <c r="BG932" s="239"/>
      <c r="BH932" s="239"/>
      <c r="BI932" s="239"/>
    </row>
    <row r="933">
      <c r="A933" s="239"/>
      <c r="B933" s="239"/>
      <c r="C933" s="239"/>
      <c r="D933" s="239"/>
      <c r="E933" s="239"/>
      <c r="F933" s="239"/>
      <c r="G933" s="255"/>
      <c r="H933" s="239"/>
      <c r="I933" s="239"/>
      <c r="J933" s="239"/>
      <c r="K933" s="255"/>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c r="BD933" s="239"/>
      <c r="BE933" s="239"/>
      <c r="BF933" s="239"/>
      <c r="BG933" s="239"/>
      <c r="BH933" s="239"/>
      <c r="BI933" s="239"/>
    </row>
    <row r="934">
      <c r="A934" s="239"/>
      <c r="B934" s="239"/>
      <c r="C934" s="239"/>
      <c r="D934" s="239"/>
      <c r="E934" s="239"/>
      <c r="F934" s="239"/>
      <c r="G934" s="255"/>
      <c r="H934" s="239"/>
      <c r="I934" s="239"/>
      <c r="J934" s="239"/>
      <c r="K934" s="255"/>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c r="BD934" s="239"/>
      <c r="BE934" s="239"/>
      <c r="BF934" s="239"/>
      <c r="BG934" s="239"/>
      <c r="BH934" s="239"/>
      <c r="BI934" s="239"/>
    </row>
    <row r="935">
      <c r="A935" s="239"/>
      <c r="B935" s="239"/>
      <c r="C935" s="239"/>
      <c r="D935" s="239"/>
      <c r="E935" s="239"/>
      <c r="F935" s="239"/>
      <c r="G935" s="255"/>
      <c r="H935" s="239"/>
      <c r="I935" s="239"/>
      <c r="J935" s="239"/>
      <c r="K935" s="255"/>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c r="BD935" s="239"/>
      <c r="BE935" s="239"/>
      <c r="BF935" s="239"/>
      <c r="BG935" s="239"/>
      <c r="BH935" s="239"/>
      <c r="BI935" s="239"/>
    </row>
    <row r="936">
      <c r="A936" s="239"/>
      <c r="B936" s="239"/>
      <c r="C936" s="239"/>
      <c r="D936" s="239"/>
      <c r="E936" s="239"/>
      <c r="F936" s="239"/>
      <c r="G936" s="255"/>
      <c r="H936" s="239"/>
      <c r="I936" s="239"/>
      <c r="J936" s="239"/>
      <c r="K936" s="255"/>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c r="BD936" s="239"/>
      <c r="BE936" s="239"/>
      <c r="BF936" s="239"/>
      <c r="BG936" s="239"/>
      <c r="BH936" s="239"/>
      <c r="BI936" s="239"/>
    </row>
    <row r="937">
      <c r="A937" s="239"/>
      <c r="B937" s="239"/>
      <c r="C937" s="239"/>
      <c r="D937" s="239"/>
      <c r="E937" s="239"/>
      <c r="F937" s="239"/>
      <c r="G937" s="255"/>
      <c r="H937" s="239"/>
      <c r="I937" s="239"/>
      <c r="J937" s="239"/>
      <c r="K937" s="255"/>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c r="BD937" s="239"/>
      <c r="BE937" s="239"/>
      <c r="BF937" s="239"/>
      <c r="BG937" s="239"/>
      <c r="BH937" s="239"/>
      <c r="BI937" s="239"/>
    </row>
    <row r="938">
      <c r="A938" s="239"/>
      <c r="B938" s="239"/>
      <c r="C938" s="239"/>
      <c r="D938" s="239"/>
      <c r="E938" s="239"/>
      <c r="F938" s="239"/>
      <c r="G938" s="255"/>
      <c r="H938" s="239"/>
      <c r="I938" s="239"/>
      <c r="J938" s="239"/>
      <c r="K938" s="255"/>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c r="BD938" s="239"/>
      <c r="BE938" s="239"/>
      <c r="BF938" s="239"/>
      <c r="BG938" s="239"/>
      <c r="BH938" s="239"/>
      <c r="BI938" s="239"/>
    </row>
    <row r="939">
      <c r="A939" s="239"/>
      <c r="B939" s="239"/>
      <c r="C939" s="239"/>
      <c r="D939" s="239"/>
      <c r="E939" s="239"/>
      <c r="F939" s="239"/>
      <c r="G939" s="255"/>
      <c r="H939" s="239"/>
      <c r="I939" s="239"/>
      <c r="J939" s="239"/>
      <c r="K939" s="255"/>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c r="BD939" s="239"/>
      <c r="BE939" s="239"/>
      <c r="BF939" s="239"/>
      <c r="BG939" s="239"/>
      <c r="BH939" s="239"/>
      <c r="BI939" s="239"/>
    </row>
    <row r="940">
      <c r="A940" s="239"/>
      <c r="B940" s="239"/>
      <c r="C940" s="239"/>
      <c r="D940" s="239"/>
      <c r="E940" s="239"/>
      <c r="F940" s="239"/>
      <c r="G940" s="255"/>
      <c r="H940" s="239"/>
      <c r="I940" s="239"/>
      <c r="J940" s="239"/>
      <c r="K940" s="255"/>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c r="BD940" s="239"/>
      <c r="BE940" s="239"/>
      <c r="BF940" s="239"/>
      <c r="BG940" s="239"/>
      <c r="BH940" s="239"/>
      <c r="BI940" s="239"/>
    </row>
    <row r="941">
      <c r="A941" s="239"/>
      <c r="B941" s="239"/>
      <c r="C941" s="239"/>
      <c r="D941" s="239"/>
      <c r="E941" s="239"/>
      <c r="F941" s="239"/>
      <c r="G941" s="255"/>
      <c r="H941" s="239"/>
      <c r="I941" s="239"/>
      <c r="J941" s="239"/>
      <c r="K941" s="255"/>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c r="BD941" s="239"/>
      <c r="BE941" s="239"/>
      <c r="BF941" s="239"/>
      <c r="BG941" s="239"/>
      <c r="BH941" s="239"/>
      <c r="BI941" s="239"/>
    </row>
    <row r="942">
      <c r="A942" s="239"/>
      <c r="B942" s="239"/>
      <c r="C942" s="239"/>
      <c r="D942" s="239"/>
      <c r="E942" s="239"/>
      <c r="F942" s="239"/>
      <c r="G942" s="255"/>
      <c r="H942" s="239"/>
      <c r="I942" s="239"/>
      <c r="J942" s="239"/>
      <c r="K942" s="255"/>
      <c r="L942" s="239"/>
      <c r="M942" s="239"/>
      <c r="N942" s="239"/>
      <c r="O942" s="239"/>
      <c r="P942" s="239"/>
      <c r="Q942" s="239"/>
      <c r="R942" s="239"/>
      <c r="S942" s="239"/>
      <c r="T942" s="239"/>
      <c r="U942" s="239"/>
      <c r="V942" s="239"/>
      <c r="W942" s="239"/>
      <c r="X942" s="239"/>
      <c r="Y942" s="239"/>
      <c r="Z942" s="239"/>
      <c r="AA942" s="239"/>
      <c r="AB942" s="239"/>
      <c r="AC942" s="239"/>
      <c r="AD942" s="239"/>
      <c r="AE942" s="239"/>
      <c r="AF942" s="239"/>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c r="BD942" s="239"/>
      <c r="BE942" s="239"/>
      <c r="BF942" s="239"/>
      <c r="BG942" s="239"/>
      <c r="BH942" s="239"/>
      <c r="BI942" s="239"/>
    </row>
    <row r="943">
      <c r="A943" s="239"/>
      <c r="B943" s="239"/>
      <c r="C943" s="239"/>
      <c r="D943" s="239"/>
      <c r="E943" s="239"/>
      <c r="F943" s="239"/>
      <c r="G943" s="255"/>
      <c r="H943" s="239"/>
      <c r="I943" s="239"/>
      <c r="J943" s="239"/>
      <c r="K943" s="255"/>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c r="BD943" s="239"/>
      <c r="BE943" s="239"/>
      <c r="BF943" s="239"/>
      <c r="BG943" s="239"/>
      <c r="BH943" s="239"/>
      <c r="BI943" s="239"/>
    </row>
    <row r="944">
      <c r="A944" s="239"/>
      <c r="B944" s="239"/>
      <c r="C944" s="239"/>
      <c r="D944" s="239"/>
      <c r="E944" s="239"/>
      <c r="F944" s="239"/>
      <c r="G944" s="255"/>
      <c r="H944" s="239"/>
      <c r="I944" s="239"/>
      <c r="J944" s="239"/>
      <c r="K944" s="255"/>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c r="BD944" s="239"/>
      <c r="BE944" s="239"/>
      <c r="BF944" s="239"/>
      <c r="BG944" s="239"/>
      <c r="BH944" s="239"/>
      <c r="BI944" s="239"/>
    </row>
    <row r="945">
      <c r="A945" s="239"/>
      <c r="B945" s="239"/>
      <c r="C945" s="239"/>
      <c r="D945" s="239"/>
      <c r="E945" s="239"/>
      <c r="F945" s="239"/>
      <c r="G945" s="255"/>
      <c r="H945" s="239"/>
      <c r="I945" s="239"/>
      <c r="J945" s="239"/>
      <c r="K945" s="255"/>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c r="BD945" s="239"/>
      <c r="BE945" s="239"/>
      <c r="BF945" s="239"/>
      <c r="BG945" s="239"/>
      <c r="BH945" s="239"/>
      <c r="BI945" s="239"/>
    </row>
    <row r="946">
      <c r="A946" s="239"/>
      <c r="B946" s="239"/>
      <c r="C946" s="239"/>
      <c r="D946" s="239"/>
      <c r="E946" s="239"/>
      <c r="F946" s="239"/>
      <c r="G946" s="255"/>
      <c r="H946" s="239"/>
      <c r="I946" s="239"/>
      <c r="J946" s="239"/>
      <c r="K946" s="255"/>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c r="BD946" s="239"/>
      <c r="BE946" s="239"/>
      <c r="BF946" s="239"/>
      <c r="BG946" s="239"/>
      <c r="BH946" s="239"/>
      <c r="BI946" s="239"/>
    </row>
    <row r="947">
      <c r="A947" s="239"/>
      <c r="B947" s="239"/>
      <c r="C947" s="239"/>
      <c r="D947" s="239"/>
      <c r="E947" s="239"/>
      <c r="F947" s="239"/>
      <c r="G947" s="255"/>
      <c r="H947" s="239"/>
      <c r="I947" s="239"/>
      <c r="J947" s="239"/>
      <c r="K947" s="255"/>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c r="BD947" s="239"/>
      <c r="BE947" s="239"/>
      <c r="BF947" s="239"/>
      <c r="BG947" s="239"/>
      <c r="BH947" s="239"/>
      <c r="BI947" s="239"/>
    </row>
    <row r="948">
      <c r="A948" s="239"/>
      <c r="B948" s="239"/>
      <c r="C948" s="239"/>
      <c r="D948" s="239"/>
      <c r="E948" s="239"/>
      <c r="F948" s="239"/>
      <c r="G948" s="255"/>
      <c r="H948" s="239"/>
      <c r="I948" s="239"/>
      <c r="J948" s="239"/>
      <c r="K948" s="255"/>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c r="BD948" s="239"/>
      <c r="BE948" s="239"/>
      <c r="BF948" s="239"/>
      <c r="BG948" s="239"/>
      <c r="BH948" s="239"/>
      <c r="BI948" s="239"/>
    </row>
    <row r="949">
      <c r="A949" s="239"/>
      <c r="B949" s="239"/>
      <c r="C949" s="239"/>
      <c r="D949" s="239"/>
      <c r="E949" s="239"/>
      <c r="F949" s="239"/>
      <c r="G949" s="255"/>
      <c r="H949" s="239"/>
      <c r="I949" s="239"/>
      <c r="J949" s="239"/>
      <c r="K949" s="255"/>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c r="BD949" s="239"/>
      <c r="BE949" s="239"/>
      <c r="BF949" s="239"/>
      <c r="BG949" s="239"/>
      <c r="BH949" s="239"/>
      <c r="BI949" s="239"/>
    </row>
    <row r="950">
      <c r="A950" s="239"/>
      <c r="B950" s="239"/>
      <c r="C950" s="239"/>
      <c r="D950" s="239"/>
      <c r="E950" s="239"/>
      <c r="F950" s="239"/>
      <c r="G950" s="255"/>
      <c r="H950" s="239"/>
      <c r="I950" s="239"/>
      <c r="J950" s="239"/>
      <c r="K950" s="255"/>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c r="BD950" s="239"/>
      <c r="BE950" s="239"/>
      <c r="BF950" s="239"/>
      <c r="BG950" s="239"/>
      <c r="BH950" s="239"/>
      <c r="BI950" s="239"/>
    </row>
    <row r="951">
      <c r="A951" s="239"/>
      <c r="B951" s="239"/>
      <c r="C951" s="239"/>
      <c r="D951" s="239"/>
      <c r="E951" s="239"/>
      <c r="F951" s="239"/>
      <c r="G951" s="255"/>
      <c r="H951" s="239"/>
      <c r="I951" s="239"/>
      <c r="J951" s="239"/>
      <c r="K951" s="255"/>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c r="BD951" s="239"/>
      <c r="BE951" s="239"/>
      <c r="BF951" s="239"/>
      <c r="BG951" s="239"/>
      <c r="BH951" s="239"/>
      <c r="BI951" s="239"/>
    </row>
    <row r="952">
      <c r="A952" s="239"/>
      <c r="B952" s="239"/>
      <c r="C952" s="239"/>
      <c r="D952" s="239"/>
      <c r="E952" s="239"/>
      <c r="F952" s="239"/>
      <c r="G952" s="255"/>
      <c r="H952" s="239"/>
      <c r="I952" s="239"/>
      <c r="J952" s="239"/>
      <c r="K952" s="255"/>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c r="BD952" s="239"/>
      <c r="BE952" s="239"/>
      <c r="BF952" s="239"/>
      <c r="BG952" s="239"/>
      <c r="BH952" s="239"/>
      <c r="BI952" s="239"/>
    </row>
    <row r="953">
      <c r="A953" s="239"/>
      <c r="B953" s="239"/>
      <c r="C953" s="239"/>
      <c r="D953" s="239"/>
      <c r="E953" s="239"/>
      <c r="F953" s="239"/>
      <c r="G953" s="255"/>
      <c r="H953" s="239"/>
      <c r="I953" s="239"/>
      <c r="J953" s="239"/>
      <c r="K953" s="255"/>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c r="BD953" s="239"/>
      <c r="BE953" s="239"/>
      <c r="BF953" s="239"/>
      <c r="BG953" s="239"/>
      <c r="BH953" s="239"/>
      <c r="BI953" s="239"/>
    </row>
    <row r="954">
      <c r="A954" s="239"/>
      <c r="B954" s="239"/>
      <c r="C954" s="239"/>
      <c r="D954" s="239"/>
      <c r="E954" s="239"/>
      <c r="F954" s="239"/>
      <c r="G954" s="255"/>
      <c r="H954" s="239"/>
      <c r="I954" s="239"/>
      <c r="J954" s="239"/>
      <c r="K954" s="255"/>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c r="BD954" s="239"/>
      <c r="BE954" s="239"/>
      <c r="BF954" s="239"/>
      <c r="BG954" s="239"/>
      <c r="BH954" s="239"/>
      <c r="BI954" s="239"/>
    </row>
    <row r="955">
      <c r="A955" s="239"/>
      <c r="B955" s="239"/>
      <c r="C955" s="239"/>
      <c r="D955" s="239"/>
      <c r="E955" s="239"/>
      <c r="F955" s="239"/>
      <c r="G955" s="255"/>
      <c r="H955" s="239"/>
      <c r="I955" s="239"/>
      <c r="J955" s="239"/>
      <c r="K955" s="255"/>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c r="BD955" s="239"/>
      <c r="BE955" s="239"/>
      <c r="BF955" s="239"/>
      <c r="BG955" s="239"/>
      <c r="BH955" s="239"/>
      <c r="BI955" s="239"/>
    </row>
    <row r="956">
      <c r="A956" s="239"/>
      <c r="B956" s="239"/>
      <c r="C956" s="239"/>
      <c r="D956" s="239"/>
      <c r="E956" s="239"/>
      <c r="F956" s="239"/>
      <c r="G956" s="255"/>
      <c r="H956" s="239"/>
      <c r="I956" s="239"/>
      <c r="J956" s="239"/>
      <c r="K956" s="255"/>
      <c r="L956" s="239"/>
      <c r="M956" s="239"/>
      <c r="N956" s="239"/>
      <c r="O956" s="239"/>
      <c r="P956" s="239"/>
      <c r="Q956" s="239"/>
      <c r="R956" s="239"/>
      <c r="S956" s="239"/>
      <c r="T956" s="239"/>
      <c r="U956" s="239"/>
      <c r="V956" s="239"/>
      <c r="W956" s="239"/>
      <c r="X956" s="239"/>
      <c r="Y956" s="239"/>
      <c r="Z956" s="239"/>
      <c r="AA956" s="239"/>
      <c r="AB956" s="239"/>
      <c r="AC956" s="239"/>
      <c r="AD956" s="239"/>
      <c r="AE956" s="239"/>
      <c r="AF956" s="239"/>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c r="BD956" s="239"/>
      <c r="BE956" s="239"/>
      <c r="BF956" s="239"/>
      <c r="BG956" s="239"/>
      <c r="BH956" s="239"/>
      <c r="BI956" s="239"/>
    </row>
    <row r="957">
      <c r="A957" s="239"/>
      <c r="B957" s="239"/>
      <c r="C957" s="239"/>
      <c r="D957" s="239"/>
      <c r="E957" s="239"/>
      <c r="F957" s="239"/>
      <c r="G957" s="255"/>
      <c r="H957" s="239"/>
      <c r="I957" s="239"/>
      <c r="J957" s="239"/>
      <c r="K957" s="255"/>
      <c r="L957" s="239"/>
      <c r="M957" s="239"/>
      <c r="N957" s="239"/>
      <c r="O957" s="239"/>
      <c r="P957" s="239"/>
      <c r="Q957" s="239"/>
      <c r="R957" s="239"/>
      <c r="S957" s="239"/>
      <c r="T957" s="239"/>
      <c r="U957" s="239"/>
      <c r="V957" s="239"/>
      <c r="W957" s="239"/>
      <c r="X957" s="239"/>
      <c r="Y957" s="239"/>
      <c r="Z957" s="239"/>
      <c r="AA957" s="239"/>
      <c r="AB957" s="239"/>
      <c r="AC957" s="239"/>
      <c r="AD957" s="239"/>
      <c r="AE957" s="239"/>
      <c r="AF957" s="239"/>
      <c r="AG957" s="239"/>
      <c r="AH957" s="239"/>
      <c r="AI957" s="239"/>
      <c r="AJ957" s="239"/>
      <c r="AK957" s="239"/>
      <c r="AL957" s="239"/>
      <c r="AM957" s="239"/>
      <c r="AN957" s="239"/>
      <c r="AO957" s="239"/>
      <c r="AP957" s="239"/>
      <c r="AQ957" s="239"/>
      <c r="AR957" s="239"/>
      <c r="AS957" s="239"/>
      <c r="AT957" s="239"/>
      <c r="AU957" s="239"/>
      <c r="AV957" s="239"/>
      <c r="AW957" s="239"/>
      <c r="AX957" s="239"/>
      <c r="AY957" s="239"/>
      <c r="AZ957" s="239"/>
      <c r="BA957" s="239"/>
      <c r="BB957" s="239"/>
      <c r="BC957" s="239"/>
      <c r="BD957" s="239"/>
      <c r="BE957" s="239"/>
      <c r="BF957" s="239"/>
      <c r="BG957" s="239"/>
      <c r="BH957" s="239"/>
      <c r="BI957" s="239"/>
    </row>
    <row r="958">
      <c r="A958" s="239"/>
      <c r="B958" s="239"/>
      <c r="C958" s="239"/>
      <c r="D958" s="239"/>
      <c r="E958" s="239"/>
      <c r="F958" s="239"/>
      <c r="G958" s="255"/>
      <c r="H958" s="239"/>
      <c r="I958" s="239"/>
      <c r="J958" s="239"/>
      <c r="K958" s="255"/>
      <c r="L958" s="239"/>
      <c r="M958" s="239"/>
      <c r="N958" s="239"/>
      <c r="O958" s="239"/>
      <c r="P958" s="239"/>
      <c r="Q958" s="239"/>
      <c r="R958" s="239"/>
      <c r="S958" s="239"/>
      <c r="T958" s="239"/>
      <c r="U958" s="239"/>
      <c r="V958" s="239"/>
      <c r="W958" s="239"/>
      <c r="X958" s="239"/>
      <c r="Y958" s="239"/>
      <c r="Z958" s="239"/>
      <c r="AA958" s="239"/>
      <c r="AB958" s="239"/>
      <c r="AC958" s="239"/>
      <c r="AD958" s="239"/>
      <c r="AE958" s="239"/>
      <c r="AF958" s="239"/>
      <c r="AG958" s="239"/>
      <c r="AH958" s="239"/>
      <c r="AI958" s="239"/>
      <c r="AJ958" s="239"/>
      <c r="AK958" s="239"/>
      <c r="AL958" s="239"/>
      <c r="AM958" s="239"/>
      <c r="AN958" s="239"/>
      <c r="AO958" s="239"/>
      <c r="AP958" s="239"/>
      <c r="AQ958" s="239"/>
      <c r="AR958" s="239"/>
      <c r="AS958" s="239"/>
      <c r="AT958" s="239"/>
      <c r="AU958" s="239"/>
      <c r="AV958" s="239"/>
      <c r="AW958" s="239"/>
      <c r="AX958" s="239"/>
      <c r="AY958" s="239"/>
      <c r="AZ958" s="239"/>
      <c r="BA958" s="239"/>
      <c r="BB958" s="239"/>
      <c r="BC958" s="239"/>
      <c r="BD958" s="239"/>
      <c r="BE958" s="239"/>
      <c r="BF958" s="239"/>
      <c r="BG958" s="239"/>
      <c r="BH958" s="239"/>
      <c r="BI958" s="239"/>
    </row>
    <row r="959">
      <c r="A959" s="239"/>
      <c r="B959" s="239"/>
      <c r="C959" s="239"/>
      <c r="D959" s="239"/>
      <c r="E959" s="239"/>
      <c r="F959" s="239"/>
      <c r="G959" s="255"/>
      <c r="H959" s="239"/>
      <c r="I959" s="239"/>
      <c r="J959" s="239"/>
      <c r="K959" s="255"/>
      <c r="L959" s="239"/>
      <c r="M959" s="239"/>
      <c r="N959" s="239"/>
      <c r="O959" s="239"/>
      <c r="P959" s="239"/>
      <c r="Q959" s="239"/>
      <c r="R959" s="239"/>
      <c r="S959" s="239"/>
      <c r="T959" s="239"/>
      <c r="U959" s="239"/>
      <c r="V959" s="239"/>
      <c r="W959" s="239"/>
      <c r="X959" s="239"/>
      <c r="Y959" s="239"/>
      <c r="Z959" s="239"/>
      <c r="AA959" s="239"/>
      <c r="AB959" s="239"/>
      <c r="AC959" s="239"/>
      <c r="AD959" s="239"/>
      <c r="AE959" s="239"/>
      <c r="AF959" s="239"/>
      <c r="AG959" s="239"/>
      <c r="AH959" s="239"/>
      <c r="AI959" s="239"/>
      <c r="AJ959" s="239"/>
      <c r="AK959" s="239"/>
      <c r="AL959" s="239"/>
      <c r="AM959" s="239"/>
      <c r="AN959" s="239"/>
      <c r="AO959" s="239"/>
      <c r="AP959" s="239"/>
      <c r="AQ959" s="239"/>
      <c r="AR959" s="239"/>
      <c r="AS959" s="239"/>
      <c r="AT959" s="239"/>
      <c r="AU959" s="239"/>
      <c r="AV959" s="239"/>
      <c r="AW959" s="239"/>
      <c r="AX959" s="239"/>
      <c r="AY959" s="239"/>
      <c r="AZ959" s="239"/>
      <c r="BA959" s="239"/>
      <c r="BB959" s="239"/>
      <c r="BC959" s="239"/>
      <c r="BD959" s="239"/>
      <c r="BE959" s="239"/>
      <c r="BF959" s="239"/>
      <c r="BG959" s="239"/>
      <c r="BH959" s="239"/>
      <c r="BI959" s="239"/>
    </row>
    <row r="960">
      <c r="A960" s="239"/>
      <c r="B960" s="239"/>
      <c r="C960" s="239"/>
      <c r="D960" s="239"/>
      <c r="E960" s="239"/>
      <c r="F960" s="239"/>
      <c r="G960" s="255"/>
      <c r="H960" s="239"/>
      <c r="I960" s="239"/>
      <c r="J960" s="239"/>
      <c r="K960" s="255"/>
      <c r="L960" s="239"/>
      <c r="M960" s="239"/>
      <c r="N960" s="239"/>
      <c r="O960" s="239"/>
      <c r="P960" s="239"/>
      <c r="Q960" s="239"/>
      <c r="R960" s="239"/>
      <c r="S960" s="239"/>
      <c r="T960" s="239"/>
      <c r="U960" s="239"/>
      <c r="V960" s="239"/>
      <c r="W960" s="239"/>
      <c r="X960" s="239"/>
      <c r="Y960" s="239"/>
      <c r="Z960" s="239"/>
      <c r="AA960" s="239"/>
      <c r="AB960" s="239"/>
      <c r="AC960" s="239"/>
      <c r="AD960" s="239"/>
      <c r="AE960" s="239"/>
      <c r="AF960" s="239"/>
      <c r="AG960" s="239"/>
      <c r="AH960" s="239"/>
      <c r="AI960" s="239"/>
      <c r="AJ960" s="239"/>
      <c r="AK960" s="239"/>
      <c r="AL960" s="239"/>
      <c r="AM960" s="239"/>
      <c r="AN960" s="239"/>
      <c r="AO960" s="239"/>
      <c r="AP960" s="239"/>
      <c r="AQ960" s="239"/>
      <c r="AR960" s="239"/>
      <c r="AS960" s="239"/>
      <c r="AT960" s="239"/>
      <c r="AU960" s="239"/>
      <c r="AV960" s="239"/>
      <c r="AW960" s="239"/>
      <c r="AX960" s="239"/>
      <c r="AY960" s="239"/>
      <c r="AZ960" s="239"/>
      <c r="BA960" s="239"/>
      <c r="BB960" s="239"/>
      <c r="BC960" s="239"/>
      <c r="BD960" s="239"/>
      <c r="BE960" s="239"/>
      <c r="BF960" s="239"/>
      <c r="BG960" s="239"/>
      <c r="BH960" s="239"/>
      <c r="BI960" s="239"/>
    </row>
    <row r="961">
      <c r="A961" s="239"/>
      <c r="B961" s="239"/>
      <c r="C961" s="239"/>
      <c r="D961" s="239"/>
      <c r="E961" s="239"/>
      <c r="F961" s="239"/>
      <c r="G961" s="255"/>
      <c r="H961" s="239"/>
      <c r="I961" s="239"/>
      <c r="J961" s="239"/>
      <c r="K961" s="255"/>
      <c r="L961" s="239"/>
      <c r="M961" s="239"/>
      <c r="N961" s="239"/>
      <c r="O961" s="239"/>
      <c r="P961" s="239"/>
      <c r="Q961" s="239"/>
      <c r="R961" s="239"/>
      <c r="S961" s="239"/>
      <c r="T961" s="239"/>
      <c r="U961" s="239"/>
      <c r="V961" s="239"/>
      <c r="W961" s="239"/>
      <c r="X961" s="239"/>
      <c r="Y961" s="239"/>
      <c r="Z961" s="239"/>
      <c r="AA961" s="239"/>
      <c r="AB961" s="239"/>
      <c r="AC961" s="239"/>
      <c r="AD961" s="239"/>
      <c r="AE961" s="239"/>
      <c r="AF961" s="239"/>
      <c r="AG961" s="239"/>
      <c r="AH961" s="239"/>
      <c r="AI961" s="239"/>
      <c r="AJ961" s="239"/>
      <c r="AK961" s="239"/>
      <c r="AL961" s="239"/>
      <c r="AM961" s="239"/>
      <c r="AN961" s="239"/>
      <c r="AO961" s="239"/>
      <c r="AP961" s="239"/>
      <c r="AQ961" s="239"/>
      <c r="AR961" s="239"/>
      <c r="AS961" s="239"/>
      <c r="AT961" s="239"/>
      <c r="AU961" s="239"/>
      <c r="AV961" s="239"/>
      <c r="AW961" s="239"/>
      <c r="AX961" s="239"/>
      <c r="AY961" s="239"/>
      <c r="AZ961" s="239"/>
      <c r="BA961" s="239"/>
      <c r="BB961" s="239"/>
      <c r="BC961" s="239"/>
      <c r="BD961" s="239"/>
      <c r="BE961" s="239"/>
      <c r="BF961" s="239"/>
      <c r="BG961" s="239"/>
      <c r="BH961" s="239"/>
      <c r="BI961" s="239"/>
    </row>
    <row r="962">
      <c r="A962" s="239"/>
      <c r="B962" s="239"/>
      <c r="C962" s="239"/>
      <c r="D962" s="239"/>
      <c r="E962" s="239"/>
      <c r="F962" s="239"/>
      <c r="G962" s="255"/>
      <c r="H962" s="239"/>
      <c r="I962" s="239"/>
      <c r="J962" s="239"/>
      <c r="K962" s="255"/>
      <c r="L962" s="239"/>
      <c r="M962" s="239"/>
      <c r="N962" s="239"/>
      <c r="O962" s="239"/>
      <c r="P962" s="239"/>
      <c r="Q962" s="239"/>
      <c r="R962" s="239"/>
      <c r="S962" s="239"/>
      <c r="T962" s="239"/>
      <c r="U962" s="239"/>
      <c r="V962" s="239"/>
      <c r="W962" s="239"/>
      <c r="X962" s="239"/>
      <c r="Y962" s="239"/>
      <c r="Z962" s="239"/>
      <c r="AA962" s="239"/>
      <c r="AB962" s="239"/>
      <c r="AC962" s="239"/>
      <c r="AD962" s="239"/>
      <c r="AE962" s="239"/>
      <c r="AF962" s="239"/>
      <c r="AG962" s="239"/>
      <c r="AH962" s="239"/>
      <c r="AI962" s="239"/>
      <c r="AJ962" s="239"/>
      <c r="AK962" s="239"/>
      <c r="AL962" s="239"/>
      <c r="AM962" s="239"/>
      <c r="AN962" s="239"/>
      <c r="AO962" s="239"/>
      <c r="AP962" s="239"/>
      <c r="AQ962" s="239"/>
      <c r="AR962" s="239"/>
      <c r="AS962" s="239"/>
      <c r="AT962" s="239"/>
      <c r="AU962" s="239"/>
      <c r="AV962" s="239"/>
      <c r="AW962" s="239"/>
      <c r="AX962" s="239"/>
      <c r="AY962" s="239"/>
      <c r="AZ962" s="239"/>
      <c r="BA962" s="239"/>
      <c r="BB962" s="239"/>
      <c r="BC962" s="239"/>
      <c r="BD962" s="239"/>
      <c r="BE962" s="239"/>
      <c r="BF962" s="239"/>
      <c r="BG962" s="239"/>
      <c r="BH962" s="239"/>
      <c r="BI962" s="239"/>
    </row>
    <row r="963">
      <c r="A963" s="239"/>
      <c r="B963" s="239"/>
      <c r="C963" s="239"/>
      <c r="D963" s="239"/>
      <c r="E963" s="239"/>
      <c r="F963" s="239"/>
      <c r="G963" s="255"/>
      <c r="H963" s="239"/>
      <c r="I963" s="239"/>
      <c r="J963" s="239"/>
      <c r="K963" s="255"/>
      <c r="L963" s="239"/>
      <c r="M963" s="239"/>
      <c r="N963" s="239"/>
      <c r="O963" s="239"/>
      <c r="P963" s="239"/>
      <c r="Q963" s="239"/>
      <c r="R963" s="239"/>
      <c r="S963" s="239"/>
      <c r="T963" s="239"/>
      <c r="U963" s="239"/>
      <c r="V963" s="239"/>
      <c r="W963" s="239"/>
      <c r="X963" s="239"/>
      <c r="Y963" s="239"/>
      <c r="Z963" s="239"/>
      <c r="AA963" s="239"/>
      <c r="AB963" s="239"/>
      <c r="AC963" s="239"/>
      <c r="AD963" s="239"/>
      <c r="AE963" s="239"/>
      <c r="AF963" s="239"/>
      <c r="AG963" s="239"/>
      <c r="AH963" s="239"/>
      <c r="AI963" s="239"/>
      <c r="AJ963" s="239"/>
      <c r="AK963" s="239"/>
      <c r="AL963" s="239"/>
      <c r="AM963" s="239"/>
      <c r="AN963" s="239"/>
      <c r="AO963" s="239"/>
      <c r="AP963" s="239"/>
      <c r="AQ963" s="239"/>
      <c r="AR963" s="239"/>
      <c r="AS963" s="239"/>
      <c r="AT963" s="239"/>
      <c r="AU963" s="239"/>
      <c r="AV963" s="239"/>
      <c r="AW963" s="239"/>
      <c r="AX963" s="239"/>
      <c r="AY963" s="239"/>
      <c r="AZ963" s="239"/>
      <c r="BA963" s="239"/>
      <c r="BB963" s="239"/>
      <c r="BC963" s="239"/>
      <c r="BD963" s="239"/>
      <c r="BE963" s="239"/>
      <c r="BF963" s="239"/>
      <c r="BG963" s="239"/>
      <c r="BH963" s="239"/>
      <c r="BI963" s="239"/>
    </row>
    <row r="964">
      <c r="A964" s="239"/>
      <c r="B964" s="239"/>
      <c r="C964" s="239"/>
      <c r="D964" s="239"/>
      <c r="E964" s="239"/>
      <c r="F964" s="239"/>
      <c r="G964" s="255"/>
      <c r="H964" s="239"/>
      <c r="I964" s="239"/>
      <c r="J964" s="239"/>
      <c r="K964" s="255"/>
      <c r="L964" s="239"/>
      <c r="M964" s="239"/>
      <c r="N964" s="239"/>
      <c r="O964" s="239"/>
      <c r="P964" s="239"/>
      <c r="Q964" s="239"/>
      <c r="R964" s="239"/>
      <c r="S964" s="239"/>
      <c r="T964" s="239"/>
      <c r="U964" s="239"/>
      <c r="V964" s="239"/>
      <c r="W964" s="239"/>
      <c r="X964" s="239"/>
      <c r="Y964" s="239"/>
      <c r="Z964" s="239"/>
      <c r="AA964" s="239"/>
      <c r="AB964" s="239"/>
      <c r="AC964" s="239"/>
      <c r="AD964" s="239"/>
      <c r="AE964" s="239"/>
      <c r="AF964" s="239"/>
      <c r="AG964" s="239"/>
      <c r="AH964" s="239"/>
      <c r="AI964" s="239"/>
      <c r="AJ964" s="239"/>
      <c r="AK964" s="239"/>
      <c r="AL964" s="239"/>
      <c r="AM964" s="239"/>
      <c r="AN964" s="239"/>
      <c r="AO964" s="239"/>
      <c r="AP964" s="239"/>
      <c r="AQ964" s="239"/>
      <c r="AR964" s="239"/>
      <c r="AS964" s="239"/>
      <c r="AT964" s="239"/>
      <c r="AU964" s="239"/>
      <c r="AV964" s="239"/>
      <c r="AW964" s="239"/>
      <c r="AX964" s="239"/>
      <c r="AY964" s="239"/>
      <c r="AZ964" s="239"/>
      <c r="BA964" s="239"/>
      <c r="BB964" s="239"/>
      <c r="BC964" s="239"/>
      <c r="BD964" s="239"/>
      <c r="BE964" s="239"/>
      <c r="BF964" s="239"/>
      <c r="BG964" s="239"/>
      <c r="BH964" s="239"/>
      <c r="BI964" s="239"/>
    </row>
    <row r="965">
      <c r="A965" s="239"/>
      <c r="B965" s="239"/>
      <c r="C965" s="239"/>
      <c r="D965" s="239"/>
      <c r="E965" s="239"/>
      <c r="F965" s="239"/>
      <c r="G965" s="255"/>
      <c r="H965" s="239"/>
      <c r="I965" s="239"/>
      <c r="J965" s="239"/>
      <c r="K965" s="255"/>
      <c r="L965" s="239"/>
      <c r="M965" s="239"/>
      <c r="N965" s="239"/>
      <c r="O965" s="239"/>
      <c r="P965" s="239"/>
      <c r="Q965" s="239"/>
      <c r="R965" s="239"/>
      <c r="S965" s="239"/>
      <c r="T965" s="239"/>
      <c r="U965" s="239"/>
      <c r="V965" s="239"/>
      <c r="W965" s="239"/>
      <c r="X965" s="239"/>
      <c r="Y965" s="239"/>
      <c r="Z965" s="239"/>
      <c r="AA965" s="239"/>
      <c r="AB965" s="239"/>
      <c r="AC965" s="239"/>
      <c r="AD965" s="239"/>
      <c r="AE965" s="239"/>
      <c r="AF965" s="239"/>
      <c r="AG965" s="239"/>
      <c r="AH965" s="239"/>
      <c r="AI965" s="239"/>
      <c r="AJ965" s="239"/>
      <c r="AK965" s="239"/>
      <c r="AL965" s="239"/>
      <c r="AM965" s="239"/>
      <c r="AN965" s="239"/>
      <c r="AO965" s="239"/>
      <c r="AP965" s="239"/>
      <c r="AQ965" s="239"/>
      <c r="AR965" s="239"/>
      <c r="AS965" s="239"/>
      <c r="AT965" s="239"/>
      <c r="AU965" s="239"/>
      <c r="AV965" s="239"/>
      <c r="AW965" s="239"/>
      <c r="AX965" s="239"/>
      <c r="AY965" s="239"/>
      <c r="AZ965" s="239"/>
      <c r="BA965" s="239"/>
      <c r="BB965" s="239"/>
      <c r="BC965" s="239"/>
      <c r="BD965" s="239"/>
      <c r="BE965" s="239"/>
      <c r="BF965" s="239"/>
      <c r="BG965" s="239"/>
      <c r="BH965" s="239"/>
      <c r="BI965" s="239"/>
    </row>
    <row r="966">
      <c r="A966" s="239"/>
      <c r="B966" s="239"/>
      <c r="C966" s="239"/>
      <c r="D966" s="239"/>
      <c r="E966" s="239"/>
      <c r="F966" s="239"/>
      <c r="G966" s="255"/>
      <c r="H966" s="239"/>
      <c r="I966" s="239"/>
      <c r="J966" s="239"/>
      <c r="K966" s="255"/>
      <c r="L966" s="239"/>
      <c r="M966" s="239"/>
      <c r="N966" s="239"/>
      <c r="O966" s="239"/>
      <c r="P966" s="239"/>
      <c r="Q966" s="239"/>
      <c r="R966" s="239"/>
      <c r="S966" s="239"/>
      <c r="T966" s="239"/>
      <c r="U966" s="239"/>
      <c r="V966" s="239"/>
      <c r="W966" s="239"/>
      <c r="X966" s="239"/>
      <c r="Y966" s="239"/>
      <c r="Z966" s="239"/>
      <c r="AA966" s="239"/>
      <c r="AB966" s="239"/>
      <c r="AC966" s="239"/>
      <c r="AD966" s="239"/>
      <c r="AE966" s="239"/>
      <c r="AF966" s="239"/>
      <c r="AG966" s="239"/>
      <c r="AH966" s="239"/>
      <c r="AI966" s="239"/>
      <c r="AJ966" s="239"/>
      <c r="AK966" s="239"/>
      <c r="AL966" s="239"/>
      <c r="AM966" s="239"/>
      <c r="AN966" s="239"/>
      <c r="AO966" s="239"/>
      <c r="AP966" s="239"/>
      <c r="AQ966" s="239"/>
      <c r="AR966" s="239"/>
      <c r="AS966" s="239"/>
      <c r="AT966" s="239"/>
      <c r="AU966" s="239"/>
      <c r="AV966" s="239"/>
      <c r="AW966" s="239"/>
      <c r="AX966" s="239"/>
      <c r="AY966" s="239"/>
      <c r="AZ966" s="239"/>
      <c r="BA966" s="239"/>
      <c r="BB966" s="239"/>
      <c r="BC966" s="239"/>
      <c r="BD966" s="239"/>
      <c r="BE966" s="239"/>
      <c r="BF966" s="239"/>
      <c r="BG966" s="239"/>
      <c r="BH966" s="239"/>
      <c r="BI966" s="239"/>
    </row>
    <row r="967">
      <c r="A967" s="239"/>
      <c r="B967" s="239"/>
      <c r="C967" s="239"/>
      <c r="D967" s="239"/>
      <c r="E967" s="239"/>
      <c r="F967" s="239"/>
      <c r="G967" s="255"/>
      <c r="H967" s="239"/>
      <c r="I967" s="239"/>
      <c r="J967" s="239"/>
      <c r="K967" s="255"/>
      <c r="L967" s="239"/>
      <c r="M967" s="239"/>
      <c r="N967" s="239"/>
      <c r="O967" s="239"/>
      <c r="P967" s="239"/>
      <c r="Q967" s="239"/>
      <c r="R967" s="239"/>
      <c r="S967" s="239"/>
      <c r="T967" s="239"/>
      <c r="U967" s="239"/>
      <c r="V967" s="239"/>
      <c r="W967" s="239"/>
      <c r="X967" s="239"/>
      <c r="Y967" s="239"/>
      <c r="Z967" s="239"/>
      <c r="AA967" s="239"/>
      <c r="AB967" s="239"/>
      <c r="AC967" s="239"/>
      <c r="AD967" s="239"/>
      <c r="AE967" s="239"/>
      <c r="AF967" s="239"/>
      <c r="AG967" s="239"/>
      <c r="AH967" s="239"/>
      <c r="AI967" s="239"/>
      <c r="AJ967" s="239"/>
      <c r="AK967" s="239"/>
      <c r="AL967" s="239"/>
      <c r="AM967" s="239"/>
      <c r="AN967" s="239"/>
      <c r="AO967" s="239"/>
      <c r="AP967" s="239"/>
      <c r="AQ967" s="239"/>
      <c r="AR967" s="239"/>
      <c r="AS967" s="239"/>
      <c r="AT967" s="239"/>
      <c r="AU967" s="239"/>
      <c r="AV967" s="239"/>
      <c r="AW967" s="239"/>
      <c r="AX967" s="239"/>
      <c r="AY967" s="239"/>
      <c r="AZ967" s="239"/>
      <c r="BA967" s="239"/>
      <c r="BB967" s="239"/>
      <c r="BC967" s="239"/>
      <c r="BD967" s="239"/>
      <c r="BE967" s="239"/>
      <c r="BF967" s="239"/>
      <c r="BG967" s="239"/>
      <c r="BH967" s="239"/>
      <c r="BI967" s="239"/>
    </row>
    <row r="968">
      <c r="A968" s="239"/>
      <c r="B968" s="239"/>
      <c r="C968" s="239"/>
      <c r="D968" s="239"/>
      <c r="E968" s="239"/>
      <c r="F968" s="239"/>
      <c r="G968" s="255"/>
      <c r="H968" s="239"/>
      <c r="I968" s="239"/>
      <c r="J968" s="239"/>
      <c r="K968" s="255"/>
      <c r="L968" s="239"/>
      <c r="M968" s="239"/>
      <c r="N968" s="239"/>
      <c r="O968" s="239"/>
      <c r="P968" s="239"/>
      <c r="Q968" s="239"/>
      <c r="R968" s="239"/>
      <c r="S968" s="239"/>
      <c r="T968" s="239"/>
      <c r="U968" s="239"/>
      <c r="V968" s="239"/>
      <c r="W968" s="239"/>
      <c r="X968" s="239"/>
      <c r="Y968" s="239"/>
      <c r="Z968" s="239"/>
      <c r="AA968" s="239"/>
      <c r="AB968" s="239"/>
      <c r="AC968" s="239"/>
      <c r="AD968" s="239"/>
      <c r="AE968" s="239"/>
      <c r="AF968" s="239"/>
      <c r="AG968" s="239"/>
      <c r="AH968" s="239"/>
      <c r="AI968" s="239"/>
      <c r="AJ968" s="239"/>
      <c r="AK968" s="239"/>
      <c r="AL968" s="239"/>
      <c r="AM968" s="239"/>
      <c r="AN968" s="239"/>
      <c r="AO968" s="239"/>
      <c r="AP968" s="239"/>
      <c r="AQ968" s="239"/>
      <c r="AR968" s="239"/>
      <c r="AS968" s="239"/>
      <c r="AT968" s="239"/>
      <c r="AU968" s="239"/>
      <c r="AV968" s="239"/>
      <c r="AW968" s="239"/>
      <c r="AX968" s="239"/>
      <c r="AY968" s="239"/>
      <c r="AZ968" s="239"/>
      <c r="BA968" s="239"/>
      <c r="BB968" s="239"/>
      <c r="BC968" s="239"/>
      <c r="BD968" s="239"/>
      <c r="BE968" s="239"/>
      <c r="BF968" s="239"/>
      <c r="BG968" s="239"/>
      <c r="BH968" s="239"/>
      <c r="BI968" s="239"/>
    </row>
    <row r="969">
      <c r="A969" s="239"/>
      <c r="B969" s="239"/>
      <c r="C969" s="239"/>
      <c r="D969" s="239"/>
      <c r="E969" s="239"/>
      <c r="F969" s="239"/>
      <c r="G969" s="255"/>
      <c r="H969" s="239"/>
      <c r="I969" s="239"/>
      <c r="J969" s="239"/>
      <c r="K969" s="255"/>
      <c r="L969" s="239"/>
      <c r="M969" s="239"/>
      <c r="N969" s="239"/>
      <c r="O969" s="239"/>
      <c r="P969" s="239"/>
      <c r="Q969" s="239"/>
      <c r="R969" s="239"/>
      <c r="S969" s="239"/>
      <c r="T969" s="239"/>
      <c r="U969" s="239"/>
      <c r="V969" s="239"/>
      <c r="W969" s="239"/>
      <c r="X969" s="239"/>
      <c r="Y969" s="239"/>
      <c r="Z969" s="239"/>
      <c r="AA969" s="239"/>
      <c r="AB969" s="239"/>
      <c r="AC969" s="239"/>
      <c r="AD969" s="239"/>
      <c r="AE969" s="239"/>
      <c r="AF969" s="239"/>
      <c r="AG969" s="239"/>
      <c r="AH969" s="239"/>
      <c r="AI969" s="239"/>
      <c r="AJ969" s="239"/>
      <c r="AK969" s="239"/>
      <c r="AL969" s="239"/>
      <c r="AM969" s="239"/>
      <c r="AN969" s="239"/>
      <c r="AO969" s="239"/>
      <c r="AP969" s="239"/>
      <c r="AQ969" s="239"/>
      <c r="AR969" s="239"/>
      <c r="AS969" s="239"/>
      <c r="AT969" s="239"/>
      <c r="AU969" s="239"/>
      <c r="AV969" s="239"/>
      <c r="AW969" s="239"/>
      <c r="AX969" s="239"/>
      <c r="AY969" s="239"/>
      <c r="AZ969" s="239"/>
      <c r="BA969" s="239"/>
      <c r="BB969" s="239"/>
      <c r="BC969" s="239"/>
      <c r="BD969" s="239"/>
      <c r="BE969" s="239"/>
      <c r="BF969" s="239"/>
      <c r="BG969" s="239"/>
      <c r="BH969" s="239"/>
      <c r="BI969" s="239"/>
    </row>
    <row r="970">
      <c r="A970" s="239"/>
      <c r="B970" s="239"/>
      <c r="C970" s="239"/>
      <c r="D970" s="239"/>
      <c r="E970" s="239"/>
      <c r="F970" s="239"/>
      <c r="G970" s="255"/>
      <c r="H970" s="239"/>
      <c r="I970" s="239"/>
      <c r="J970" s="239"/>
      <c r="K970" s="255"/>
      <c r="L970" s="239"/>
      <c r="M970" s="239"/>
      <c r="N970" s="239"/>
      <c r="O970" s="239"/>
      <c r="P970" s="239"/>
      <c r="Q970" s="239"/>
      <c r="R970" s="239"/>
      <c r="S970" s="239"/>
      <c r="T970" s="239"/>
      <c r="U970" s="239"/>
      <c r="V970" s="239"/>
      <c r="W970" s="239"/>
      <c r="X970" s="239"/>
      <c r="Y970" s="239"/>
      <c r="Z970" s="239"/>
      <c r="AA970" s="239"/>
      <c r="AB970" s="239"/>
      <c r="AC970" s="239"/>
      <c r="AD970" s="239"/>
      <c r="AE970" s="239"/>
      <c r="AF970" s="239"/>
      <c r="AG970" s="239"/>
      <c r="AH970" s="239"/>
      <c r="AI970" s="239"/>
      <c r="AJ970" s="239"/>
      <c r="AK970" s="239"/>
      <c r="AL970" s="239"/>
      <c r="AM970" s="239"/>
      <c r="AN970" s="239"/>
      <c r="AO970" s="239"/>
      <c r="AP970" s="239"/>
      <c r="AQ970" s="239"/>
      <c r="AR970" s="239"/>
      <c r="AS970" s="239"/>
      <c r="AT970" s="239"/>
      <c r="AU970" s="239"/>
      <c r="AV970" s="239"/>
      <c r="AW970" s="239"/>
      <c r="AX970" s="239"/>
      <c r="AY970" s="239"/>
      <c r="AZ970" s="239"/>
      <c r="BA970" s="239"/>
      <c r="BB970" s="239"/>
      <c r="BC970" s="239"/>
      <c r="BD970" s="239"/>
      <c r="BE970" s="239"/>
      <c r="BF970" s="239"/>
      <c r="BG970" s="239"/>
      <c r="BH970" s="239"/>
      <c r="BI970" s="239"/>
    </row>
    <row r="971">
      <c r="A971" s="239"/>
      <c r="B971" s="239"/>
      <c r="C971" s="239"/>
      <c r="D971" s="239"/>
      <c r="E971" s="239"/>
      <c r="F971" s="239"/>
      <c r="G971" s="255"/>
      <c r="H971" s="239"/>
      <c r="I971" s="239"/>
      <c r="J971" s="239"/>
      <c r="K971" s="255"/>
      <c r="L971" s="239"/>
      <c r="M971" s="239"/>
      <c r="N971" s="239"/>
      <c r="O971" s="239"/>
      <c r="P971" s="239"/>
      <c r="Q971" s="239"/>
      <c r="R971" s="239"/>
      <c r="S971" s="239"/>
      <c r="T971" s="239"/>
      <c r="U971" s="239"/>
      <c r="V971" s="239"/>
      <c r="W971" s="239"/>
      <c r="X971" s="239"/>
      <c r="Y971" s="239"/>
      <c r="Z971" s="239"/>
      <c r="AA971" s="239"/>
      <c r="AB971" s="239"/>
      <c r="AC971" s="239"/>
      <c r="AD971" s="239"/>
      <c r="AE971" s="239"/>
      <c r="AF971" s="239"/>
      <c r="AG971" s="239"/>
      <c r="AH971" s="239"/>
      <c r="AI971" s="239"/>
      <c r="AJ971" s="239"/>
      <c r="AK971" s="239"/>
      <c r="AL971" s="239"/>
      <c r="AM971" s="239"/>
      <c r="AN971" s="239"/>
      <c r="AO971" s="239"/>
      <c r="AP971" s="239"/>
      <c r="AQ971" s="239"/>
      <c r="AR971" s="239"/>
      <c r="AS971" s="239"/>
      <c r="AT971" s="239"/>
      <c r="AU971" s="239"/>
      <c r="AV971" s="239"/>
      <c r="AW971" s="239"/>
      <c r="AX971" s="239"/>
      <c r="AY971" s="239"/>
      <c r="AZ971" s="239"/>
      <c r="BA971" s="239"/>
      <c r="BB971" s="239"/>
      <c r="BC971" s="239"/>
      <c r="BD971" s="239"/>
      <c r="BE971" s="239"/>
      <c r="BF971" s="239"/>
      <c r="BG971" s="239"/>
      <c r="BH971" s="239"/>
      <c r="BI971" s="239"/>
    </row>
    <row r="972">
      <c r="A972" s="239"/>
      <c r="B972" s="239"/>
      <c r="C972" s="239"/>
      <c r="D972" s="239"/>
      <c r="E972" s="239"/>
      <c r="F972" s="239"/>
      <c r="G972" s="255"/>
      <c r="H972" s="239"/>
      <c r="I972" s="239"/>
      <c r="J972" s="239"/>
      <c r="K972" s="255"/>
      <c r="L972" s="239"/>
      <c r="M972" s="239"/>
      <c r="N972" s="239"/>
      <c r="O972" s="239"/>
      <c r="P972" s="239"/>
      <c r="Q972" s="239"/>
      <c r="R972" s="239"/>
      <c r="S972" s="239"/>
      <c r="T972" s="239"/>
      <c r="U972" s="239"/>
      <c r="V972" s="239"/>
      <c r="W972" s="239"/>
      <c r="X972" s="239"/>
      <c r="Y972" s="239"/>
      <c r="Z972" s="239"/>
      <c r="AA972" s="239"/>
      <c r="AB972" s="239"/>
      <c r="AC972" s="239"/>
      <c r="AD972" s="239"/>
      <c r="AE972" s="239"/>
      <c r="AF972" s="239"/>
      <c r="AG972" s="239"/>
      <c r="AH972" s="239"/>
      <c r="AI972" s="239"/>
      <c r="AJ972" s="239"/>
      <c r="AK972" s="239"/>
      <c r="AL972" s="239"/>
      <c r="AM972" s="239"/>
      <c r="AN972" s="239"/>
      <c r="AO972" s="239"/>
      <c r="AP972" s="239"/>
      <c r="AQ972" s="239"/>
      <c r="AR972" s="239"/>
      <c r="AS972" s="239"/>
      <c r="AT972" s="239"/>
      <c r="AU972" s="239"/>
      <c r="AV972" s="239"/>
      <c r="AW972" s="239"/>
      <c r="AX972" s="239"/>
      <c r="AY972" s="239"/>
      <c r="AZ972" s="239"/>
      <c r="BA972" s="239"/>
      <c r="BB972" s="239"/>
      <c r="BC972" s="239"/>
      <c r="BD972" s="239"/>
      <c r="BE972" s="239"/>
      <c r="BF972" s="239"/>
      <c r="BG972" s="239"/>
      <c r="BH972" s="239"/>
      <c r="BI972" s="239"/>
    </row>
    <row r="973">
      <c r="A973" s="239"/>
      <c r="B973" s="239"/>
      <c r="C973" s="239"/>
      <c r="D973" s="239"/>
      <c r="E973" s="239"/>
      <c r="F973" s="239"/>
      <c r="G973" s="255"/>
      <c r="H973" s="239"/>
      <c r="I973" s="239"/>
      <c r="J973" s="239"/>
      <c r="K973" s="255"/>
      <c r="L973" s="239"/>
      <c r="M973" s="239"/>
      <c r="N973" s="239"/>
      <c r="O973" s="239"/>
      <c r="P973" s="239"/>
      <c r="Q973" s="239"/>
      <c r="R973" s="239"/>
      <c r="S973" s="239"/>
      <c r="T973" s="239"/>
      <c r="U973" s="239"/>
      <c r="V973" s="239"/>
      <c r="W973" s="239"/>
      <c r="X973" s="239"/>
      <c r="Y973" s="239"/>
      <c r="Z973" s="239"/>
      <c r="AA973" s="239"/>
      <c r="AB973" s="239"/>
      <c r="AC973" s="239"/>
      <c r="AD973" s="239"/>
      <c r="AE973" s="239"/>
      <c r="AF973" s="239"/>
      <c r="AG973" s="239"/>
      <c r="AH973" s="239"/>
      <c r="AI973" s="239"/>
      <c r="AJ973" s="239"/>
      <c r="AK973" s="239"/>
      <c r="AL973" s="239"/>
      <c r="AM973" s="239"/>
      <c r="AN973" s="239"/>
      <c r="AO973" s="239"/>
      <c r="AP973" s="239"/>
      <c r="AQ973" s="239"/>
      <c r="AR973" s="239"/>
      <c r="AS973" s="239"/>
      <c r="AT973" s="239"/>
      <c r="AU973" s="239"/>
      <c r="AV973" s="239"/>
      <c r="AW973" s="239"/>
      <c r="AX973" s="239"/>
      <c r="AY973" s="239"/>
      <c r="AZ973" s="239"/>
      <c r="BA973" s="239"/>
      <c r="BB973" s="239"/>
      <c r="BC973" s="239"/>
      <c r="BD973" s="239"/>
      <c r="BE973" s="239"/>
      <c r="BF973" s="239"/>
      <c r="BG973" s="239"/>
      <c r="BH973" s="239"/>
      <c r="BI973" s="239"/>
    </row>
    <row r="974">
      <c r="A974" s="239"/>
      <c r="B974" s="239"/>
      <c r="C974" s="239"/>
      <c r="D974" s="239"/>
      <c r="E974" s="239"/>
      <c r="F974" s="239"/>
      <c r="G974" s="255"/>
      <c r="H974" s="239"/>
      <c r="I974" s="239"/>
      <c r="J974" s="239"/>
      <c r="K974" s="255"/>
      <c r="L974" s="239"/>
      <c r="M974" s="239"/>
      <c r="N974" s="239"/>
      <c r="O974" s="239"/>
      <c r="P974" s="239"/>
      <c r="Q974" s="239"/>
      <c r="R974" s="239"/>
      <c r="S974" s="239"/>
      <c r="T974" s="239"/>
      <c r="U974" s="239"/>
      <c r="V974" s="239"/>
      <c r="W974" s="239"/>
      <c r="X974" s="239"/>
      <c r="Y974" s="239"/>
      <c r="Z974" s="239"/>
      <c r="AA974" s="239"/>
      <c r="AB974" s="239"/>
      <c r="AC974" s="239"/>
      <c r="AD974" s="239"/>
      <c r="AE974" s="239"/>
      <c r="AF974" s="239"/>
      <c r="AG974" s="239"/>
      <c r="AH974" s="239"/>
      <c r="AI974" s="239"/>
      <c r="AJ974" s="239"/>
      <c r="AK974" s="239"/>
      <c r="AL974" s="239"/>
      <c r="AM974" s="239"/>
      <c r="AN974" s="239"/>
      <c r="AO974" s="239"/>
      <c r="AP974" s="239"/>
      <c r="AQ974" s="239"/>
      <c r="AR974" s="239"/>
      <c r="AS974" s="239"/>
      <c r="AT974" s="239"/>
      <c r="AU974" s="239"/>
      <c r="AV974" s="239"/>
      <c r="AW974" s="239"/>
      <c r="AX974" s="239"/>
      <c r="AY974" s="239"/>
      <c r="AZ974" s="239"/>
      <c r="BA974" s="239"/>
      <c r="BB974" s="239"/>
      <c r="BC974" s="239"/>
      <c r="BD974" s="239"/>
      <c r="BE974" s="239"/>
      <c r="BF974" s="239"/>
      <c r="BG974" s="239"/>
      <c r="BH974" s="239"/>
      <c r="BI974" s="239"/>
    </row>
    <row r="975">
      <c r="A975" s="239"/>
      <c r="B975" s="239"/>
      <c r="C975" s="239"/>
      <c r="D975" s="239"/>
      <c r="E975" s="239"/>
      <c r="F975" s="239"/>
      <c r="G975" s="255"/>
      <c r="H975" s="239"/>
      <c r="I975" s="239"/>
      <c r="J975" s="239"/>
      <c r="K975" s="255"/>
      <c r="L975" s="239"/>
      <c r="M975" s="239"/>
      <c r="N975" s="239"/>
      <c r="O975" s="239"/>
      <c r="P975" s="239"/>
      <c r="Q975" s="239"/>
      <c r="R975" s="239"/>
      <c r="S975" s="239"/>
      <c r="T975" s="239"/>
      <c r="U975" s="239"/>
      <c r="V975" s="239"/>
      <c r="W975" s="239"/>
      <c r="X975" s="239"/>
      <c r="Y975" s="239"/>
      <c r="Z975" s="239"/>
      <c r="AA975" s="239"/>
      <c r="AB975" s="239"/>
      <c r="AC975" s="239"/>
      <c r="AD975" s="239"/>
      <c r="AE975" s="239"/>
      <c r="AF975" s="239"/>
      <c r="AG975" s="239"/>
      <c r="AH975" s="239"/>
      <c r="AI975" s="239"/>
      <c r="AJ975" s="239"/>
      <c r="AK975" s="239"/>
      <c r="AL975" s="239"/>
      <c r="AM975" s="239"/>
      <c r="AN975" s="239"/>
      <c r="AO975" s="239"/>
      <c r="AP975" s="239"/>
      <c r="AQ975" s="239"/>
      <c r="AR975" s="239"/>
      <c r="AS975" s="239"/>
      <c r="AT975" s="239"/>
      <c r="AU975" s="239"/>
      <c r="AV975" s="239"/>
      <c r="AW975" s="239"/>
      <c r="AX975" s="239"/>
      <c r="AY975" s="239"/>
      <c r="AZ975" s="239"/>
      <c r="BA975" s="239"/>
      <c r="BB975" s="239"/>
      <c r="BC975" s="239"/>
      <c r="BD975" s="239"/>
      <c r="BE975" s="239"/>
      <c r="BF975" s="239"/>
      <c r="BG975" s="239"/>
      <c r="BH975" s="239"/>
      <c r="BI975" s="239"/>
    </row>
    <row r="976">
      <c r="A976" s="239"/>
      <c r="B976" s="239"/>
      <c r="C976" s="239"/>
      <c r="D976" s="239"/>
      <c r="E976" s="239"/>
      <c r="F976" s="239"/>
      <c r="G976" s="255"/>
      <c r="H976" s="239"/>
      <c r="I976" s="239"/>
      <c r="J976" s="239"/>
      <c r="K976" s="255"/>
      <c r="L976" s="239"/>
      <c r="M976" s="239"/>
      <c r="N976" s="239"/>
      <c r="O976" s="239"/>
      <c r="P976" s="239"/>
      <c r="Q976" s="239"/>
      <c r="R976" s="239"/>
      <c r="S976" s="239"/>
      <c r="T976" s="239"/>
      <c r="U976" s="239"/>
      <c r="V976" s="239"/>
      <c r="W976" s="239"/>
      <c r="X976" s="239"/>
      <c r="Y976" s="239"/>
      <c r="Z976" s="239"/>
      <c r="AA976" s="239"/>
      <c r="AB976" s="239"/>
      <c r="AC976" s="239"/>
      <c r="AD976" s="239"/>
      <c r="AE976" s="239"/>
      <c r="AF976" s="239"/>
      <c r="AG976" s="239"/>
      <c r="AH976" s="239"/>
      <c r="AI976" s="239"/>
      <c r="AJ976" s="239"/>
      <c r="AK976" s="239"/>
      <c r="AL976" s="239"/>
      <c r="AM976" s="239"/>
      <c r="AN976" s="239"/>
      <c r="AO976" s="239"/>
      <c r="AP976" s="239"/>
      <c r="AQ976" s="239"/>
      <c r="AR976" s="239"/>
      <c r="AS976" s="239"/>
      <c r="AT976" s="239"/>
      <c r="AU976" s="239"/>
      <c r="AV976" s="239"/>
      <c r="AW976" s="239"/>
      <c r="AX976" s="239"/>
      <c r="AY976" s="239"/>
      <c r="AZ976" s="239"/>
      <c r="BA976" s="239"/>
      <c r="BB976" s="239"/>
      <c r="BC976" s="239"/>
      <c r="BD976" s="239"/>
      <c r="BE976" s="239"/>
      <c r="BF976" s="239"/>
      <c r="BG976" s="239"/>
      <c r="BH976" s="239"/>
      <c r="BI976" s="239"/>
    </row>
    <row r="977">
      <c r="A977" s="239"/>
      <c r="B977" s="239"/>
      <c r="C977" s="239"/>
      <c r="D977" s="239"/>
      <c r="E977" s="239"/>
      <c r="F977" s="239"/>
      <c r="G977" s="255"/>
      <c r="H977" s="239"/>
      <c r="I977" s="239"/>
      <c r="J977" s="239"/>
      <c r="K977" s="255"/>
      <c r="L977" s="239"/>
      <c r="M977" s="239"/>
      <c r="N977" s="239"/>
      <c r="O977" s="239"/>
      <c r="P977" s="239"/>
      <c r="Q977" s="239"/>
      <c r="R977" s="239"/>
      <c r="S977" s="239"/>
      <c r="T977" s="239"/>
      <c r="U977" s="239"/>
      <c r="V977" s="239"/>
      <c r="W977" s="239"/>
      <c r="X977" s="239"/>
      <c r="Y977" s="239"/>
      <c r="Z977" s="239"/>
      <c r="AA977" s="239"/>
      <c r="AB977" s="239"/>
      <c r="AC977" s="239"/>
      <c r="AD977" s="239"/>
      <c r="AE977" s="239"/>
      <c r="AF977" s="239"/>
      <c r="AG977" s="239"/>
      <c r="AH977" s="239"/>
      <c r="AI977" s="239"/>
      <c r="AJ977" s="239"/>
      <c r="AK977" s="239"/>
      <c r="AL977" s="239"/>
      <c r="AM977" s="239"/>
      <c r="AN977" s="239"/>
      <c r="AO977" s="239"/>
      <c r="AP977" s="239"/>
      <c r="AQ977" s="239"/>
      <c r="AR977" s="239"/>
      <c r="AS977" s="239"/>
      <c r="AT977" s="239"/>
      <c r="AU977" s="239"/>
      <c r="AV977" s="239"/>
      <c r="AW977" s="239"/>
      <c r="AX977" s="239"/>
      <c r="AY977" s="239"/>
      <c r="AZ977" s="239"/>
      <c r="BA977" s="239"/>
      <c r="BB977" s="239"/>
      <c r="BC977" s="239"/>
      <c r="BD977" s="239"/>
      <c r="BE977" s="239"/>
      <c r="BF977" s="239"/>
      <c r="BG977" s="239"/>
      <c r="BH977" s="239"/>
      <c r="BI977" s="239"/>
    </row>
    <row r="978">
      <c r="A978" s="239"/>
      <c r="B978" s="239"/>
      <c r="C978" s="239"/>
      <c r="D978" s="239"/>
      <c r="E978" s="239"/>
      <c r="F978" s="239"/>
      <c r="G978" s="255"/>
      <c r="H978" s="239"/>
      <c r="I978" s="239"/>
      <c r="J978" s="239"/>
      <c r="K978" s="255"/>
      <c r="L978" s="239"/>
      <c r="M978" s="239"/>
      <c r="N978" s="239"/>
      <c r="O978" s="239"/>
      <c r="P978" s="239"/>
      <c r="Q978" s="239"/>
      <c r="R978" s="239"/>
      <c r="S978" s="239"/>
      <c r="T978" s="239"/>
      <c r="U978" s="239"/>
      <c r="V978" s="239"/>
      <c r="W978" s="239"/>
      <c r="X978" s="239"/>
      <c r="Y978" s="239"/>
      <c r="Z978" s="239"/>
      <c r="AA978" s="239"/>
      <c r="AB978" s="239"/>
      <c r="AC978" s="239"/>
      <c r="AD978" s="239"/>
      <c r="AE978" s="239"/>
      <c r="AF978" s="239"/>
      <c r="AG978" s="239"/>
      <c r="AH978" s="239"/>
      <c r="AI978" s="239"/>
      <c r="AJ978" s="239"/>
      <c r="AK978" s="239"/>
      <c r="AL978" s="239"/>
      <c r="AM978" s="239"/>
      <c r="AN978" s="239"/>
      <c r="AO978" s="239"/>
      <c r="AP978" s="239"/>
      <c r="AQ978" s="239"/>
      <c r="AR978" s="239"/>
      <c r="AS978" s="239"/>
      <c r="AT978" s="239"/>
      <c r="AU978" s="239"/>
      <c r="AV978" s="239"/>
      <c r="AW978" s="239"/>
      <c r="AX978" s="239"/>
      <c r="AY978" s="239"/>
      <c r="AZ978" s="239"/>
      <c r="BA978" s="239"/>
      <c r="BB978" s="239"/>
      <c r="BC978" s="239"/>
      <c r="BD978" s="239"/>
      <c r="BE978" s="239"/>
      <c r="BF978" s="239"/>
      <c r="BG978" s="239"/>
      <c r="BH978" s="239"/>
      <c r="BI978" s="239"/>
    </row>
    <row r="979">
      <c r="A979" s="239"/>
      <c r="B979" s="239"/>
      <c r="C979" s="239"/>
      <c r="D979" s="239"/>
      <c r="E979" s="239"/>
      <c r="F979" s="239"/>
      <c r="G979" s="255"/>
      <c r="H979" s="239"/>
      <c r="I979" s="239"/>
      <c r="J979" s="239"/>
      <c r="K979" s="255"/>
      <c r="L979" s="239"/>
      <c r="M979" s="239"/>
      <c r="N979" s="239"/>
      <c r="O979" s="239"/>
      <c r="P979" s="239"/>
      <c r="Q979" s="239"/>
      <c r="R979" s="239"/>
      <c r="S979" s="239"/>
      <c r="T979" s="239"/>
      <c r="U979" s="239"/>
      <c r="V979" s="239"/>
      <c r="W979" s="239"/>
      <c r="X979" s="239"/>
      <c r="Y979" s="239"/>
      <c r="Z979" s="239"/>
      <c r="AA979" s="239"/>
      <c r="AB979" s="239"/>
      <c r="AC979" s="239"/>
      <c r="AD979" s="239"/>
      <c r="AE979" s="239"/>
      <c r="AF979" s="239"/>
      <c r="AG979" s="239"/>
      <c r="AH979" s="239"/>
      <c r="AI979" s="239"/>
      <c r="AJ979" s="239"/>
      <c r="AK979" s="239"/>
      <c r="AL979" s="239"/>
      <c r="AM979" s="239"/>
      <c r="AN979" s="239"/>
      <c r="AO979" s="239"/>
      <c r="AP979" s="239"/>
      <c r="AQ979" s="239"/>
      <c r="AR979" s="239"/>
      <c r="AS979" s="239"/>
      <c r="AT979" s="239"/>
      <c r="AU979" s="239"/>
      <c r="AV979" s="239"/>
      <c r="AW979" s="239"/>
      <c r="AX979" s="239"/>
      <c r="AY979" s="239"/>
      <c r="AZ979" s="239"/>
      <c r="BA979" s="239"/>
      <c r="BB979" s="239"/>
      <c r="BC979" s="239"/>
      <c r="BD979" s="239"/>
      <c r="BE979" s="239"/>
      <c r="BF979" s="239"/>
      <c r="BG979" s="239"/>
      <c r="BH979" s="239"/>
      <c r="BI979" s="239"/>
    </row>
    <row r="980">
      <c r="A980" s="239"/>
      <c r="B980" s="239"/>
      <c r="C980" s="239"/>
      <c r="D980" s="239"/>
      <c r="E980" s="239"/>
      <c r="F980" s="239"/>
      <c r="G980" s="255"/>
      <c r="H980" s="239"/>
      <c r="I980" s="239"/>
      <c r="J980" s="239"/>
      <c r="K980" s="255"/>
      <c r="L980" s="239"/>
      <c r="M980" s="239"/>
      <c r="N980" s="239"/>
      <c r="O980" s="239"/>
      <c r="P980" s="239"/>
      <c r="Q980" s="239"/>
      <c r="R980" s="239"/>
      <c r="S980" s="239"/>
      <c r="T980" s="239"/>
      <c r="U980" s="239"/>
      <c r="V980" s="239"/>
      <c r="W980" s="239"/>
      <c r="X980" s="239"/>
      <c r="Y980" s="239"/>
      <c r="Z980" s="239"/>
      <c r="AA980" s="239"/>
      <c r="AB980" s="239"/>
      <c r="AC980" s="239"/>
      <c r="AD980" s="239"/>
      <c r="AE980" s="239"/>
      <c r="AF980" s="239"/>
      <c r="AG980" s="239"/>
      <c r="AH980" s="239"/>
      <c r="AI980" s="239"/>
      <c r="AJ980" s="239"/>
      <c r="AK980" s="239"/>
      <c r="AL980" s="239"/>
      <c r="AM980" s="239"/>
      <c r="AN980" s="239"/>
      <c r="AO980" s="239"/>
      <c r="AP980" s="239"/>
      <c r="AQ980" s="239"/>
      <c r="AR980" s="239"/>
      <c r="AS980" s="239"/>
      <c r="AT980" s="239"/>
      <c r="AU980" s="239"/>
      <c r="AV980" s="239"/>
      <c r="AW980" s="239"/>
      <c r="AX980" s="239"/>
      <c r="AY980" s="239"/>
      <c r="AZ980" s="239"/>
      <c r="BA980" s="239"/>
      <c r="BB980" s="239"/>
      <c r="BC980" s="239"/>
      <c r="BD980" s="239"/>
      <c r="BE980" s="239"/>
      <c r="BF980" s="239"/>
      <c r="BG980" s="239"/>
      <c r="BH980" s="239"/>
      <c r="BI980" s="239"/>
    </row>
    <row r="981">
      <c r="A981" s="239"/>
      <c r="B981" s="239"/>
      <c r="C981" s="239"/>
      <c r="D981" s="239"/>
      <c r="E981" s="239"/>
      <c r="F981" s="239"/>
      <c r="G981" s="255"/>
      <c r="H981" s="239"/>
      <c r="I981" s="239"/>
      <c r="J981" s="239"/>
      <c r="K981" s="255"/>
      <c r="L981" s="239"/>
      <c r="M981" s="239"/>
      <c r="N981" s="239"/>
      <c r="O981" s="239"/>
      <c r="P981" s="239"/>
      <c r="Q981" s="239"/>
      <c r="R981" s="239"/>
      <c r="S981" s="239"/>
      <c r="T981" s="239"/>
      <c r="U981" s="239"/>
      <c r="V981" s="239"/>
      <c r="W981" s="239"/>
      <c r="X981" s="239"/>
      <c r="Y981" s="239"/>
      <c r="Z981" s="239"/>
      <c r="AA981" s="239"/>
      <c r="AB981" s="239"/>
      <c r="AC981" s="239"/>
      <c r="AD981" s="239"/>
      <c r="AE981" s="239"/>
      <c r="AF981" s="239"/>
      <c r="AG981" s="239"/>
      <c r="AH981" s="239"/>
      <c r="AI981" s="239"/>
      <c r="AJ981" s="239"/>
      <c r="AK981" s="239"/>
      <c r="AL981" s="239"/>
      <c r="AM981" s="239"/>
      <c r="AN981" s="239"/>
      <c r="AO981" s="239"/>
      <c r="AP981" s="239"/>
      <c r="AQ981" s="239"/>
      <c r="AR981" s="239"/>
      <c r="AS981" s="239"/>
      <c r="AT981" s="239"/>
      <c r="AU981" s="239"/>
      <c r="AV981" s="239"/>
      <c r="AW981" s="239"/>
      <c r="AX981" s="239"/>
      <c r="AY981" s="239"/>
      <c r="AZ981" s="239"/>
      <c r="BA981" s="239"/>
      <c r="BB981" s="239"/>
      <c r="BC981" s="239"/>
      <c r="BD981" s="239"/>
      <c r="BE981" s="239"/>
      <c r="BF981" s="239"/>
      <c r="BG981" s="239"/>
      <c r="BH981" s="239"/>
      <c r="BI981" s="239"/>
    </row>
    <row r="982">
      <c r="A982" s="239"/>
      <c r="B982" s="239"/>
      <c r="C982" s="239"/>
      <c r="D982" s="239"/>
      <c r="E982" s="239"/>
      <c r="F982" s="239"/>
      <c r="G982" s="255"/>
      <c r="H982" s="239"/>
      <c r="I982" s="239"/>
      <c r="J982" s="239"/>
      <c r="K982" s="255"/>
      <c r="L982" s="239"/>
      <c r="M982" s="239"/>
      <c r="N982" s="239"/>
      <c r="O982" s="239"/>
      <c r="P982" s="239"/>
      <c r="Q982" s="239"/>
      <c r="R982" s="239"/>
      <c r="S982" s="239"/>
      <c r="T982" s="239"/>
      <c r="U982" s="239"/>
      <c r="V982" s="239"/>
      <c r="W982" s="239"/>
      <c r="X982" s="239"/>
      <c r="Y982" s="239"/>
      <c r="Z982" s="239"/>
      <c r="AA982" s="239"/>
      <c r="AB982" s="239"/>
      <c r="AC982" s="239"/>
      <c r="AD982" s="239"/>
      <c r="AE982" s="239"/>
      <c r="AF982" s="239"/>
      <c r="AG982" s="239"/>
      <c r="AH982" s="239"/>
      <c r="AI982" s="239"/>
      <c r="AJ982" s="239"/>
      <c r="AK982" s="239"/>
      <c r="AL982" s="239"/>
      <c r="AM982" s="239"/>
      <c r="AN982" s="239"/>
      <c r="AO982" s="239"/>
      <c r="AP982" s="239"/>
      <c r="AQ982" s="239"/>
      <c r="AR982" s="239"/>
      <c r="AS982" s="239"/>
      <c r="AT982" s="239"/>
      <c r="AU982" s="239"/>
      <c r="AV982" s="239"/>
      <c r="AW982" s="239"/>
      <c r="AX982" s="239"/>
      <c r="AY982" s="239"/>
      <c r="AZ982" s="239"/>
      <c r="BA982" s="239"/>
      <c r="BB982" s="239"/>
      <c r="BC982" s="239"/>
      <c r="BD982" s="239"/>
      <c r="BE982" s="239"/>
      <c r="BF982" s="239"/>
      <c r="BG982" s="239"/>
      <c r="BH982" s="239"/>
      <c r="BI982" s="239"/>
    </row>
    <row r="983">
      <c r="A983" s="239"/>
      <c r="B983" s="239"/>
      <c r="C983" s="239"/>
      <c r="D983" s="239"/>
      <c r="E983" s="239"/>
      <c r="F983" s="239"/>
      <c r="G983" s="255"/>
      <c r="H983" s="239"/>
      <c r="I983" s="239"/>
      <c r="J983" s="239"/>
      <c r="K983" s="255"/>
      <c r="L983" s="239"/>
      <c r="M983" s="239"/>
      <c r="N983" s="239"/>
      <c r="O983" s="239"/>
      <c r="P983" s="239"/>
      <c r="Q983" s="239"/>
      <c r="R983" s="239"/>
      <c r="S983" s="239"/>
      <c r="T983" s="239"/>
      <c r="U983" s="239"/>
      <c r="V983" s="239"/>
      <c r="W983" s="239"/>
      <c r="X983" s="239"/>
      <c r="Y983" s="239"/>
      <c r="Z983" s="239"/>
      <c r="AA983" s="239"/>
      <c r="AB983" s="239"/>
      <c r="AC983" s="239"/>
      <c r="AD983" s="239"/>
      <c r="AE983" s="239"/>
      <c r="AF983" s="239"/>
      <c r="AG983" s="239"/>
      <c r="AH983" s="239"/>
      <c r="AI983" s="239"/>
      <c r="AJ983" s="239"/>
      <c r="AK983" s="239"/>
      <c r="AL983" s="239"/>
      <c r="AM983" s="239"/>
      <c r="AN983" s="239"/>
      <c r="AO983" s="239"/>
      <c r="AP983" s="239"/>
      <c r="AQ983" s="239"/>
      <c r="AR983" s="239"/>
      <c r="AS983" s="239"/>
      <c r="AT983" s="239"/>
      <c r="AU983" s="239"/>
      <c r="AV983" s="239"/>
      <c r="AW983" s="239"/>
      <c r="AX983" s="239"/>
      <c r="AY983" s="239"/>
      <c r="AZ983" s="239"/>
      <c r="BA983" s="239"/>
      <c r="BB983" s="239"/>
      <c r="BC983" s="239"/>
      <c r="BD983" s="239"/>
      <c r="BE983" s="239"/>
      <c r="BF983" s="239"/>
      <c r="BG983" s="239"/>
      <c r="BH983" s="239"/>
      <c r="BI983" s="239"/>
    </row>
    <row r="984">
      <c r="A984" s="239"/>
      <c r="B984" s="239"/>
      <c r="C984" s="239"/>
      <c r="D984" s="239"/>
      <c r="E984" s="239"/>
      <c r="F984" s="239"/>
      <c r="G984" s="255"/>
      <c r="H984" s="239"/>
      <c r="I984" s="239"/>
      <c r="J984" s="239"/>
      <c r="K984" s="255"/>
      <c r="L984" s="239"/>
      <c r="M984" s="239"/>
      <c r="N984" s="239"/>
      <c r="O984" s="239"/>
      <c r="P984" s="239"/>
      <c r="Q984" s="239"/>
      <c r="R984" s="239"/>
      <c r="S984" s="239"/>
      <c r="T984" s="239"/>
      <c r="U984" s="239"/>
      <c r="V984" s="239"/>
      <c r="W984" s="239"/>
      <c r="X984" s="239"/>
      <c r="Y984" s="239"/>
      <c r="Z984" s="239"/>
      <c r="AA984" s="239"/>
      <c r="AB984" s="239"/>
      <c r="AC984" s="239"/>
      <c r="AD984" s="239"/>
      <c r="AE984" s="239"/>
      <c r="AF984" s="239"/>
      <c r="AG984" s="239"/>
      <c r="AH984" s="239"/>
      <c r="AI984" s="239"/>
      <c r="AJ984" s="239"/>
      <c r="AK984" s="239"/>
      <c r="AL984" s="239"/>
      <c r="AM984" s="239"/>
      <c r="AN984" s="239"/>
      <c r="AO984" s="239"/>
      <c r="AP984" s="239"/>
      <c r="AQ984" s="239"/>
      <c r="AR984" s="239"/>
      <c r="AS984" s="239"/>
      <c r="AT984" s="239"/>
      <c r="AU984" s="239"/>
      <c r="AV984" s="239"/>
      <c r="AW984" s="239"/>
      <c r="AX984" s="239"/>
      <c r="AY984" s="239"/>
      <c r="AZ984" s="239"/>
      <c r="BA984" s="239"/>
      <c r="BB984" s="239"/>
      <c r="BC984" s="239"/>
      <c r="BD984" s="239"/>
      <c r="BE984" s="239"/>
      <c r="BF984" s="239"/>
      <c r="BG984" s="239"/>
      <c r="BH984" s="239"/>
      <c r="BI984" s="239"/>
    </row>
    <row r="985">
      <c r="A985" s="239"/>
      <c r="B985" s="239"/>
      <c r="C985" s="239"/>
      <c r="D985" s="239"/>
      <c r="E985" s="239"/>
      <c r="F985" s="239"/>
      <c r="G985" s="255"/>
      <c r="H985" s="239"/>
      <c r="I985" s="239"/>
      <c r="J985" s="239"/>
      <c r="K985" s="255"/>
      <c r="L985" s="239"/>
      <c r="M985" s="239"/>
      <c r="N985" s="239"/>
      <c r="O985" s="239"/>
      <c r="P985" s="239"/>
      <c r="Q985" s="239"/>
      <c r="R985" s="239"/>
      <c r="S985" s="239"/>
      <c r="T985" s="239"/>
      <c r="U985" s="239"/>
      <c r="V985" s="239"/>
      <c r="W985" s="239"/>
      <c r="X985" s="239"/>
      <c r="Y985" s="239"/>
      <c r="Z985" s="239"/>
      <c r="AA985" s="239"/>
      <c r="AB985" s="239"/>
      <c r="AC985" s="239"/>
      <c r="AD985" s="239"/>
      <c r="AE985" s="239"/>
      <c r="AF985" s="239"/>
      <c r="AG985" s="239"/>
      <c r="AH985" s="239"/>
      <c r="AI985" s="239"/>
      <c r="AJ985" s="239"/>
      <c r="AK985" s="239"/>
      <c r="AL985" s="239"/>
      <c r="AM985" s="239"/>
      <c r="AN985" s="239"/>
      <c r="AO985" s="239"/>
      <c r="AP985" s="239"/>
      <c r="AQ985" s="239"/>
      <c r="AR985" s="239"/>
      <c r="AS985" s="239"/>
      <c r="AT985" s="239"/>
      <c r="AU985" s="239"/>
      <c r="AV985" s="239"/>
      <c r="AW985" s="239"/>
      <c r="AX985" s="239"/>
      <c r="AY985" s="239"/>
      <c r="AZ985" s="239"/>
      <c r="BA985" s="239"/>
      <c r="BB985" s="239"/>
      <c r="BC985" s="239"/>
      <c r="BD985" s="239"/>
      <c r="BE985" s="239"/>
      <c r="BF985" s="239"/>
      <c r="BG985" s="239"/>
      <c r="BH985" s="239"/>
      <c r="BI985" s="239"/>
    </row>
    <row r="986">
      <c r="A986" s="239"/>
      <c r="B986" s="239"/>
      <c r="C986" s="239"/>
      <c r="D986" s="239"/>
      <c r="E986" s="239"/>
      <c r="F986" s="239"/>
      <c r="G986" s="255"/>
      <c r="H986" s="239"/>
      <c r="I986" s="239"/>
      <c r="J986" s="239"/>
      <c r="K986" s="255"/>
      <c r="L986" s="239"/>
      <c r="M986" s="239"/>
      <c r="N986" s="239"/>
      <c r="O986" s="239"/>
      <c r="P986" s="239"/>
      <c r="Q986" s="239"/>
      <c r="R986" s="239"/>
      <c r="S986" s="239"/>
      <c r="T986" s="239"/>
      <c r="U986" s="239"/>
      <c r="V986" s="239"/>
      <c r="W986" s="239"/>
      <c r="X986" s="239"/>
      <c r="Y986" s="239"/>
      <c r="Z986" s="239"/>
      <c r="AA986" s="239"/>
      <c r="AB986" s="239"/>
      <c r="AC986" s="239"/>
      <c r="AD986" s="239"/>
      <c r="AE986" s="239"/>
      <c r="AF986" s="239"/>
      <c r="AG986" s="239"/>
      <c r="AH986" s="239"/>
      <c r="AI986" s="239"/>
      <c r="AJ986" s="239"/>
      <c r="AK986" s="239"/>
      <c r="AL986" s="239"/>
      <c r="AM986" s="239"/>
      <c r="AN986" s="239"/>
      <c r="AO986" s="239"/>
      <c r="AP986" s="239"/>
      <c r="AQ986" s="239"/>
      <c r="AR986" s="239"/>
      <c r="AS986" s="239"/>
      <c r="AT986" s="239"/>
      <c r="AU986" s="239"/>
      <c r="AV986" s="239"/>
      <c r="AW986" s="239"/>
      <c r="AX986" s="239"/>
      <c r="AY986" s="239"/>
      <c r="AZ986" s="239"/>
      <c r="BA986" s="239"/>
      <c r="BB986" s="239"/>
      <c r="BC986" s="239"/>
      <c r="BD986" s="239"/>
      <c r="BE986" s="239"/>
      <c r="BF986" s="239"/>
      <c r="BG986" s="239"/>
      <c r="BH986" s="239"/>
      <c r="BI986" s="239"/>
    </row>
    <row r="987">
      <c r="A987" s="239"/>
      <c r="B987" s="239"/>
      <c r="C987" s="239"/>
      <c r="D987" s="239"/>
      <c r="E987" s="239"/>
      <c r="F987" s="239"/>
      <c r="G987" s="255"/>
      <c r="H987" s="239"/>
      <c r="I987" s="239"/>
      <c r="J987" s="239"/>
      <c r="K987" s="255"/>
      <c r="L987" s="239"/>
      <c r="M987" s="239"/>
      <c r="N987" s="239"/>
      <c r="O987" s="239"/>
      <c r="P987" s="239"/>
      <c r="Q987" s="239"/>
      <c r="R987" s="239"/>
      <c r="S987" s="239"/>
      <c r="T987" s="239"/>
      <c r="U987" s="239"/>
      <c r="V987" s="239"/>
      <c r="W987" s="239"/>
      <c r="X987" s="239"/>
      <c r="Y987" s="239"/>
      <c r="Z987" s="239"/>
      <c r="AA987" s="239"/>
      <c r="AB987" s="239"/>
      <c r="AC987" s="239"/>
      <c r="AD987" s="239"/>
      <c r="AE987" s="239"/>
      <c r="AF987" s="239"/>
      <c r="AG987" s="239"/>
      <c r="AH987" s="239"/>
      <c r="AI987" s="239"/>
      <c r="AJ987" s="239"/>
      <c r="AK987" s="239"/>
      <c r="AL987" s="239"/>
      <c r="AM987" s="239"/>
      <c r="AN987" s="239"/>
      <c r="AO987" s="239"/>
      <c r="AP987" s="239"/>
      <c r="AQ987" s="239"/>
      <c r="AR987" s="239"/>
      <c r="AS987" s="239"/>
      <c r="AT987" s="239"/>
      <c r="AU987" s="239"/>
      <c r="AV987" s="239"/>
      <c r="AW987" s="239"/>
      <c r="AX987" s="239"/>
      <c r="AY987" s="239"/>
      <c r="AZ987" s="239"/>
      <c r="BA987" s="239"/>
      <c r="BB987" s="239"/>
      <c r="BC987" s="239"/>
      <c r="BD987" s="239"/>
      <c r="BE987" s="239"/>
      <c r="BF987" s="239"/>
      <c r="BG987" s="239"/>
      <c r="BH987" s="239"/>
      <c r="BI987" s="239"/>
    </row>
    <row r="988">
      <c r="A988" s="239"/>
      <c r="B988" s="239"/>
      <c r="C988" s="239"/>
      <c r="D988" s="239"/>
      <c r="E988" s="239"/>
      <c r="F988" s="239"/>
      <c r="G988" s="255"/>
      <c r="H988" s="239"/>
      <c r="I988" s="239"/>
      <c r="J988" s="239"/>
      <c r="K988" s="255"/>
      <c r="L988" s="239"/>
      <c r="M988" s="239"/>
      <c r="N988" s="239"/>
      <c r="O988" s="239"/>
      <c r="P988" s="239"/>
      <c r="Q988" s="239"/>
      <c r="R988" s="239"/>
      <c r="S988" s="239"/>
      <c r="T988" s="239"/>
      <c r="U988" s="239"/>
      <c r="V988" s="239"/>
      <c r="W988" s="239"/>
      <c r="X988" s="239"/>
      <c r="Y988" s="239"/>
      <c r="Z988" s="239"/>
      <c r="AA988" s="239"/>
      <c r="AB988" s="239"/>
      <c r="AC988" s="239"/>
      <c r="AD988" s="239"/>
      <c r="AE988" s="239"/>
      <c r="AF988" s="239"/>
      <c r="AG988" s="239"/>
      <c r="AH988" s="239"/>
      <c r="AI988" s="239"/>
      <c r="AJ988" s="239"/>
      <c r="AK988" s="239"/>
      <c r="AL988" s="239"/>
      <c r="AM988" s="239"/>
      <c r="AN988" s="239"/>
      <c r="AO988" s="239"/>
      <c r="AP988" s="239"/>
      <c r="AQ988" s="239"/>
      <c r="AR988" s="239"/>
      <c r="AS988" s="239"/>
      <c r="AT988" s="239"/>
      <c r="AU988" s="239"/>
      <c r="AV988" s="239"/>
      <c r="AW988" s="239"/>
      <c r="AX988" s="239"/>
      <c r="AY988" s="239"/>
      <c r="AZ988" s="239"/>
      <c r="BA988" s="239"/>
      <c r="BB988" s="239"/>
      <c r="BC988" s="239"/>
      <c r="BD988" s="239"/>
      <c r="BE988" s="239"/>
      <c r="BF988" s="239"/>
      <c r="BG988" s="239"/>
      <c r="BH988" s="239"/>
      <c r="BI988" s="239"/>
    </row>
    <row r="989">
      <c r="A989" s="239"/>
      <c r="B989" s="239"/>
      <c r="C989" s="239"/>
      <c r="D989" s="239"/>
      <c r="E989" s="239"/>
      <c r="F989" s="239"/>
      <c r="G989" s="255"/>
      <c r="H989" s="239"/>
      <c r="I989" s="239"/>
      <c r="J989" s="239"/>
      <c r="K989" s="255"/>
      <c r="L989" s="239"/>
      <c r="M989" s="239"/>
      <c r="N989" s="239"/>
      <c r="O989" s="239"/>
      <c r="P989" s="239"/>
      <c r="Q989" s="239"/>
      <c r="R989" s="239"/>
      <c r="S989" s="239"/>
      <c r="T989" s="239"/>
      <c r="U989" s="239"/>
      <c r="V989" s="239"/>
      <c r="W989" s="239"/>
      <c r="X989" s="239"/>
      <c r="Y989" s="239"/>
      <c r="Z989" s="239"/>
      <c r="AA989" s="239"/>
      <c r="AB989" s="239"/>
      <c r="AC989" s="239"/>
      <c r="AD989" s="239"/>
      <c r="AE989" s="239"/>
      <c r="AF989" s="239"/>
      <c r="AG989" s="239"/>
      <c r="AH989" s="239"/>
      <c r="AI989" s="239"/>
      <c r="AJ989" s="239"/>
      <c r="AK989" s="239"/>
      <c r="AL989" s="239"/>
      <c r="AM989" s="239"/>
      <c r="AN989" s="239"/>
      <c r="AO989" s="239"/>
      <c r="AP989" s="239"/>
      <c r="AQ989" s="239"/>
      <c r="AR989" s="239"/>
      <c r="AS989" s="239"/>
      <c r="AT989" s="239"/>
      <c r="AU989" s="239"/>
      <c r="AV989" s="239"/>
      <c r="AW989" s="239"/>
      <c r="AX989" s="239"/>
      <c r="AY989" s="239"/>
      <c r="AZ989" s="239"/>
      <c r="BA989" s="239"/>
      <c r="BB989" s="239"/>
      <c r="BC989" s="239"/>
      <c r="BD989" s="239"/>
      <c r="BE989" s="239"/>
      <c r="BF989" s="239"/>
      <c r="BG989" s="239"/>
      <c r="BH989" s="239"/>
      <c r="BI989" s="239"/>
    </row>
    <row r="990">
      <c r="A990" s="239"/>
      <c r="B990" s="239"/>
      <c r="C990" s="239"/>
      <c r="D990" s="239"/>
      <c r="E990" s="239"/>
      <c r="F990" s="239"/>
      <c r="G990" s="255"/>
      <c r="H990" s="239"/>
      <c r="I990" s="239"/>
      <c r="J990" s="239"/>
      <c r="K990" s="255"/>
      <c r="L990" s="239"/>
      <c r="M990" s="239"/>
      <c r="N990" s="239"/>
      <c r="O990" s="239"/>
      <c r="P990" s="239"/>
      <c r="Q990" s="239"/>
      <c r="R990" s="239"/>
      <c r="S990" s="239"/>
      <c r="T990" s="239"/>
      <c r="U990" s="239"/>
      <c r="V990" s="239"/>
      <c r="W990" s="239"/>
      <c r="X990" s="239"/>
      <c r="Y990" s="239"/>
      <c r="Z990" s="239"/>
      <c r="AA990" s="239"/>
      <c r="AB990" s="239"/>
      <c r="AC990" s="239"/>
      <c r="AD990" s="239"/>
      <c r="AE990" s="239"/>
      <c r="AF990" s="239"/>
      <c r="AG990" s="239"/>
      <c r="AH990" s="239"/>
      <c r="AI990" s="239"/>
      <c r="AJ990" s="239"/>
      <c r="AK990" s="239"/>
      <c r="AL990" s="239"/>
      <c r="AM990" s="239"/>
      <c r="AN990" s="239"/>
      <c r="AO990" s="239"/>
      <c r="AP990" s="239"/>
      <c r="AQ990" s="239"/>
      <c r="AR990" s="239"/>
      <c r="AS990" s="239"/>
      <c r="AT990" s="239"/>
      <c r="AU990" s="239"/>
      <c r="AV990" s="239"/>
      <c r="AW990" s="239"/>
      <c r="AX990" s="239"/>
      <c r="AY990" s="239"/>
      <c r="AZ990" s="239"/>
      <c r="BA990" s="239"/>
      <c r="BB990" s="239"/>
      <c r="BC990" s="239"/>
      <c r="BD990" s="239"/>
      <c r="BE990" s="239"/>
      <c r="BF990" s="239"/>
      <c r="BG990" s="239"/>
      <c r="BH990" s="239"/>
      <c r="BI990" s="239"/>
    </row>
    <row r="991">
      <c r="A991" s="239"/>
      <c r="B991" s="239"/>
      <c r="C991" s="239"/>
      <c r="D991" s="239"/>
      <c r="E991" s="239"/>
      <c r="F991" s="239"/>
      <c r="G991" s="255"/>
      <c r="H991" s="239"/>
      <c r="I991" s="239"/>
      <c r="J991" s="239"/>
      <c r="K991" s="255"/>
      <c r="L991" s="239"/>
      <c r="M991" s="239"/>
      <c r="N991" s="239"/>
      <c r="O991" s="239"/>
      <c r="P991" s="239"/>
      <c r="Q991" s="239"/>
      <c r="R991" s="239"/>
      <c r="S991" s="239"/>
      <c r="T991" s="239"/>
      <c r="U991" s="239"/>
      <c r="V991" s="239"/>
      <c r="W991" s="239"/>
      <c r="X991" s="239"/>
      <c r="Y991" s="239"/>
      <c r="Z991" s="239"/>
      <c r="AA991" s="239"/>
      <c r="AB991" s="239"/>
      <c r="AC991" s="239"/>
      <c r="AD991" s="239"/>
      <c r="AE991" s="239"/>
      <c r="AF991" s="239"/>
      <c r="AG991" s="239"/>
      <c r="AH991" s="239"/>
      <c r="AI991" s="239"/>
      <c r="AJ991" s="239"/>
      <c r="AK991" s="239"/>
      <c r="AL991" s="239"/>
      <c r="AM991" s="239"/>
      <c r="AN991" s="239"/>
      <c r="AO991" s="239"/>
      <c r="AP991" s="239"/>
      <c r="AQ991" s="239"/>
      <c r="AR991" s="239"/>
      <c r="AS991" s="239"/>
      <c r="AT991" s="239"/>
      <c r="AU991" s="239"/>
      <c r="AV991" s="239"/>
      <c r="AW991" s="239"/>
      <c r="AX991" s="239"/>
      <c r="AY991" s="239"/>
      <c r="AZ991" s="239"/>
      <c r="BA991" s="239"/>
      <c r="BB991" s="239"/>
      <c r="BC991" s="239"/>
      <c r="BD991" s="239"/>
      <c r="BE991" s="239"/>
      <c r="BF991" s="239"/>
      <c r="BG991" s="239"/>
      <c r="BH991" s="239"/>
      <c r="BI991" s="239"/>
    </row>
    <row r="992">
      <c r="A992" s="239"/>
      <c r="B992" s="239"/>
      <c r="C992" s="239"/>
      <c r="D992" s="239"/>
      <c r="E992" s="239"/>
      <c r="F992" s="239"/>
      <c r="G992" s="255"/>
      <c r="H992" s="239"/>
      <c r="I992" s="239"/>
      <c r="J992" s="239"/>
      <c r="K992" s="255"/>
      <c r="L992" s="239"/>
      <c r="M992" s="239"/>
      <c r="N992" s="239"/>
      <c r="O992" s="239"/>
      <c r="P992" s="239"/>
      <c r="Q992" s="239"/>
      <c r="R992" s="239"/>
      <c r="S992" s="239"/>
      <c r="T992" s="239"/>
      <c r="U992" s="239"/>
      <c r="V992" s="239"/>
      <c r="W992" s="239"/>
      <c r="X992" s="239"/>
      <c r="Y992" s="239"/>
      <c r="Z992" s="239"/>
      <c r="AA992" s="239"/>
      <c r="AB992" s="239"/>
      <c r="AC992" s="239"/>
      <c r="AD992" s="239"/>
      <c r="AE992" s="239"/>
      <c r="AF992" s="239"/>
      <c r="AG992" s="239"/>
      <c r="AH992" s="239"/>
      <c r="AI992" s="239"/>
      <c r="AJ992" s="239"/>
      <c r="AK992" s="239"/>
      <c r="AL992" s="239"/>
      <c r="AM992" s="239"/>
      <c r="AN992" s="239"/>
      <c r="AO992" s="239"/>
      <c r="AP992" s="239"/>
      <c r="AQ992" s="239"/>
      <c r="AR992" s="239"/>
      <c r="AS992" s="239"/>
      <c r="AT992" s="239"/>
      <c r="AU992" s="239"/>
      <c r="AV992" s="239"/>
      <c r="AW992" s="239"/>
      <c r="AX992" s="239"/>
      <c r="AY992" s="239"/>
      <c r="AZ992" s="239"/>
      <c r="BA992" s="239"/>
      <c r="BB992" s="239"/>
      <c r="BC992" s="239"/>
      <c r="BD992" s="239"/>
      <c r="BE992" s="239"/>
      <c r="BF992" s="239"/>
      <c r="BG992" s="239"/>
      <c r="BH992" s="239"/>
      <c r="BI992" s="239"/>
    </row>
    <row r="993">
      <c r="A993" s="239"/>
      <c r="B993" s="239"/>
      <c r="C993" s="239"/>
      <c r="D993" s="239"/>
      <c r="E993" s="239"/>
      <c r="F993" s="239"/>
      <c r="G993" s="255"/>
      <c r="H993" s="239"/>
      <c r="I993" s="239"/>
      <c r="J993" s="239"/>
      <c r="K993" s="255"/>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c r="AK993" s="239"/>
      <c r="AL993" s="239"/>
      <c r="AM993" s="239"/>
      <c r="AN993" s="239"/>
      <c r="AO993" s="239"/>
      <c r="AP993" s="239"/>
      <c r="AQ993" s="239"/>
      <c r="AR993" s="239"/>
      <c r="AS993" s="239"/>
      <c r="AT993" s="239"/>
      <c r="AU993" s="239"/>
      <c r="AV993" s="239"/>
      <c r="AW993" s="239"/>
      <c r="AX993" s="239"/>
      <c r="AY993" s="239"/>
      <c r="AZ993" s="239"/>
      <c r="BA993" s="239"/>
      <c r="BB993" s="239"/>
      <c r="BC993" s="239"/>
      <c r="BD993" s="239"/>
      <c r="BE993" s="239"/>
      <c r="BF993" s="239"/>
      <c r="BG993" s="239"/>
      <c r="BH993" s="239"/>
      <c r="BI993" s="239"/>
    </row>
    <row r="994">
      <c r="A994" s="239"/>
      <c r="B994" s="239"/>
      <c r="C994" s="239"/>
      <c r="D994" s="239"/>
      <c r="E994" s="239"/>
      <c r="F994" s="239"/>
      <c r="G994" s="255"/>
      <c r="H994" s="239"/>
      <c r="I994" s="239"/>
      <c r="J994" s="239"/>
      <c r="K994" s="255"/>
      <c r="L994" s="239"/>
      <c r="M994" s="239"/>
      <c r="N994" s="239"/>
      <c r="O994" s="239"/>
      <c r="P994" s="239"/>
      <c r="Q994" s="239"/>
      <c r="R994" s="239"/>
      <c r="S994" s="239"/>
      <c r="T994" s="239"/>
      <c r="U994" s="239"/>
      <c r="V994" s="239"/>
      <c r="W994" s="239"/>
      <c r="X994" s="239"/>
      <c r="Y994" s="239"/>
      <c r="Z994" s="239"/>
      <c r="AA994" s="239"/>
      <c r="AB994" s="239"/>
      <c r="AC994" s="239"/>
      <c r="AD994" s="239"/>
      <c r="AE994" s="239"/>
      <c r="AF994" s="239"/>
      <c r="AG994" s="239"/>
      <c r="AH994" s="239"/>
      <c r="AI994" s="239"/>
      <c r="AJ994" s="239"/>
      <c r="AK994" s="239"/>
      <c r="AL994" s="239"/>
      <c r="AM994" s="239"/>
      <c r="AN994" s="239"/>
      <c r="AO994" s="239"/>
      <c r="AP994" s="239"/>
      <c r="AQ994" s="239"/>
      <c r="AR994" s="239"/>
      <c r="AS994" s="239"/>
      <c r="AT994" s="239"/>
      <c r="AU994" s="239"/>
      <c r="AV994" s="239"/>
      <c r="AW994" s="239"/>
      <c r="AX994" s="239"/>
      <c r="AY994" s="239"/>
      <c r="AZ994" s="239"/>
      <c r="BA994" s="239"/>
      <c r="BB994" s="239"/>
      <c r="BC994" s="239"/>
      <c r="BD994" s="239"/>
      <c r="BE994" s="239"/>
      <c r="BF994" s="239"/>
      <c r="BG994" s="239"/>
      <c r="BH994" s="239"/>
      <c r="BI994" s="239"/>
    </row>
    <row r="995">
      <c r="A995" s="239"/>
      <c r="B995" s="239"/>
      <c r="C995" s="239"/>
      <c r="D995" s="239"/>
      <c r="E995" s="239"/>
      <c r="F995" s="239"/>
      <c r="G995" s="255"/>
      <c r="H995" s="239"/>
      <c r="I995" s="239"/>
      <c r="J995" s="239"/>
      <c r="K995" s="255"/>
      <c r="L995" s="239"/>
      <c r="M995" s="239"/>
      <c r="N995" s="239"/>
      <c r="O995" s="239"/>
      <c r="P995" s="239"/>
      <c r="Q995" s="239"/>
      <c r="R995" s="239"/>
      <c r="S995" s="239"/>
      <c r="T995" s="239"/>
      <c r="U995" s="239"/>
      <c r="V995" s="239"/>
      <c r="W995" s="239"/>
      <c r="X995" s="239"/>
      <c r="Y995" s="239"/>
      <c r="Z995" s="239"/>
      <c r="AA995" s="239"/>
      <c r="AB995" s="239"/>
      <c r="AC995" s="239"/>
      <c r="AD995" s="239"/>
      <c r="AE995" s="239"/>
      <c r="AF995" s="239"/>
      <c r="AG995" s="239"/>
      <c r="AH995" s="239"/>
      <c r="AI995" s="239"/>
      <c r="AJ995" s="239"/>
      <c r="AK995" s="239"/>
      <c r="AL995" s="239"/>
      <c r="AM995" s="239"/>
      <c r="AN995" s="239"/>
      <c r="AO995" s="239"/>
      <c r="AP995" s="239"/>
      <c r="AQ995" s="239"/>
      <c r="AR995" s="239"/>
      <c r="AS995" s="239"/>
      <c r="AT995" s="239"/>
      <c r="AU995" s="239"/>
      <c r="AV995" s="239"/>
      <c r="AW995" s="239"/>
      <c r="AX995" s="239"/>
      <c r="AY995" s="239"/>
      <c r="AZ995" s="239"/>
      <c r="BA995" s="239"/>
      <c r="BB995" s="239"/>
      <c r="BC995" s="239"/>
      <c r="BD995" s="239"/>
      <c r="BE995" s="239"/>
      <c r="BF995" s="239"/>
      <c r="BG995" s="239"/>
      <c r="BH995" s="239"/>
      <c r="BI995" s="239"/>
    </row>
    <row r="996">
      <c r="A996" s="239"/>
      <c r="B996" s="239"/>
      <c r="C996" s="239"/>
      <c r="D996" s="239"/>
      <c r="E996" s="239"/>
      <c r="F996" s="239"/>
      <c r="G996" s="255"/>
      <c r="H996" s="239"/>
      <c r="I996" s="239"/>
      <c r="J996" s="239"/>
      <c r="K996" s="255"/>
      <c r="L996" s="239"/>
      <c r="M996" s="239"/>
      <c r="N996" s="239"/>
      <c r="O996" s="239"/>
      <c r="P996" s="239"/>
      <c r="Q996" s="239"/>
      <c r="R996" s="239"/>
      <c r="S996" s="239"/>
      <c r="T996" s="239"/>
      <c r="U996" s="239"/>
      <c r="V996" s="239"/>
      <c r="W996" s="239"/>
      <c r="X996" s="239"/>
      <c r="Y996" s="239"/>
      <c r="Z996" s="239"/>
      <c r="AA996" s="239"/>
      <c r="AB996" s="239"/>
      <c r="AC996" s="239"/>
      <c r="AD996" s="239"/>
      <c r="AE996" s="239"/>
      <c r="AF996" s="239"/>
      <c r="AG996" s="239"/>
      <c r="AH996" s="239"/>
      <c r="AI996" s="239"/>
      <c r="AJ996" s="239"/>
      <c r="AK996" s="239"/>
      <c r="AL996" s="239"/>
      <c r="AM996" s="239"/>
      <c r="AN996" s="239"/>
      <c r="AO996" s="239"/>
      <c r="AP996" s="239"/>
      <c r="AQ996" s="239"/>
      <c r="AR996" s="239"/>
      <c r="AS996" s="239"/>
      <c r="AT996" s="239"/>
      <c r="AU996" s="239"/>
      <c r="AV996" s="239"/>
      <c r="AW996" s="239"/>
      <c r="AX996" s="239"/>
      <c r="AY996" s="239"/>
      <c r="AZ996" s="239"/>
      <c r="BA996" s="239"/>
      <c r="BB996" s="239"/>
      <c r="BC996" s="239"/>
      <c r="BD996" s="239"/>
      <c r="BE996" s="239"/>
      <c r="BF996" s="239"/>
      <c r="BG996" s="239"/>
      <c r="BH996" s="239"/>
      <c r="BI996" s="239"/>
    </row>
    <row r="997">
      <c r="A997" s="239"/>
      <c r="B997" s="239"/>
      <c r="C997" s="239"/>
      <c r="D997" s="239"/>
      <c r="E997" s="239"/>
      <c r="F997" s="239"/>
      <c r="G997" s="255"/>
      <c r="H997" s="239"/>
      <c r="I997" s="239"/>
      <c r="J997" s="239"/>
      <c r="K997" s="255"/>
      <c r="L997" s="239"/>
      <c r="M997" s="239"/>
      <c r="N997" s="239"/>
      <c r="O997" s="239"/>
      <c r="P997" s="239"/>
      <c r="Q997" s="239"/>
      <c r="R997" s="239"/>
      <c r="S997" s="239"/>
      <c r="T997" s="239"/>
      <c r="U997" s="239"/>
      <c r="V997" s="239"/>
      <c r="W997" s="239"/>
      <c r="X997" s="239"/>
      <c r="Y997" s="239"/>
      <c r="Z997" s="239"/>
      <c r="AA997" s="239"/>
      <c r="AB997" s="239"/>
      <c r="AC997" s="239"/>
      <c r="AD997" s="239"/>
      <c r="AE997" s="239"/>
      <c r="AF997" s="239"/>
      <c r="AG997" s="239"/>
      <c r="AH997" s="239"/>
      <c r="AI997" s="239"/>
      <c r="AJ997" s="239"/>
      <c r="AK997" s="239"/>
      <c r="AL997" s="239"/>
      <c r="AM997" s="239"/>
      <c r="AN997" s="239"/>
      <c r="AO997" s="239"/>
      <c r="AP997" s="239"/>
      <c r="AQ997" s="239"/>
      <c r="AR997" s="239"/>
      <c r="AS997" s="239"/>
      <c r="AT997" s="239"/>
      <c r="AU997" s="239"/>
      <c r="AV997" s="239"/>
      <c r="AW997" s="239"/>
      <c r="AX997" s="239"/>
      <c r="AY997" s="239"/>
      <c r="AZ997" s="239"/>
      <c r="BA997" s="239"/>
      <c r="BB997" s="239"/>
      <c r="BC997" s="239"/>
      <c r="BD997" s="239"/>
      <c r="BE997" s="239"/>
      <c r="BF997" s="239"/>
      <c r="BG997" s="239"/>
      <c r="BH997" s="239"/>
      <c r="BI997" s="239"/>
    </row>
    <row r="998">
      <c r="A998" s="239"/>
      <c r="B998" s="239"/>
      <c r="C998" s="239"/>
      <c r="D998" s="239"/>
      <c r="E998" s="239"/>
      <c r="F998" s="239"/>
      <c r="G998" s="255"/>
      <c r="H998" s="239"/>
      <c r="I998" s="239"/>
      <c r="J998" s="239"/>
      <c r="K998" s="255"/>
      <c r="L998" s="239"/>
      <c r="M998" s="239"/>
      <c r="N998" s="239"/>
      <c r="O998" s="239"/>
      <c r="P998" s="239"/>
      <c r="Q998" s="239"/>
      <c r="R998" s="239"/>
      <c r="S998" s="239"/>
      <c r="T998" s="239"/>
      <c r="U998" s="239"/>
      <c r="V998" s="239"/>
      <c r="W998" s="239"/>
      <c r="X998" s="239"/>
      <c r="Y998" s="239"/>
      <c r="Z998" s="239"/>
      <c r="AA998" s="239"/>
      <c r="AB998" s="239"/>
      <c r="AC998" s="239"/>
      <c r="AD998" s="239"/>
      <c r="AE998" s="239"/>
      <c r="AF998" s="239"/>
      <c r="AG998" s="239"/>
      <c r="AH998" s="239"/>
      <c r="AI998" s="239"/>
      <c r="AJ998" s="239"/>
      <c r="AK998" s="239"/>
      <c r="AL998" s="239"/>
      <c r="AM998" s="239"/>
      <c r="AN998" s="239"/>
      <c r="AO998" s="239"/>
      <c r="AP998" s="239"/>
      <c r="AQ998" s="239"/>
      <c r="AR998" s="239"/>
      <c r="AS998" s="239"/>
      <c r="AT998" s="239"/>
      <c r="AU998" s="239"/>
      <c r="AV998" s="239"/>
      <c r="AW998" s="239"/>
      <c r="AX998" s="239"/>
      <c r="AY998" s="239"/>
      <c r="AZ998" s="239"/>
      <c r="BA998" s="239"/>
      <c r="BB998" s="239"/>
      <c r="BC998" s="239"/>
      <c r="BD998" s="239"/>
      <c r="BE998" s="239"/>
      <c r="BF998" s="239"/>
      <c r="BG998" s="239"/>
      <c r="BH998" s="239"/>
      <c r="BI998" s="239"/>
    </row>
    <row r="999">
      <c r="A999" s="239"/>
      <c r="B999" s="239"/>
      <c r="C999" s="239"/>
      <c r="D999" s="239"/>
      <c r="E999" s="239"/>
      <c r="F999" s="239"/>
      <c r="G999" s="255"/>
      <c r="H999" s="239"/>
      <c r="I999" s="239"/>
      <c r="J999" s="239"/>
      <c r="K999" s="255"/>
      <c r="L999" s="239"/>
      <c r="M999" s="239"/>
      <c r="N999" s="239"/>
      <c r="O999" s="239"/>
      <c r="P999" s="239"/>
      <c r="Q999" s="239"/>
      <c r="R999" s="239"/>
      <c r="S999" s="239"/>
      <c r="T999" s="239"/>
      <c r="U999" s="239"/>
      <c r="V999" s="239"/>
      <c r="W999" s="239"/>
      <c r="X999" s="239"/>
      <c r="Y999" s="239"/>
      <c r="Z999" s="239"/>
      <c r="AA999" s="239"/>
      <c r="AB999" s="239"/>
      <c r="AC999" s="239"/>
      <c r="AD999" s="239"/>
      <c r="AE999" s="239"/>
      <c r="AF999" s="239"/>
      <c r="AG999" s="239"/>
      <c r="AH999" s="239"/>
      <c r="AI999" s="239"/>
      <c r="AJ999" s="239"/>
      <c r="AK999" s="239"/>
      <c r="AL999" s="239"/>
      <c r="AM999" s="239"/>
      <c r="AN999" s="239"/>
      <c r="AO999" s="239"/>
      <c r="AP999" s="239"/>
      <c r="AQ999" s="239"/>
      <c r="AR999" s="239"/>
      <c r="AS999" s="239"/>
      <c r="AT999" s="239"/>
      <c r="AU999" s="239"/>
      <c r="AV999" s="239"/>
      <c r="AW999" s="239"/>
      <c r="AX999" s="239"/>
      <c r="AY999" s="239"/>
      <c r="AZ999" s="239"/>
      <c r="BA999" s="239"/>
      <c r="BB999" s="239"/>
      <c r="BC999" s="239"/>
      <c r="BD999" s="239"/>
      <c r="BE999" s="239"/>
      <c r="BF999" s="239"/>
      <c r="BG999" s="239"/>
      <c r="BH999" s="239"/>
      <c r="BI999" s="239"/>
    </row>
    <row r="1000">
      <c r="A1000" s="239"/>
      <c r="B1000" s="239"/>
      <c r="C1000" s="239"/>
      <c r="D1000" s="239"/>
      <c r="E1000" s="239"/>
      <c r="F1000" s="239"/>
      <c r="G1000" s="255"/>
      <c r="H1000" s="239"/>
      <c r="I1000" s="239"/>
      <c r="J1000" s="239"/>
      <c r="K1000" s="255"/>
      <c r="L1000" s="239"/>
      <c r="M1000" s="239"/>
      <c r="N1000" s="239"/>
      <c r="O1000" s="239"/>
      <c r="P1000" s="239"/>
      <c r="Q1000" s="239"/>
      <c r="R1000" s="239"/>
      <c r="S1000" s="239"/>
      <c r="T1000" s="239"/>
      <c r="U1000" s="239"/>
      <c r="V1000" s="239"/>
      <c r="W1000" s="239"/>
      <c r="X1000" s="239"/>
      <c r="Y1000" s="239"/>
      <c r="Z1000" s="239"/>
      <c r="AA1000" s="239"/>
      <c r="AB1000" s="239"/>
      <c r="AC1000" s="239"/>
      <c r="AD1000" s="239"/>
      <c r="AE1000" s="239"/>
      <c r="AF1000" s="239"/>
      <c r="AG1000" s="239"/>
      <c r="AH1000" s="239"/>
      <c r="AI1000" s="239"/>
      <c r="AJ1000" s="239"/>
      <c r="AK1000" s="239"/>
      <c r="AL1000" s="239"/>
      <c r="AM1000" s="239"/>
      <c r="AN1000" s="239"/>
      <c r="AO1000" s="239"/>
      <c r="AP1000" s="239"/>
      <c r="AQ1000" s="239"/>
      <c r="AR1000" s="239"/>
      <c r="AS1000" s="239"/>
      <c r="AT1000" s="239"/>
      <c r="AU1000" s="239"/>
      <c r="AV1000" s="239"/>
      <c r="AW1000" s="239"/>
      <c r="AX1000" s="239"/>
      <c r="AY1000" s="239"/>
      <c r="AZ1000" s="239"/>
      <c r="BA1000" s="239"/>
      <c r="BB1000" s="239"/>
      <c r="BC1000" s="239"/>
      <c r="BD1000" s="239"/>
      <c r="BE1000" s="239"/>
      <c r="BF1000" s="239"/>
      <c r="BG1000" s="239"/>
      <c r="BH1000" s="239"/>
      <c r="BI1000" s="239"/>
    </row>
    <row r="1001">
      <c r="A1001" s="239"/>
      <c r="B1001" s="239"/>
      <c r="C1001" s="239"/>
      <c r="D1001" s="239"/>
      <c r="E1001" s="239"/>
      <c r="F1001" s="239"/>
      <c r="G1001" s="255"/>
      <c r="H1001" s="239"/>
      <c r="I1001" s="239"/>
      <c r="J1001" s="239"/>
      <c r="K1001" s="255"/>
      <c r="L1001" s="239"/>
      <c r="M1001" s="239"/>
      <c r="N1001" s="239"/>
      <c r="O1001" s="239"/>
      <c r="P1001" s="239"/>
      <c r="Q1001" s="239"/>
      <c r="R1001" s="239"/>
      <c r="S1001" s="239"/>
      <c r="T1001" s="239"/>
      <c r="U1001" s="239"/>
      <c r="V1001" s="239"/>
      <c r="W1001" s="239"/>
      <c r="X1001" s="239"/>
      <c r="Y1001" s="239"/>
      <c r="Z1001" s="239"/>
      <c r="AA1001" s="239"/>
      <c r="AB1001" s="239"/>
      <c r="AC1001" s="239"/>
      <c r="AD1001" s="239"/>
      <c r="AE1001" s="239"/>
      <c r="AF1001" s="239"/>
      <c r="AG1001" s="239"/>
      <c r="AH1001" s="239"/>
      <c r="AI1001" s="239"/>
      <c r="AJ1001" s="239"/>
      <c r="AK1001" s="239"/>
      <c r="AL1001" s="239"/>
      <c r="AM1001" s="239"/>
      <c r="AN1001" s="239"/>
      <c r="AO1001" s="239"/>
      <c r="AP1001" s="239"/>
      <c r="AQ1001" s="239"/>
      <c r="AR1001" s="239"/>
      <c r="AS1001" s="239"/>
      <c r="AT1001" s="239"/>
      <c r="AU1001" s="239"/>
      <c r="AV1001" s="239"/>
      <c r="AW1001" s="239"/>
      <c r="AX1001" s="239"/>
      <c r="AY1001" s="239"/>
      <c r="AZ1001" s="239"/>
      <c r="BA1001" s="239"/>
      <c r="BB1001" s="239"/>
      <c r="BC1001" s="239"/>
      <c r="BD1001" s="239"/>
      <c r="BE1001" s="239"/>
      <c r="BF1001" s="239"/>
      <c r="BG1001" s="239"/>
      <c r="BH1001" s="239"/>
      <c r="BI1001" s="239"/>
    </row>
    <row r="1002">
      <c r="A1002" s="239"/>
      <c r="B1002" s="239"/>
      <c r="C1002" s="239"/>
      <c r="D1002" s="239"/>
      <c r="E1002" s="239"/>
      <c r="F1002" s="239"/>
      <c r="G1002" s="255"/>
      <c r="H1002" s="239"/>
      <c r="I1002" s="239"/>
      <c r="J1002" s="239"/>
      <c r="K1002" s="255"/>
      <c r="L1002" s="239"/>
      <c r="M1002" s="239"/>
      <c r="N1002" s="239"/>
      <c r="O1002" s="239"/>
      <c r="P1002" s="239"/>
      <c r="Q1002" s="239"/>
      <c r="R1002" s="239"/>
      <c r="S1002" s="239"/>
      <c r="T1002" s="239"/>
      <c r="U1002" s="239"/>
      <c r="V1002" s="239"/>
      <c r="W1002" s="239"/>
      <c r="X1002" s="239"/>
      <c r="Y1002" s="239"/>
      <c r="Z1002" s="239"/>
      <c r="AA1002" s="239"/>
      <c r="AB1002" s="239"/>
      <c r="AC1002" s="239"/>
      <c r="AD1002" s="239"/>
      <c r="AE1002" s="239"/>
      <c r="AF1002" s="239"/>
      <c r="AG1002" s="239"/>
      <c r="AH1002" s="239"/>
      <c r="AI1002" s="239"/>
      <c r="AJ1002" s="239"/>
      <c r="AK1002" s="239"/>
      <c r="AL1002" s="239"/>
      <c r="AM1002" s="239"/>
      <c r="AN1002" s="239"/>
      <c r="AO1002" s="239"/>
      <c r="AP1002" s="239"/>
      <c r="AQ1002" s="239"/>
      <c r="AR1002" s="239"/>
      <c r="AS1002" s="239"/>
      <c r="AT1002" s="239"/>
      <c r="AU1002" s="239"/>
      <c r="AV1002" s="239"/>
      <c r="AW1002" s="239"/>
      <c r="AX1002" s="239"/>
      <c r="AY1002" s="239"/>
      <c r="AZ1002" s="239"/>
      <c r="BA1002" s="239"/>
      <c r="BB1002" s="239"/>
      <c r="BC1002" s="239"/>
      <c r="BD1002" s="239"/>
      <c r="BE1002" s="239"/>
      <c r="BF1002" s="239"/>
      <c r="BG1002" s="239"/>
      <c r="BH1002" s="239"/>
      <c r="BI1002" s="239"/>
    </row>
    <row r="1003">
      <c r="A1003" s="239"/>
      <c r="B1003" s="239"/>
      <c r="C1003" s="239"/>
      <c r="D1003" s="239"/>
      <c r="E1003" s="239"/>
      <c r="F1003" s="239"/>
      <c r="G1003" s="255"/>
      <c r="H1003" s="239"/>
      <c r="I1003" s="239"/>
      <c r="J1003" s="239"/>
      <c r="K1003" s="255"/>
      <c r="L1003" s="239"/>
      <c r="M1003" s="239"/>
      <c r="N1003" s="239"/>
      <c r="O1003" s="239"/>
      <c r="P1003" s="239"/>
      <c r="Q1003" s="239"/>
      <c r="R1003" s="239"/>
      <c r="S1003" s="239"/>
      <c r="T1003" s="239"/>
      <c r="U1003" s="239"/>
      <c r="V1003" s="239"/>
      <c r="W1003" s="239"/>
      <c r="X1003" s="239"/>
      <c r="Y1003" s="239"/>
      <c r="Z1003" s="239"/>
      <c r="AA1003" s="239"/>
      <c r="AB1003" s="239"/>
      <c r="AC1003" s="239"/>
      <c r="AD1003" s="239"/>
      <c r="AE1003" s="239"/>
      <c r="AF1003" s="239"/>
      <c r="AG1003" s="239"/>
      <c r="AH1003" s="239"/>
      <c r="AI1003" s="239"/>
      <c r="AJ1003" s="239"/>
      <c r="AK1003" s="239"/>
      <c r="AL1003" s="239"/>
      <c r="AM1003" s="239"/>
      <c r="AN1003" s="239"/>
      <c r="AO1003" s="239"/>
      <c r="AP1003" s="239"/>
      <c r="AQ1003" s="239"/>
      <c r="AR1003" s="239"/>
      <c r="AS1003" s="239"/>
      <c r="AT1003" s="239"/>
      <c r="AU1003" s="239"/>
      <c r="AV1003" s="239"/>
      <c r="AW1003" s="239"/>
      <c r="AX1003" s="239"/>
      <c r="AY1003" s="239"/>
      <c r="AZ1003" s="239"/>
      <c r="BA1003" s="239"/>
      <c r="BB1003" s="239"/>
      <c r="BC1003" s="239"/>
      <c r="BD1003" s="239"/>
      <c r="BE1003" s="239"/>
      <c r="BF1003" s="239"/>
      <c r="BG1003" s="239"/>
      <c r="BH1003" s="239"/>
      <c r="BI1003" s="239"/>
    </row>
    <row r="1004">
      <c r="A1004" s="239"/>
      <c r="B1004" s="239"/>
      <c r="C1004" s="239"/>
      <c r="D1004" s="239"/>
      <c r="E1004" s="239"/>
      <c r="F1004" s="239"/>
      <c r="G1004" s="255"/>
      <c r="H1004" s="239"/>
      <c r="I1004" s="239"/>
      <c r="J1004" s="239"/>
      <c r="K1004" s="255"/>
      <c r="L1004" s="239"/>
      <c r="M1004" s="239"/>
      <c r="N1004" s="239"/>
      <c r="O1004" s="239"/>
      <c r="P1004" s="239"/>
      <c r="Q1004" s="239"/>
      <c r="R1004" s="239"/>
      <c r="S1004" s="239"/>
      <c r="T1004" s="239"/>
      <c r="U1004" s="239"/>
      <c r="V1004" s="239"/>
      <c r="W1004" s="239"/>
      <c r="X1004" s="239"/>
      <c r="Y1004" s="239"/>
      <c r="Z1004" s="239"/>
      <c r="AA1004" s="239"/>
      <c r="AB1004" s="239"/>
      <c r="AC1004" s="239"/>
      <c r="AD1004" s="239"/>
      <c r="AE1004" s="239"/>
      <c r="AF1004" s="239"/>
      <c r="AG1004" s="239"/>
      <c r="AH1004" s="239"/>
      <c r="AI1004" s="239"/>
      <c r="AJ1004" s="239"/>
      <c r="AK1004" s="239"/>
      <c r="AL1004" s="239"/>
      <c r="AM1004" s="239"/>
      <c r="AN1004" s="239"/>
      <c r="AO1004" s="239"/>
      <c r="AP1004" s="239"/>
      <c r="AQ1004" s="239"/>
      <c r="AR1004" s="239"/>
      <c r="AS1004" s="239"/>
      <c r="AT1004" s="239"/>
      <c r="AU1004" s="239"/>
      <c r="AV1004" s="239"/>
      <c r="AW1004" s="239"/>
      <c r="AX1004" s="239"/>
      <c r="AY1004" s="239"/>
      <c r="AZ1004" s="239"/>
      <c r="BA1004" s="239"/>
      <c r="BB1004" s="239"/>
      <c r="BC1004" s="239"/>
      <c r="BD1004" s="239"/>
      <c r="BE1004" s="239"/>
      <c r="BF1004" s="239"/>
      <c r="BG1004" s="239"/>
      <c r="BH1004" s="239"/>
      <c r="BI1004" s="239"/>
    </row>
    <row r="1005">
      <c r="A1005" s="239"/>
      <c r="B1005" s="239"/>
      <c r="C1005" s="239"/>
      <c r="D1005" s="239"/>
      <c r="E1005" s="239"/>
      <c r="F1005" s="239"/>
      <c r="G1005" s="255"/>
      <c r="H1005" s="239"/>
      <c r="I1005" s="239"/>
      <c r="J1005" s="239"/>
      <c r="K1005" s="255"/>
      <c r="L1005" s="239"/>
      <c r="M1005" s="239"/>
      <c r="N1005" s="239"/>
      <c r="O1005" s="239"/>
      <c r="P1005" s="239"/>
      <c r="Q1005" s="239"/>
      <c r="R1005" s="239"/>
      <c r="S1005" s="239"/>
      <c r="T1005" s="239"/>
      <c r="U1005" s="239"/>
      <c r="V1005" s="239"/>
      <c r="W1005" s="239"/>
      <c r="X1005" s="239"/>
      <c r="Y1005" s="239"/>
      <c r="Z1005" s="239"/>
      <c r="AA1005" s="239"/>
      <c r="AB1005" s="239"/>
      <c r="AC1005" s="239"/>
      <c r="AD1005" s="239"/>
      <c r="AE1005" s="239"/>
      <c r="AF1005" s="239"/>
      <c r="AG1005" s="239"/>
      <c r="AH1005" s="239"/>
      <c r="AI1005" s="239"/>
      <c r="AJ1005" s="239"/>
      <c r="AK1005" s="239"/>
      <c r="AL1005" s="239"/>
      <c r="AM1005" s="239"/>
      <c r="AN1005" s="239"/>
      <c r="AO1005" s="239"/>
      <c r="AP1005" s="239"/>
      <c r="AQ1005" s="239"/>
      <c r="AR1005" s="239"/>
      <c r="AS1005" s="239"/>
      <c r="AT1005" s="239"/>
      <c r="AU1005" s="239"/>
      <c r="AV1005" s="239"/>
      <c r="AW1005" s="239"/>
      <c r="AX1005" s="239"/>
      <c r="AY1005" s="239"/>
      <c r="AZ1005" s="239"/>
      <c r="BA1005" s="239"/>
      <c r="BB1005" s="239"/>
      <c r="BC1005" s="239"/>
      <c r="BD1005" s="239"/>
      <c r="BE1005" s="239"/>
      <c r="BF1005" s="239"/>
      <c r="BG1005" s="239"/>
      <c r="BH1005" s="239"/>
      <c r="BI1005" s="239"/>
    </row>
    <row r="1006">
      <c r="A1006" s="239"/>
      <c r="B1006" s="239"/>
      <c r="C1006" s="239"/>
      <c r="D1006" s="239"/>
      <c r="E1006" s="239"/>
      <c r="F1006" s="239"/>
      <c r="G1006" s="255"/>
      <c r="H1006" s="239"/>
      <c r="I1006" s="239"/>
      <c r="J1006" s="239"/>
      <c r="K1006" s="255"/>
      <c r="L1006" s="239"/>
      <c r="M1006" s="239"/>
      <c r="N1006" s="239"/>
      <c r="O1006" s="239"/>
      <c r="P1006" s="239"/>
      <c r="Q1006" s="239"/>
      <c r="R1006" s="239"/>
      <c r="S1006" s="239"/>
      <c r="T1006" s="239"/>
      <c r="U1006" s="239"/>
      <c r="V1006" s="239"/>
      <c r="W1006" s="239"/>
      <c r="X1006" s="239"/>
      <c r="Y1006" s="239"/>
      <c r="Z1006" s="239"/>
      <c r="AA1006" s="239"/>
      <c r="AB1006" s="239"/>
      <c r="AC1006" s="239"/>
      <c r="AD1006" s="239"/>
      <c r="AE1006" s="239"/>
      <c r="AF1006" s="239"/>
      <c r="AG1006" s="239"/>
      <c r="AH1006" s="239"/>
      <c r="AI1006" s="239"/>
      <c r="AJ1006" s="239"/>
      <c r="AK1006" s="239"/>
      <c r="AL1006" s="239"/>
      <c r="AM1006" s="239"/>
      <c r="AN1006" s="239"/>
      <c r="AO1006" s="239"/>
      <c r="AP1006" s="239"/>
      <c r="AQ1006" s="239"/>
      <c r="AR1006" s="239"/>
      <c r="AS1006" s="239"/>
      <c r="AT1006" s="239"/>
      <c r="AU1006" s="239"/>
      <c r="AV1006" s="239"/>
      <c r="AW1006" s="239"/>
      <c r="AX1006" s="239"/>
      <c r="AY1006" s="239"/>
      <c r="AZ1006" s="239"/>
      <c r="BA1006" s="239"/>
      <c r="BB1006" s="239"/>
      <c r="BC1006" s="239"/>
      <c r="BD1006" s="239"/>
      <c r="BE1006" s="239"/>
      <c r="BF1006" s="239"/>
      <c r="BG1006" s="239"/>
      <c r="BH1006" s="239"/>
      <c r="BI1006" s="239"/>
    </row>
    <row r="1007">
      <c r="A1007" s="239"/>
      <c r="B1007" s="239"/>
      <c r="C1007" s="239"/>
      <c r="D1007" s="239"/>
      <c r="E1007" s="239"/>
      <c r="F1007" s="239"/>
      <c r="G1007" s="255"/>
      <c r="H1007" s="239"/>
      <c r="I1007" s="239"/>
      <c r="J1007" s="239"/>
      <c r="K1007" s="255"/>
      <c r="L1007" s="239"/>
      <c r="M1007" s="239"/>
      <c r="N1007" s="239"/>
      <c r="O1007" s="239"/>
      <c r="P1007" s="239"/>
      <c r="Q1007" s="239"/>
      <c r="R1007" s="239"/>
      <c r="S1007" s="239"/>
      <c r="T1007" s="239"/>
      <c r="U1007" s="239"/>
      <c r="V1007" s="239"/>
      <c r="W1007" s="239"/>
      <c r="X1007" s="239"/>
      <c r="Y1007" s="239"/>
      <c r="Z1007" s="239"/>
      <c r="AA1007" s="239"/>
      <c r="AB1007" s="239"/>
      <c r="AC1007" s="239"/>
      <c r="AD1007" s="239"/>
      <c r="AE1007" s="239"/>
      <c r="AF1007" s="239"/>
      <c r="AG1007" s="239"/>
      <c r="AH1007" s="239"/>
      <c r="AI1007" s="239"/>
      <c r="AJ1007" s="239"/>
      <c r="AK1007" s="239"/>
      <c r="AL1007" s="239"/>
      <c r="AM1007" s="239"/>
      <c r="AN1007" s="239"/>
      <c r="AO1007" s="239"/>
      <c r="AP1007" s="239"/>
      <c r="AQ1007" s="239"/>
      <c r="AR1007" s="239"/>
      <c r="AS1007" s="239"/>
      <c r="AT1007" s="239"/>
      <c r="AU1007" s="239"/>
      <c r="AV1007" s="239"/>
      <c r="AW1007" s="239"/>
      <c r="AX1007" s="239"/>
      <c r="AY1007" s="239"/>
      <c r="AZ1007" s="239"/>
      <c r="BA1007" s="239"/>
      <c r="BB1007" s="239"/>
      <c r="BC1007" s="239"/>
      <c r="BD1007" s="239"/>
      <c r="BE1007" s="239"/>
      <c r="BF1007" s="239"/>
      <c r="BG1007" s="239"/>
      <c r="BH1007" s="239"/>
      <c r="BI1007" s="239"/>
    </row>
    <row r="1008">
      <c r="A1008" s="239"/>
      <c r="B1008" s="239"/>
      <c r="C1008" s="239"/>
      <c r="D1008" s="239"/>
      <c r="E1008" s="239"/>
      <c r="F1008" s="239"/>
      <c r="G1008" s="255"/>
      <c r="H1008" s="239"/>
      <c r="I1008" s="239"/>
      <c r="J1008" s="239"/>
      <c r="K1008" s="255"/>
      <c r="L1008" s="239"/>
      <c r="M1008" s="239"/>
      <c r="N1008" s="239"/>
      <c r="O1008" s="239"/>
      <c r="P1008" s="239"/>
      <c r="Q1008" s="239"/>
      <c r="R1008" s="239"/>
      <c r="S1008" s="239"/>
      <c r="T1008" s="239"/>
      <c r="U1008" s="239"/>
      <c r="V1008" s="239"/>
      <c r="W1008" s="239"/>
      <c r="X1008" s="239"/>
      <c r="Y1008" s="239"/>
      <c r="Z1008" s="239"/>
      <c r="AA1008" s="239"/>
      <c r="AB1008" s="239"/>
      <c r="AC1008" s="239"/>
      <c r="AD1008" s="239"/>
      <c r="AE1008" s="239"/>
      <c r="AF1008" s="239"/>
      <c r="AG1008" s="239"/>
      <c r="AH1008" s="239"/>
      <c r="AI1008" s="239"/>
      <c r="AJ1008" s="239"/>
      <c r="AK1008" s="239"/>
      <c r="AL1008" s="239"/>
      <c r="AM1008" s="239"/>
      <c r="AN1008" s="239"/>
      <c r="AO1008" s="239"/>
      <c r="AP1008" s="239"/>
      <c r="AQ1008" s="239"/>
      <c r="AR1008" s="239"/>
      <c r="AS1008" s="239"/>
      <c r="AT1008" s="239"/>
      <c r="AU1008" s="239"/>
      <c r="AV1008" s="239"/>
      <c r="AW1008" s="239"/>
      <c r="AX1008" s="239"/>
      <c r="AY1008" s="239"/>
      <c r="AZ1008" s="239"/>
      <c r="BA1008" s="239"/>
      <c r="BB1008" s="239"/>
      <c r="BC1008" s="239"/>
      <c r="BD1008" s="239"/>
      <c r="BE1008" s="239"/>
      <c r="BF1008" s="239"/>
      <c r="BG1008" s="239"/>
      <c r="BH1008" s="239"/>
      <c r="BI1008" s="239"/>
    </row>
    <row r="1009">
      <c r="A1009" s="239"/>
      <c r="B1009" s="239"/>
      <c r="C1009" s="239"/>
      <c r="D1009" s="239"/>
      <c r="E1009" s="239"/>
      <c r="F1009" s="239"/>
      <c r="G1009" s="255"/>
      <c r="H1009" s="239"/>
      <c r="I1009" s="239"/>
      <c r="J1009" s="239"/>
      <c r="K1009" s="255"/>
      <c r="L1009" s="239"/>
      <c r="M1009" s="239"/>
      <c r="N1009" s="239"/>
      <c r="O1009" s="239"/>
      <c r="P1009" s="239"/>
      <c r="Q1009" s="239"/>
      <c r="R1009" s="239"/>
      <c r="S1009" s="239"/>
      <c r="T1009" s="239"/>
      <c r="U1009" s="239"/>
      <c r="V1009" s="239"/>
      <c r="W1009" s="239"/>
      <c r="X1009" s="239"/>
      <c r="Y1009" s="239"/>
      <c r="Z1009" s="239"/>
      <c r="AA1009" s="239"/>
      <c r="AB1009" s="239"/>
      <c r="AC1009" s="239"/>
      <c r="AD1009" s="239"/>
      <c r="AE1009" s="239"/>
      <c r="AF1009" s="239"/>
      <c r="AG1009" s="239"/>
      <c r="AH1009" s="239"/>
      <c r="AI1009" s="239"/>
      <c r="AJ1009" s="239"/>
      <c r="AK1009" s="239"/>
      <c r="AL1009" s="239"/>
      <c r="AM1009" s="239"/>
      <c r="AN1009" s="239"/>
      <c r="AO1009" s="239"/>
      <c r="AP1009" s="239"/>
      <c r="AQ1009" s="239"/>
      <c r="AR1009" s="239"/>
      <c r="AS1009" s="239"/>
      <c r="AT1009" s="239"/>
      <c r="AU1009" s="239"/>
      <c r="AV1009" s="239"/>
      <c r="AW1009" s="239"/>
      <c r="AX1009" s="239"/>
      <c r="AY1009" s="239"/>
      <c r="AZ1009" s="239"/>
      <c r="BA1009" s="239"/>
      <c r="BB1009" s="239"/>
      <c r="BC1009" s="239"/>
      <c r="BD1009" s="239"/>
      <c r="BE1009" s="239"/>
      <c r="BF1009" s="239"/>
      <c r="BG1009" s="239"/>
      <c r="BH1009" s="239"/>
      <c r="BI1009" s="239"/>
    </row>
    <row r="1010">
      <c r="A1010" s="239"/>
      <c r="B1010" s="239"/>
      <c r="C1010" s="239"/>
      <c r="D1010" s="239"/>
      <c r="E1010" s="239"/>
      <c r="F1010" s="239"/>
      <c r="G1010" s="255"/>
      <c r="H1010" s="239"/>
      <c r="I1010" s="239"/>
      <c r="J1010" s="239"/>
      <c r="K1010" s="255"/>
      <c r="L1010" s="239"/>
      <c r="M1010" s="239"/>
      <c r="N1010" s="239"/>
      <c r="O1010" s="239"/>
      <c r="P1010" s="239"/>
      <c r="Q1010" s="239"/>
      <c r="R1010" s="239"/>
      <c r="S1010" s="239"/>
      <c r="T1010" s="239"/>
      <c r="U1010" s="239"/>
      <c r="V1010" s="239"/>
      <c r="W1010" s="239"/>
      <c r="X1010" s="239"/>
      <c r="Y1010" s="239"/>
      <c r="Z1010" s="239"/>
      <c r="AA1010" s="239"/>
      <c r="AB1010" s="239"/>
      <c r="AC1010" s="239"/>
      <c r="AD1010" s="239"/>
      <c r="AE1010" s="239"/>
      <c r="AF1010" s="239"/>
      <c r="AG1010" s="239"/>
      <c r="AH1010" s="239"/>
      <c r="AI1010" s="239"/>
      <c r="AJ1010" s="239"/>
      <c r="AK1010" s="239"/>
      <c r="AL1010" s="239"/>
      <c r="AM1010" s="239"/>
      <c r="AN1010" s="239"/>
      <c r="AO1010" s="239"/>
      <c r="AP1010" s="239"/>
      <c r="AQ1010" s="239"/>
      <c r="AR1010" s="239"/>
      <c r="AS1010" s="239"/>
      <c r="AT1010" s="239"/>
      <c r="AU1010" s="239"/>
      <c r="AV1010" s="239"/>
      <c r="AW1010" s="239"/>
      <c r="AX1010" s="239"/>
      <c r="AY1010" s="239"/>
      <c r="AZ1010" s="239"/>
      <c r="BA1010" s="239"/>
      <c r="BB1010" s="239"/>
      <c r="BC1010" s="239"/>
      <c r="BD1010" s="239"/>
      <c r="BE1010" s="239"/>
      <c r="BF1010" s="239"/>
      <c r="BG1010" s="239"/>
      <c r="BH1010" s="239"/>
      <c r="BI1010" s="239"/>
    </row>
    <row r="1011">
      <c r="A1011" s="239"/>
      <c r="B1011" s="239"/>
      <c r="C1011" s="239"/>
      <c r="D1011" s="239"/>
      <c r="E1011" s="239"/>
      <c r="F1011" s="239"/>
      <c r="G1011" s="255"/>
      <c r="H1011" s="239"/>
      <c r="I1011" s="239"/>
      <c r="J1011" s="239"/>
      <c r="K1011" s="255"/>
      <c r="L1011" s="239"/>
      <c r="M1011" s="239"/>
      <c r="N1011" s="239"/>
      <c r="O1011" s="239"/>
      <c r="P1011" s="239"/>
      <c r="Q1011" s="239"/>
      <c r="R1011" s="239"/>
      <c r="S1011" s="239"/>
      <c r="T1011" s="239"/>
      <c r="U1011" s="239"/>
      <c r="V1011" s="239"/>
      <c r="W1011" s="239"/>
      <c r="X1011" s="239"/>
      <c r="Y1011" s="239"/>
      <c r="Z1011" s="239"/>
      <c r="AA1011" s="239"/>
      <c r="AB1011" s="239"/>
      <c r="AC1011" s="239"/>
      <c r="AD1011" s="239"/>
      <c r="AE1011" s="239"/>
      <c r="AF1011" s="239"/>
      <c r="AG1011" s="239"/>
      <c r="AH1011" s="239"/>
      <c r="AI1011" s="239"/>
      <c r="AJ1011" s="239"/>
      <c r="AK1011" s="239"/>
      <c r="AL1011" s="239"/>
      <c r="AM1011" s="239"/>
      <c r="AN1011" s="239"/>
      <c r="AO1011" s="239"/>
      <c r="AP1011" s="239"/>
      <c r="AQ1011" s="239"/>
      <c r="AR1011" s="239"/>
      <c r="AS1011" s="239"/>
      <c r="AT1011" s="239"/>
      <c r="AU1011" s="239"/>
      <c r="AV1011" s="239"/>
      <c r="AW1011" s="239"/>
      <c r="AX1011" s="239"/>
      <c r="AY1011" s="239"/>
      <c r="AZ1011" s="239"/>
      <c r="BA1011" s="239"/>
      <c r="BB1011" s="239"/>
      <c r="BC1011" s="239"/>
      <c r="BD1011" s="239"/>
      <c r="BE1011" s="239"/>
      <c r="BF1011" s="239"/>
      <c r="BG1011" s="239"/>
      <c r="BH1011" s="239"/>
      <c r="BI1011" s="239"/>
    </row>
    <row r="1012">
      <c r="A1012" s="239"/>
      <c r="B1012" s="239"/>
      <c r="C1012" s="239"/>
      <c r="D1012" s="239"/>
      <c r="E1012" s="239"/>
      <c r="F1012" s="239"/>
      <c r="G1012" s="255"/>
      <c r="H1012" s="239"/>
      <c r="I1012" s="239"/>
      <c r="J1012" s="239"/>
      <c r="K1012" s="255"/>
      <c r="L1012" s="239"/>
      <c r="M1012" s="239"/>
      <c r="N1012" s="239"/>
      <c r="O1012" s="239"/>
      <c r="P1012" s="239"/>
      <c r="Q1012" s="239"/>
      <c r="R1012" s="239"/>
      <c r="S1012" s="239"/>
      <c r="T1012" s="239"/>
      <c r="U1012" s="239"/>
      <c r="V1012" s="239"/>
      <c r="W1012" s="239"/>
      <c r="X1012" s="239"/>
      <c r="Y1012" s="239"/>
      <c r="Z1012" s="239"/>
      <c r="AA1012" s="239"/>
      <c r="AB1012" s="239"/>
      <c r="AC1012" s="239"/>
      <c r="AD1012" s="239"/>
      <c r="AE1012" s="239"/>
      <c r="AF1012" s="239"/>
      <c r="AG1012" s="239"/>
      <c r="AH1012" s="239"/>
      <c r="AI1012" s="239"/>
      <c r="AJ1012" s="239"/>
      <c r="AK1012" s="239"/>
      <c r="AL1012" s="239"/>
      <c r="AM1012" s="239"/>
      <c r="AN1012" s="239"/>
      <c r="AO1012" s="239"/>
      <c r="AP1012" s="239"/>
      <c r="AQ1012" s="239"/>
      <c r="AR1012" s="239"/>
      <c r="AS1012" s="239"/>
      <c r="AT1012" s="239"/>
      <c r="AU1012" s="239"/>
      <c r="AV1012" s="239"/>
      <c r="AW1012" s="239"/>
      <c r="AX1012" s="239"/>
      <c r="AY1012" s="239"/>
      <c r="AZ1012" s="239"/>
      <c r="BA1012" s="239"/>
      <c r="BB1012" s="239"/>
      <c r="BC1012" s="239"/>
      <c r="BD1012" s="239"/>
      <c r="BE1012" s="239"/>
      <c r="BF1012" s="239"/>
      <c r="BG1012" s="239"/>
      <c r="BH1012" s="239"/>
      <c r="BI1012" s="239"/>
    </row>
  </sheetData>
  <dataValidations>
    <dataValidation type="list" allowBlank="1" sqref="A2:A9">
      <formula1>listas!$C:$C</formula1>
    </dataValidation>
  </dataValidation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5.88"/>
    <col customWidth="1" min="3" max="3" width="70.75"/>
    <col customWidth="1" min="4" max="4" width="12.5"/>
    <col customWidth="1" min="5" max="5" width="46.0"/>
    <col customWidth="1" min="6" max="6" width="40.13"/>
    <col customWidth="1" min="7" max="7" width="11.38"/>
  </cols>
  <sheetData>
    <row r="1">
      <c r="A1" s="234" t="s">
        <v>831</v>
      </c>
      <c r="C1" s="272" t="s">
        <v>832</v>
      </c>
      <c r="D1" s="235"/>
      <c r="E1" s="237"/>
      <c r="F1" s="238"/>
      <c r="G1" s="237"/>
      <c r="H1" s="237"/>
      <c r="I1" s="237"/>
      <c r="J1" s="237"/>
      <c r="K1" s="237"/>
      <c r="L1" s="230"/>
      <c r="M1" s="230"/>
      <c r="N1" s="230"/>
      <c r="O1" s="239"/>
      <c r="P1" s="239"/>
      <c r="Q1" s="239"/>
      <c r="R1" s="239"/>
      <c r="S1" s="239"/>
      <c r="T1" s="239"/>
      <c r="U1" s="239"/>
      <c r="V1" s="239"/>
      <c r="W1" s="239"/>
      <c r="X1" s="239"/>
      <c r="Y1" s="239"/>
      <c r="Z1" s="239"/>
      <c r="AA1" s="239"/>
      <c r="AB1" s="239"/>
      <c r="AC1" s="239"/>
      <c r="AD1" s="239"/>
      <c r="AE1" s="239"/>
      <c r="AF1" s="239"/>
      <c r="AG1" s="239"/>
      <c r="AH1" s="239"/>
      <c r="AI1" s="239"/>
      <c r="AJ1" s="239"/>
      <c r="AK1" s="239"/>
      <c r="AL1" s="239"/>
      <c r="AM1" s="239"/>
      <c r="AN1" s="239"/>
      <c r="AO1" s="239"/>
      <c r="AP1" s="239"/>
      <c r="AQ1" s="239"/>
      <c r="AR1" s="239"/>
      <c r="AS1" s="239"/>
      <c r="AT1" s="239"/>
      <c r="AU1" s="239"/>
      <c r="AV1" s="239"/>
      <c r="AW1" s="239"/>
      <c r="AX1" s="239"/>
      <c r="AY1" s="239"/>
      <c r="AZ1" s="239"/>
      <c r="BA1" s="239"/>
    </row>
    <row r="2">
      <c r="A2" s="242" t="s">
        <v>833</v>
      </c>
      <c r="B2" s="243" t="str">
        <f>IF(query!A2&lt;&gt;"",CONCATENATE($A$2,query!A2,"'"),query!A2)</f>
        <v>J contains '#Escola'</v>
      </c>
      <c r="C2" s="243"/>
      <c r="D2" s="273" t="s">
        <v>834</v>
      </c>
      <c r="E2" s="251" t="str">
        <f>CONCATENATE("SELECT SUM(G), SUM(H), J WHERE ",C5,C10," GROUP BY J LABEL SUM(G) 'RENDA', SUM(H) 'GASTOS', J 'TAGS'")</f>
        <v>SELECT SUM(G), SUM(H), J WHERE (J contains '#Escola') and E matches '1|2|3|4|5|6|7|8|9|10|11|12' GROUP BY J LABEL SUM(G) 'RENDA', SUM(H) 'GASTOS', J 'TAGS'</v>
      </c>
      <c r="F2" s="246"/>
      <c r="G2" s="243"/>
      <c r="H2" s="245"/>
      <c r="I2" s="245"/>
      <c r="J2" s="245"/>
      <c r="K2" s="245"/>
      <c r="L2" s="239"/>
      <c r="M2" s="239"/>
      <c r="N2" s="239"/>
      <c r="O2" s="239"/>
      <c r="P2" s="239"/>
      <c r="Q2" s="239"/>
      <c r="R2" s="239"/>
      <c r="S2" s="239"/>
      <c r="T2" s="239"/>
      <c r="U2" s="239"/>
      <c r="V2" s="239"/>
      <c r="W2" s="239"/>
      <c r="X2" s="239"/>
      <c r="Y2" s="239"/>
      <c r="Z2" s="239"/>
      <c r="AA2" s="239"/>
      <c r="AB2" s="239"/>
      <c r="AC2" s="239"/>
      <c r="AD2" s="239"/>
      <c r="AE2" s="239"/>
      <c r="AF2" s="239"/>
      <c r="AG2" s="239"/>
      <c r="AH2" s="239"/>
      <c r="AI2" s="239"/>
      <c r="AJ2" s="239"/>
      <c r="AK2" s="239"/>
      <c r="AL2" s="239"/>
      <c r="AM2" s="239"/>
      <c r="AN2" s="239"/>
      <c r="AO2" s="239"/>
      <c r="AP2" s="239"/>
      <c r="AQ2" s="239"/>
      <c r="AR2" s="239"/>
      <c r="AS2" s="239"/>
      <c r="AT2" s="239"/>
      <c r="AU2" s="239"/>
      <c r="AV2" s="239"/>
      <c r="AW2" s="239"/>
      <c r="AX2" s="239"/>
      <c r="AY2" s="239"/>
      <c r="AZ2" s="239"/>
      <c r="BA2" s="239"/>
    </row>
    <row r="3">
      <c r="A3" s="242" t="str">
        <f>IF(query!A3&lt;&gt;"",IF(query!C3=TRUE," and Not ",IF(query!B3=TRUE," and "," or ")),"")</f>
        <v/>
      </c>
      <c r="B3" s="243" t="str">
        <f>IF(query!A3&lt;&gt;"",CONCATENATE(A3,$A$2,query!A3,"'"),query!A3)</f>
        <v/>
      </c>
      <c r="C3" s="243" t="str">
        <f>CONCATENATE(B2,B3,B4,B5,B6,B7,B8,B9)</f>
        <v>J contains '#Escola'</v>
      </c>
      <c r="D3" s="273" t="s">
        <v>835</v>
      </c>
      <c r="E3" s="251" t="str">
        <f>CONCATENATE("SELECT B, E, G, H, A WHERE ",C8,C10," ORDER BY E LABEL B 'DESCRIÇÃO', E 'MES', G 'RENDA', H 'GASTOS', A 'STATUS'")</f>
        <v>SELECT B, E, G, H, A WHERE B = '***' and E matches '1|2|3|4|5|6|7|8|9|10|11|12' ORDER BY E LABEL B 'DESCRIÇÃO', E 'MES', G 'RENDA', H 'GASTOS', A 'STATUS'</v>
      </c>
      <c r="F3" s="244"/>
      <c r="G3" s="243"/>
      <c r="H3" s="243"/>
      <c r="I3" s="243"/>
      <c r="J3" s="243"/>
      <c r="K3" s="243"/>
      <c r="L3" s="247"/>
      <c r="M3" s="247"/>
      <c r="N3" s="239"/>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row>
    <row r="4">
      <c r="A4" s="242" t="str">
        <f>IF(query!A4&lt;&gt;"",IF(query!C4=TRUE," and Not ",IF(query!B4=TRUE," and "," or ")),"")</f>
        <v/>
      </c>
      <c r="B4" s="243" t="str">
        <f>IF(query!A4&lt;&gt;"",CONCATENATE(A4,$A$2,query!A4,"'"),query!A4)</f>
        <v/>
      </c>
      <c r="C4" s="243" t="str">
        <f>IF(C3&lt;&gt;"",C3,"1=1")</f>
        <v>J contains '#Escola'</v>
      </c>
      <c r="D4" s="273"/>
      <c r="E4" s="243"/>
      <c r="F4" s="244"/>
      <c r="G4" s="243"/>
      <c r="H4" s="243"/>
      <c r="I4" s="243"/>
      <c r="J4" s="243"/>
      <c r="K4" s="243"/>
      <c r="L4" s="247"/>
      <c r="M4" s="247"/>
      <c r="N4" s="239"/>
      <c r="O4" s="239"/>
      <c r="P4" s="239"/>
      <c r="Q4" s="239"/>
      <c r="R4" s="239"/>
      <c r="S4" s="239"/>
      <c r="T4" s="239"/>
      <c r="U4" s="239"/>
      <c r="V4" s="239"/>
      <c r="W4" s="239"/>
      <c r="X4" s="239"/>
      <c r="Y4" s="239"/>
      <c r="Z4" s="239"/>
      <c r="AA4" s="239"/>
      <c r="AB4" s="239"/>
      <c r="AC4" s="239"/>
      <c r="AD4" s="239"/>
      <c r="AE4" s="239"/>
      <c r="AF4" s="239"/>
      <c r="AG4" s="239"/>
      <c r="AH4" s="239"/>
      <c r="AI4" s="239"/>
      <c r="AJ4" s="239"/>
      <c r="AK4" s="239"/>
      <c r="AL4" s="239"/>
      <c r="AM4" s="239"/>
      <c r="AN4" s="239"/>
      <c r="AO4" s="239"/>
      <c r="AP4" s="239"/>
      <c r="AQ4" s="239"/>
      <c r="AR4" s="239"/>
      <c r="AS4" s="239"/>
      <c r="AT4" s="239"/>
      <c r="AU4" s="239"/>
      <c r="AV4" s="239"/>
      <c r="AW4" s="239"/>
      <c r="AX4" s="239"/>
      <c r="AY4" s="239"/>
      <c r="AZ4" s="239"/>
      <c r="BA4" s="239"/>
    </row>
    <row r="5">
      <c r="A5" s="242" t="str">
        <f>IF(query!A5&lt;&gt;"",IF(query!C5=TRUE," and Not ",IF(query!B5=TRUE," and "," or ")),"")</f>
        <v/>
      </c>
      <c r="B5" s="243" t="str">
        <f>IF(query!A5&lt;&gt;"",CONCATENATE(A5,$A$2,query!A5,"'"),query!A5)</f>
        <v/>
      </c>
      <c r="C5" s="243" t="str">
        <f>CONCATENATE("(",C4,")")</f>
        <v>(J contains '#Escola')</v>
      </c>
      <c r="D5" s="273" t="s">
        <v>836</v>
      </c>
      <c r="E5" s="251" t="str">
        <f>IF(AND(query!B23=TRUE,C10&lt;&gt;""),CONCATENATE("SELECT SUM(G), SUM(H), J, E WHERE ",C5,C10," GROUP BY J, E ORDER BY E ASC LABEL SUM(G) 'RENDA', SUM(H) 'GASTOS', J 'TAGS', E 'MES'"),"")</f>
        <v/>
      </c>
      <c r="F5" s="246"/>
      <c r="G5" s="248"/>
      <c r="H5" s="245"/>
      <c r="I5" s="245"/>
      <c r="J5" s="245"/>
      <c r="K5" s="245"/>
      <c r="L5" s="239"/>
      <c r="M5" s="239"/>
      <c r="N5" s="239"/>
      <c r="O5" s="239"/>
      <c r="P5" s="239"/>
      <c r="Q5" s="239"/>
      <c r="R5" s="239"/>
      <c r="S5" s="239"/>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239"/>
      <c r="AY5" s="239"/>
      <c r="AZ5" s="239"/>
      <c r="BA5" s="239"/>
    </row>
    <row r="6">
      <c r="A6" s="242" t="str">
        <f>IF(query!A6&lt;&gt;"",IF(query!C6=TRUE," and Not ",IF(query!B6=TRUE," and "," or ")),"")</f>
        <v/>
      </c>
      <c r="B6" s="243" t="str">
        <f>IF(query!A6&lt;&gt;"",CONCATENATE(A6,$A$2,query!A6,"'"),query!A6)</f>
        <v/>
      </c>
      <c r="C6" s="245"/>
      <c r="D6" s="273" t="s">
        <v>837</v>
      </c>
      <c r="E6" s="251" t="str">
        <f>IF(AND(query!B23=TRUE,C10&lt;&gt;""),CONCATENATE("SELECT B, E, G, H, A WHERE ",C8,C10," ORDER BY E LABEL B 'DESCRIÇÃO', E 'MES', G 'RENDA', H 'GASTOS', A 'STATUS'"),"")</f>
        <v/>
      </c>
      <c r="F6" s="249"/>
      <c r="G6" s="245"/>
      <c r="H6" s="245"/>
      <c r="I6" s="245"/>
      <c r="J6" s="245"/>
      <c r="K6" s="245"/>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c r="AU6" s="239"/>
      <c r="AV6" s="239"/>
      <c r="AW6" s="239"/>
      <c r="AX6" s="239"/>
      <c r="AY6" s="239"/>
      <c r="AZ6" s="239"/>
      <c r="BA6" s="239"/>
    </row>
    <row r="7">
      <c r="A7" s="242" t="str">
        <f>IF(query!A7&lt;&gt;"",IF(query!C7=TRUE," and Not ",IF(query!B7=TRUE," and "," or ")),"")</f>
        <v/>
      </c>
      <c r="B7" s="243" t="str">
        <f>IF(query!A7&lt;&gt;"",CONCATENATE(A7,$A$2,query!A7,"'"),query!A7)</f>
        <v/>
      </c>
      <c r="C7" s="243" t="str">
        <f>IF(query!I13&lt;&gt;"",CONCATENATE("(J = '",INDIRECT(LEFT(ADDRESS(1,6,4,TRUE,"query"),LEN(ADDRESS(1,6,4,TRUE,"query"))-1)&amp;query!I13),"')"),"B = '***'")</f>
        <v>B = '***'</v>
      </c>
      <c r="D7" s="245"/>
      <c r="E7" s="245"/>
      <c r="F7" s="252"/>
      <c r="G7" s="245"/>
      <c r="H7" s="245"/>
      <c r="I7" s="245"/>
      <c r="J7" s="245"/>
      <c r="K7" s="245"/>
      <c r="L7" s="239"/>
      <c r="M7" s="239"/>
      <c r="N7" s="239"/>
      <c r="O7" s="239"/>
      <c r="P7" s="239"/>
      <c r="Q7" s="239"/>
      <c r="R7" s="239"/>
      <c r="S7" s="239"/>
      <c r="T7" s="239"/>
      <c r="U7" s="239"/>
      <c r="V7" s="239"/>
      <c r="W7" s="239"/>
      <c r="X7" s="239"/>
      <c r="Y7" s="239"/>
      <c r="Z7" s="239"/>
      <c r="AA7" s="239"/>
      <c r="AB7" s="239"/>
      <c r="AC7" s="239"/>
      <c r="AD7" s="239"/>
      <c r="AE7" s="239"/>
      <c r="AF7" s="239"/>
      <c r="AG7" s="239"/>
      <c r="AH7" s="239"/>
      <c r="AI7" s="239"/>
      <c r="AJ7" s="239"/>
      <c r="AK7" s="239"/>
      <c r="AL7" s="239"/>
      <c r="AM7" s="239"/>
      <c r="AN7" s="239"/>
      <c r="AO7" s="239"/>
      <c r="AP7" s="239"/>
      <c r="AQ7" s="239"/>
      <c r="AR7" s="239"/>
      <c r="AS7" s="239"/>
      <c r="AT7" s="239"/>
      <c r="AU7" s="239"/>
      <c r="AV7" s="239"/>
      <c r="AW7" s="239"/>
      <c r="AX7" s="239"/>
      <c r="AY7" s="239"/>
      <c r="AZ7" s="239"/>
      <c r="BA7" s="239"/>
    </row>
    <row r="8">
      <c r="A8" s="242" t="str">
        <f>IF(query!A8&lt;&gt;"",IF(query!C8=TRUE," and Not ",IF(query!B8=TRUE," and "," or ")),"")</f>
        <v/>
      </c>
      <c r="B8" s="243" t="str">
        <f>IF(query!A8&lt;&gt;"",CONCATENATE(A8,$A$2,query!A8,"'"),query!A8)</f>
        <v/>
      </c>
      <c r="C8" s="243" t="str">
        <f>IF(C7&lt;&gt;"(J = '')",C7,"(J = '***')")</f>
        <v>B = '***'</v>
      </c>
      <c r="D8" s="245"/>
      <c r="E8" s="245"/>
      <c r="F8" s="252"/>
      <c r="G8" s="245"/>
      <c r="H8" s="245"/>
      <c r="I8" s="245"/>
      <c r="J8" s="245"/>
      <c r="K8" s="245"/>
      <c r="L8" s="239"/>
      <c r="M8" s="239"/>
      <c r="N8" s="239"/>
      <c r="O8" s="239"/>
      <c r="P8" s="239"/>
      <c r="Q8" s="239"/>
      <c r="R8" s="239"/>
      <c r="S8" s="239"/>
      <c r="T8" s="239"/>
      <c r="U8" s="239"/>
      <c r="V8" s="239"/>
      <c r="W8" s="239"/>
      <c r="X8" s="239"/>
      <c r="Y8" s="239"/>
      <c r="Z8" s="239"/>
      <c r="AA8" s="239"/>
      <c r="AB8" s="239"/>
      <c r="AC8" s="239"/>
      <c r="AD8" s="239"/>
      <c r="AE8" s="239"/>
      <c r="AF8" s="239"/>
      <c r="AG8" s="239"/>
      <c r="AH8" s="239"/>
      <c r="AI8" s="239"/>
      <c r="AJ8" s="239"/>
      <c r="AK8" s="239"/>
      <c r="AL8" s="239"/>
      <c r="AM8" s="239"/>
      <c r="AN8" s="239"/>
      <c r="AO8" s="239"/>
      <c r="AP8" s="239"/>
      <c r="AQ8" s="239"/>
      <c r="AR8" s="239"/>
      <c r="AS8" s="239"/>
      <c r="AT8" s="239"/>
      <c r="AU8" s="239"/>
      <c r="AV8" s="239"/>
      <c r="AW8" s="239"/>
      <c r="AX8" s="239"/>
      <c r="AY8" s="239"/>
      <c r="AZ8" s="239"/>
      <c r="BA8" s="239"/>
    </row>
    <row r="9">
      <c r="A9" s="242" t="str">
        <f>IF(query!A9&lt;&gt;"",IF(query!C9=TRUE," and Not ",IF(query!B9=TRUE," and "," or ")),"")</f>
        <v/>
      </c>
      <c r="B9" s="243" t="str">
        <f>IF(query!A9&lt;&gt;"",CONCATENATE(A9,$A$2,query!A9,"'"),query!A9)</f>
        <v/>
      </c>
      <c r="C9" s="245"/>
      <c r="D9" s="245"/>
      <c r="E9" s="245"/>
      <c r="F9" s="252"/>
      <c r="G9" s="245"/>
      <c r="H9" s="245"/>
      <c r="I9" s="245"/>
      <c r="J9" s="245"/>
      <c r="K9" s="245"/>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row>
    <row r="10">
      <c r="A10" s="242"/>
      <c r="B10" s="242"/>
      <c r="C10" s="243" t="str">
        <f>IF(AND(C3&lt;&gt;"",E15&lt;&gt;""),CONCATENATE(" and E matches '",E15,"'"),"")</f>
        <v> and E matches '1|2|3|4|5|6|7|8|9|10|11|12'</v>
      </c>
      <c r="D10" s="243"/>
      <c r="E10" s="243"/>
      <c r="F10" s="244"/>
      <c r="G10" s="243"/>
      <c r="H10" s="243"/>
      <c r="I10" s="243"/>
      <c r="J10" s="243"/>
      <c r="K10" s="243"/>
      <c r="L10" s="247"/>
      <c r="M10" s="247"/>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c r="AX10" s="239"/>
      <c r="AY10" s="239"/>
      <c r="AZ10" s="239"/>
      <c r="BA10" s="239"/>
      <c r="BB10" s="239"/>
      <c r="BC10" s="239"/>
    </row>
    <row r="11">
      <c r="A11" s="243"/>
      <c r="B11" s="243"/>
      <c r="C11" s="243" t="str">
        <f>IF(query!I13&lt;&gt;"",CONCATENATE(" and E = ",INDIRECT(LEFT(ADDRESS(1,6,4,TRUE,"query"),LEN(ADDRESS(1,6,4,TRUE,"query"))-1)&amp;query!I13))," and B = '***'")</f>
        <v> and B = '***'</v>
      </c>
      <c r="D11" s="242"/>
      <c r="E11" s="242"/>
      <c r="F11" s="244"/>
      <c r="G11" s="244"/>
      <c r="H11" s="244"/>
      <c r="I11" s="244"/>
      <c r="J11" s="244"/>
      <c r="K11" s="244"/>
      <c r="L11" s="239"/>
      <c r="M11" s="239"/>
      <c r="N11" s="239"/>
      <c r="O11" s="239"/>
      <c r="P11" s="239"/>
      <c r="Q11" s="239"/>
      <c r="R11" s="239"/>
      <c r="S11" s="239"/>
      <c r="T11" s="239"/>
      <c r="U11" s="239"/>
      <c r="V11" s="239"/>
      <c r="W11" s="239"/>
      <c r="X11" s="239"/>
      <c r="Y11" s="239"/>
      <c r="Z11" s="239"/>
      <c r="AA11" s="239"/>
      <c r="AB11" s="239"/>
      <c r="AC11" s="239"/>
      <c r="AD11" s="239"/>
      <c r="AE11" s="239"/>
      <c r="AF11" s="239"/>
      <c r="AG11" s="239"/>
      <c r="AH11" s="239"/>
      <c r="AI11" s="239"/>
      <c r="AJ11" s="239"/>
      <c r="AK11" s="239"/>
      <c r="AL11" s="239"/>
      <c r="AM11" s="239"/>
      <c r="AN11" s="239"/>
      <c r="AO11" s="239"/>
      <c r="AP11" s="239"/>
      <c r="AQ11" s="239"/>
      <c r="AR11" s="239"/>
      <c r="AS11" s="239"/>
      <c r="AT11" s="239"/>
      <c r="AU11" s="239"/>
      <c r="AV11" s="239"/>
      <c r="AW11" s="239"/>
      <c r="AX11" s="239"/>
      <c r="AY11" s="239"/>
      <c r="AZ11" s="239"/>
      <c r="BA11" s="239"/>
      <c r="BB11" s="239"/>
      <c r="BC11" s="239"/>
    </row>
    <row r="12">
      <c r="A12" s="243"/>
      <c r="B12" s="243"/>
      <c r="C12" s="243" t="str">
        <f>IF(C11&lt;&gt;" and E = ",C11," and E = '***'")</f>
        <v> and B = '***'</v>
      </c>
      <c r="D12" s="242"/>
      <c r="E12" s="242"/>
      <c r="F12" s="244"/>
      <c r="G12" s="244"/>
      <c r="H12" s="244"/>
      <c r="I12" s="244"/>
      <c r="J12" s="244"/>
      <c r="K12" s="244"/>
      <c r="L12" s="239"/>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c r="AJ12" s="239"/>
      <c r="AK12" s="239"/>
      <c r="AL12" s="239"/>
      <c r="AM12" s="239"/>
      <c r="AN12" s="239"/>
      <c r="AO12" s="239"/>
      <c r="AP12" s="239"/>
      <c r="AQ12" s="239"/>
      <c r="AR12" s="239"/>
      <c r="AS12" s="239"/>
      <c r="AT12" s="239"/>
      <c r="AU12" s="239"/>
      <c r="AV12" s="239"/>
      <c r="AW12" s="239"/>
      <c r="AX12" s="239"/>
      <c r="AY12" s="239"/>
      <c r="AZ12" s="239"/>
      <c r="BA12" s="239"/>
      <c r="BB12" s="239"/>
      <c r="BC12" s="239"/>
    </row>
    <row r="13">
      <c r="A13" s="243"/>
      <c r="B13" s="243"/>
      <c r="C13" s="242"/>
      <c r="D13" s="242"/>
      <c r="E13" s="242"/>
      <c r="F13" s="244"/>
      <c r="G13" s="244"/>
      <c r="H13" s="244"/>
      <c r="I13" s="244"/>
      <c r="J13" s="244"/>
      <c r="K13" s="244"/>
      <c r="L13" s="239"/>
      <c r="M13" s="239"/>
      <c r="N13" s="239"/>
      <c r="O13" s="239"/>
      <c r="P13" s="239"/>
      <c r="Q13" s="239"/>
      <c r="R13" s="239"/>
      <c r="S13" s="239"/>
      <c r="T13" s="239"/>
      <c r="U13" s="239"/>
      <c r="V13" s="239"/>
      <c r="W13" s="239"/>
      <c r="X13" s="239"/>
      <c r="Y13" s="239"/>
      <c r="Z13" s="239"/>
      <c r="AA13" s="239"/>
      <c r="AB13" s="239"/>
      <c r="AC13" s="239"/>
      <c r="AD13" s="239"/>
      <c r="AE13" s="239"/>
      <c r="AF13" s="239"/>
      <c r="AG13" s="239"/>
      <c r="AH13" s="239"/>
      <c r="AI13" s="239"/>
      <c r="AJ13" s="239"/>
      <c r="AK13" s="239"/>
      <c r="AL13" s="239"/>
      <c r="AM13" s="239"/>
      <c r="AN13" s="239"/>
      <c r="AO13" s="239"/>
      <c r="AP13" s="239"/>
      <c r="AQ13" s="239"/>
      <c r="AR13" s="239"/>
      <c r="AS13" s="239"/>
      <c r="AT13" s="239"/>
      <c r="AU13" s="239"/>
      <c r="AV13" s="239"/>
      <c r="AW13" s="239"/>
      <c r="AX13" s="239"/>
      <c r="AY13" s="239"/>
      <c r="AZ13" s="239"/>
      <c r="BA13" s="239"/>
      <c r="BB13" s="239"/>
      <c r="BC13" s="239"/>
    </row>
    <row r="14">
      <c r="A14" s="243" t="str">
        <f>query!A11</f>
        <v>JANEIRO</v>
      </c>
      <c r="B14" s="243" t="b">
        <f>query!B11</f>
        <v>1</v>
      </c>
      <c r="C14" s="243" t="str">
        <f t="shared" ref="C14:C25" si="1">IF(B14=TRUE,MONTH(A14&amp;1)&amp;"|","")</f>
        <v>1|</v>
      </c>
      <c r="D14" s="242"/>
      <c r="E14" s="243" t="str">
        <f t="array" ref="E14">CONCATENATE(TRANSPOSE(C14:C25))</f>
        <v>1|2|3|4|5|6|7|8|9|10|11|12|</v>
      </c>
      <c r="F14" s="255"/>
      <c r="G14" s="239"/>
      <c r="H14" s="239"/>
      <c r="I14" s="239"/>
      <c r="J14" s="239"/>
      <c r="K14" s="239"/>
      <c r="L14" s="239"/>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c r="AL14" s="239"/>
      <c r="AM14" s="239"/>
      <c r="AN14" s="239"/>
      <c r="AO14" s="239"/>
      <c r="AP14" s="239"/>
      <c r="AQ14" s="239"/>
      <c r="AR14" s="239"/>
      <c r="AS14" s="239"/>
      <c r="AT14" s="239"/>
      <c r="AU14" s="239"/>
      <c r="AV14" s="239"/>
      <c r="AW14" s="239"/>
      <c r="AX14" s="239"/>
      <c r="AY14" s="239"/>
      <c r="AZ14" s="239"/>
      <c r="BA14" s="239"/>
      <c r="BB14" s="239"/>
      <c r="BC14" s="239"/>
    </row>
    <row r="15">
      <c r="A15" s="243" t="str">
        <f>query!A12</f>
        <v>FEVEREIRO</v>
      </c>
      <c r="B15" s="243" t="b">
        <f>query!B12</f>
        <v>1</v>
      </c>
      <c r="C15" s="243" t="str">
        <f t="shared" si="1"/>
        <v>2|</v>
      </c>
      <c r="D15" s="242"/>
      <c r="E15" s="243" t="str">
        <f>IF(E14&lt;&gt;"",LEFT(E14,LEN(E14)-1),"")</f>
        <v>1|2|3|4|5|6|7|8|9|10|11|12</v>
      </c>
      <c r="F15" s="255"/>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239"/>
      <c r="BC15" s="239"/>
    </row>
    <row r="16">
      <c r="A16" s="243" t="str">
        <f>query!A13</f>
        <v>MARÇO</v>
      </c>
      <c r="B16" s="243" t="b">
        <f>query!B13</f>
        <v>1</v>
      </c>
      <c r="C16" s="243" t="str">
        <f t="shared" si="1"/>
        <v>3|</v>
      </c>
      <c r="D16" s="239"/>
      <c r="E16" s="239"/>
      <c r="F16" s="255"/>
      <c r="G16" s="239"/>
      <c r="H16" s="239"/>
      <c r="I16" s="239"/>
      <c r="J16" s="239"/>
      <c r="K16" s="239"/>
      <c r="L16" s="239"/>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row>
    <row r="17">
      <c r="A17" s="243" t="str">
        <f>query!A14</f>
        <v>ABRIL</v>
      </c>
      <c r="B17" s="243" t="b">
        <f>query!B14</f>
        <v>1</v>
      </c>
      <c r="C17" s="243" t="str">
        <f t="shared" si="1"/>
        <v>4|</v>
      </c>
      <c r="D17" s="239"/>
      <c r="E17" s="239"/>
      <c r="F17" s="255"/>
      <c r="G17" s="239"/>
      <c r="H17" s="239"/>
      <c r="I17" s="239"/>
      <c r="J17" s="239"/>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row>
    <row r="18">
      <c r="A18" s="243" t="str">
        <f>query!A15</f>
        <v>MAIO</v>
      </c>
      <c r="B18" s="243" t="b">
        <f>query!B15</f>
        <v>1</v>
      </c>
      <c r="C18" s="243" t="str">
        <f t="shared" si="1"/>
        <v>5|</v>
      </c>
      <c r="D18" s="239"/>
      <c r="E18" s="239"/>
      <c r="F18" s="255"/>
      <c r="G18" s="239"/>
      <c r="H18" s="239"/>
      <c r="I18" s="239"/>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row>
    <row r="19">
      <c r="A19" s="243" t="str">
        <f>query!A16</f>
        <v>JUNHO</v>
      </c>
      <c r="B19" s="243" t="b">
        <f>query!B16</f>
        <v>1</v>
      </c>
      <c r="C19" s="243" t="str">
        <f t="shared" si="1"/>
        <v>6|</v>
      </c>
      <c r="D19" s="239"/>
      <c r="E19" s="239"/>
      <c r="F19" s="255"/>
      <c r="G19" s="239"/>
      <c r="H19" s="239"/>
      <c r="I19" s="239"/>
      <c r="J19" s="239"/>
      <c r="K19" s="239"/>
      <c r="L19" s="239"/>
      <c r="M19" s="239"/>
      <c r="N19" s="239"/>
      <c r="O19" s="239"/>
      <c r="P19" s="239"/>
      <c r="Q19" s="239"/>
      <c r="R19" s="239"/>
      <c r="S19" s="239"/>
      <c r="T19" s="239"/>
      <c r="U19" s="239"/>
      <c r="V19" s="239"/>
      <c r="W19" s="239"/>
      <c r="X19" s="239"/>
      <c r="Y19" s="239"/>
      <c r="Z19" s="239"/>
      <c r="AA19" s="239"/>
      <c r="AB19" s="239"/>
      <c r="AC19" s="239"/>
      <c r="AD19" s="239"/>
      <c r="AE19" s="239"/>
      <c r="AF19" s="239"/>
      <c r="AG19" s="239"/>
      <c r="AH19" s="239"/>
      <c r="AI19" s="239"/>
      <c r="AJ19" s="239"/>
      <c r="AK19" s="239"/>
      <c r="AL19" s="239"/>
      <c r="AM19" s="239"/>
      <c r="AN19" s="239"/>
      <c r="AO19" s="239"/>
      <c r="AP19" s="239"/>
      <c r="AQ19" s="239"/>
      <c r="AR19" s="239"/>
      <c r="AS19" s="239"/>
      <c r="AT19" s="239"/>
      <c r="AU19" s="239"/>
      <c r="AV19" s="239"/>
      <c r="AW19" s="239"/>
      <c r="AX19" s="239"/>
      <c r="AY19" s="239"/>
      <c r="AZ19" s="239"/>
      <c r="BA19" s="239"/>
      <c r="BB19" s="239"/>
      <c r="BC19" s="239"/>
    </row>
    <row r="20">
      <c r="A20" s="243" t="str">
        <f>query!A17</f>
        <v>JULHO</v>
      </c>
      <c r="B20" s="243" t="b">
        <f>query!B17</f>
        <v>1</v>
      </c>
      <c r="C20" s="243" t="str">
        <f t="shared" si="1"/>
        <v>7|</v>
      </c>
      <c r="D20" s="239"/>
      <c r="E20" s="239"/>
      <c r="F20" s="255"/>
      <c r="G20" s="239"/>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row>
    <row r="21">
      <c r="A21" s="243" t="str">
        <f>query!A18</f>
        <v>AGOSTO</v>
      </c>
      <c r="B21" s="243" t="b">
        <f>query!B18</f>
        <v>1</v>
      </c>
      <c r="C21" s="243" t="str">
        <f t="shared" si="1"/>
        <v>8|</v>
      </c>
      <c r="D21" s="239"/>
      <c r="E21" s="274"/>
      <c r="F21" s="255"/>
      <c r="G21" s="239"/>
      <c r="H21" s="239"/>
      <c r="I21" s="239"/>
      <c r="J21" s="239"/>
      <c r="K21" s="239"/>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row>
    <row r="22">
      <c r="A22" s="243" t="str">
        <f>query!A19</f>
        <v>SETEMBRO</v>
      </c>
      <c r="B22" s="243" t="b">
        <f>query!B19</f>
        <v>1</v>
      </c>
      <c r="C22" s="243" t="str">
        <f t="shared" si="1"/>
        <v>9|</v>
      </c>
      <c r="D22" s="239"/>
      <c r="E22" s="274"/>
      <c r="F22" s="255"/>
      <c r="G22" s="239"/>
      <c r="H22" s="239"/>
      <c r="I22" s="239"/>
      <c r="J22" s="239"/>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row>
    <row r="23">
      <c r="A23" s="243" t="str">
        <f>query!A20</f>
        <v>OUTUBRO</v>
      </c>
      <c r="B23" s="243" t="b">
        <f>query!B20</f>
        <v>1</v>
      </c>
      <c r="C23" s="243" t="str">
        <f t="shared" si="1"/>
        <v>10|</v>
      </c>
      <c r="D23" s="239"/>
      <c r="E23" s="274"/>
      <c r="F23" s="255"/>
      <c r="G23" s="239"/>
      <c r="H23" s="239"/>
      <c r="I23" s="239"/>
      <c r="J23" s="239"/>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c r="AQ23" s="239"/>
      <c r="AR23" s="239"/>
      <c r="AS23" s="239"/>
      <c r="AT23" s="239"/>
      <c r="AU23" s="239"/>
      <c r="AV23" s="239"/>
      <c r="AW23" s="239"/>
      <c r="AX23" s="239"/>
      <c r="AY23" s="239"/>
      <c r="AZ23" s="239"/>
      <c r="BA23" s="239"/>
      <c r="BB23" s="239"/>
      <c r="BC23" s="239"/>
    </row>
    <row r="24">
      <c r="A24" s="243" t="str">
        <f>query!A21</f>
        <v>NOVEMBRO</v>
      </c>
      <c r="B24" s="243" t="b">
        <f>query!B21</f>
        <v>1</v>
      </c>
      <c r="C24" s="243" t="str">
        <f t="shared" si="1"/>
        <v>11|</v>
      </c>
      <c r="D24" s="239"/>
      <c r="E24" s="274"/>
      <c r="F24" s="255"/>
      <c r="G24" s="239"/>
      <c r="H24" s="239"/>
      <c r="I24" s="239"/>
      <c r="J24" s="239"/>
      <c r="K24" s="239"/>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row>
    <row r="25">
      <c r="A25" s="243" t="str">
        <f>query!A22</f>
        <v>DEZEMBRO</v>
      </c>
      <c r="B25" s="243" t="b">
        <f>query!B22</f>
        <v>1</v>
      </c>
      <c r="C25" s="243" t="str">
        <f t="shared" si="1"/>
        <v>12|</v>
      </c>
      <c r="D25" s="239"/>
      <c r="E25" s="274"/>
      <c r="F25" s="255"/>
      <c r="G25" s="239"/>
      <c r="H25" s="239"/>
      <c r="I25" s="239"/>
      <c r="J25" s="239"/>
      <c r="K25" s="239"/>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row>
    <row r="26">
      <c r="A26" s="239"/>
      <c r="B26" s="239"/>
      <c r="C26" s="239"/>
      <c r="D26" s="239"/>
      <c r="E26" s="274"/>
      <c r="F26" s="255"/>
      <c r="G26" s="239"/>
      <c r="H26" s="239"/>
      <c r="I26" s="239"/>
      <c r="J26" s="239"/>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row>
    <row r="27">
      <c r="A27" s="239"/>
      <c r="B27" s="239"/>
      <c r="C27" s="239"/>
      <c r="D27" s="239"/>
      <c r="E27" s="239"/>
      <c r="F27" s="255"/>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row>
    <row r="28">
      <c r="A28" s="239"/>
      <c r="B28" s="239"/>
      <c r="C28" s="239"/>
      <c r="D28" s="239"/>
      <c r="E28" s="274"/>
      <c r="F28" s="255"/>
      <c r="G28" s="239"/>
      <c r="H28" s="239"/>
      <c r="I28" s="239"/>
      <c r="J28" s="239"/>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row>
    <row r="29">
      <c r="A29" s="239"/>
      <c r="B29" s="239"/>
      <c r="C29" s="239"/>
      <c r="D29" s="239"/>
      <c r="E29" s="239"/>
      <c r="F29" s="255"/>
      <c r="G29" s="239"/>
      <c r="H29" s="239"/>
      <c r="I29" s="239"/>
      <c r="J29" s="239"/>
      <c r="K29" s="239"/>
      <c r="L29" s="239"/>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row>
    <row r="30">
      <c r="A30" s="239"/>
      <c r="B30" s="239"/>
      <c r="C30" s="239"/>
      <c r="D30" s="239"/>
      <c r="E30" s="239"/>
      <c r="F30" s="255"/>
      <c r="G30" s="239"/>
      <c r="H30" s="239"/>
      <c r="I30" s="239"/>
      <c r="J30" s="239"/>
      <c r="K30" s="239"/>
      <c r="L30" s="239"/>
      <c r="M30" s="239"/>
      <c r="N30" s="239"/>
      <c r="O30" s="239"/>
      <c r="P30" s="239"/>
      <c r="Q30" s="239"/>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row>
    <row r="31">
      <c r="A31" s="239"/>
      <c r="B31" s="239"/>
      <c r="C31" s="239"/>
      <c r="D31" s="239"/>
      <c r="E31" s="239"/>
      <c r="F31" s="255"/>
      <c r="G31" s="239"/>
      <c r="H31" s="239"/>
      <c r="I31" s="239"/>
      <c r="J31" s="239"/>
      <c r="K31" s="239"/>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row>
    <row r="32">
      <c r="A32" s="239"/>
      <c r="B32" s="239"/>
      <c r="C32" s="239"/>
      <c r="D32" s="239"/>
      <c r="E32" s="239"/>
      <c r="F32" s="255"/>
      <c r="G32" s="239"/>
      <c r="H32" s="239"/>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row>
    <row r="33">
      <c r="A33" s="239"/>
      <c r="B33" s="239"/>
      <c r="C33" s="239"/>
      <c r="D33" s="239"/>
      <c r="E33" s="239"/>
      <c r="F33" s="255"/>
      <c r="G33" s="239"/>
      <c r="H33" s="239"/>
      <c r="I33" s="239"/>
      <c r="J33" s="239"/>
      <c r="K33" s="239"/>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row>
    <row r="34">
      <c r="A34" s="239"/>
      <c r="B34" s="239"/>
      <c r="C34" s="239"/>
      <c r="D34" s="239"/>
      <c r="E34" s="239"/>
      <c r="F34" s="255"/>
      <c r="G34" s="239"/>
      <c r="H34" s="239"/>
      <c r="I34" s="239"/>
      <c r="J34" s="239"/>
      <c r="K34" s="239"/>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row>
    <row r="35">
      <c r="A35" s="239"/>
      <c r="B35" s="239"/>
      <c r="C35" s="239"/>
      <c r="D35" s="239"/>
      <c r="E35" s="239"/>
      <c r="F35" s="255"/>
      <c r="G35" s="239"/>
      <c r="H35" s="239"/>
      <c r="I35" s="239"/>
      <c r="J35" s="239"/>
      <c r="K35" s="239"/>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row>
    <row r="36">
      <c r="A36" s="239"/>
      <c r="B36" s="239"/>
      <c r="C36" s="239"/>
      <c r="D36" s="239"/>
      <c r="E36" s="239"/>
      <c r="F36" s="255"/>
      <c r="G36" s="239"/>
      <c r="H36" s="239"/>
      <c r="I36" s="239"/>
      <c r="J36" s="239"/>
      <c r="K36" s="239"/>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row>
    <row r="37">
      <c r="A37" s="239"/>
      <c r="B37" s="239"/>
      <c r="C37" s="239"/>
      <c r="D37" s="239"/>
      <c r="E37" s="239"/>
      <c r="F37" s="255"/>
      <c r="G37" s="239"/>
      <c r="H37" s="239"/>
      <c r="I37" s="239"/>
      <c r="J37" s="239"/>
      <c r="K37" s="239"/>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row>
    <row r="38">
      <c r="A38" s="239"/>
      <c r="B38" s="239"/>
      <c r="C38" s="239"/>
      <c r="D38" s="239"/>
      <c r="E38" s="239"/>
      <c r="F38" s="255"/>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row>
    <row r="39">
      <c r="A39" s="239"/>
      <c r="B39" s="239"/>
      <c r="C39" s="239"/>
      <c r="D39" s="239"/>
      <c r="E39" s="239"/>
      <c r="F39" s="255"/>
      <c r="G39" s="239"/>
      <c r="H39" s="239"/>
      <c r="I39" s="239"/>
      <c r="J39" s="239"/>
      <c r="K39" s="239"/>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row>
    <row r="40">
      <c r="A40" s="239"/>
      <c r="B40" s="239"/>
      <c r="C40" s="239"/>
      <c r="D40" s="239"/>
      <c r="E40" s="239"/>
      <c r="F40" s="255"/>
      <c r="G40" s="239"/>
      <c r="H40" s="239"/>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row>
    <row r="41">
      <c r="A41" s="239"/>
      <c r="B41" s="239"/>
      <c r="C41" s="239"/>
      <c r="D41" s="239"/>
      <c r="E41" s="239"/>
      <c r="F41" s="255"/>
      <c r="G41" s="239"/>
      <c r="H41" s="239"/>
      <c r="I41" s="239"/>
      <c r="J41" s="239"/>
      <c r="K41" s="239"/>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row>
    <row r="42">
      <c r="A42" s="239"/>
      <c r="B42" s="239"/>
      <c r="C42" s="239"/>
      <c r="D42" s="239"/>
      <c r="E42" s="239"/>
      <c r="F42" s="255"/>
      <c r="G42" s="239"/>
      <c r="H42" s="239"/>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39"/>
      <c r="AU42" s="239"/>
      <c r="AV42" s="239"/>
      <c r="AW42" s="239"/>
      <c r="AX42" s="239"/>
      <c r="AY42" s="239"/>
      <c r="AZ42" s="239"/>
      <c r="BA42" s="239"/>
      <c r="BB42" s="239"/>
      <c r="BC42" s="239"/>
    </row>
    <row r="43">
      <c r="A43" s="239"/>
      <c r="B43" s="239"/>
      <c r="C43" s="239"/>
      <c r="D43" s="239"/>
      <c r="E43" s="239"/>
      <c r="F43" s="255"/>
      <c r="G43" s="239"/>
      <c r="H43" s="239"/>
      <c r="I43" s="239"/>
      <c r="J43" s="239"/>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row>
    <row r="44">
      <c r="A44" s="239"/>
      <c r="B44" s="239"/>
      <c r="C44" s="239"/>
      <c r="D44" s="239"/>
      <c r="E44" s="239"/>
      <c r="F44" s="255"/>
      <c r="G44" s="239"/>
      <c r="H44" s="239"/>
      <c r="I44" s="239"/>
      <c r="J44" s="239"/>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row>
    <row r="45">
      <c r="A45" s="239"/>
      <c r="B45" s="239"/>
      <c r="C45" s="239"/>
      <c r="D45" s="239"/>
      <c r="E45" s="239"/>
      <c r="F45" s="255"/>
      <c r="G45" s="239"/>
      <c r="H45" s="239"/>
      <c r="I45" s="239"/>
      <c r="J45" s="239"/>
      <c r="K45" s="239"/>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row>
    <row r="46">
      <c r="A46" s="239"/>
      <c r="B46" s="239"/>
      <c r="C46" s="239"/>
      <c r="D46" s="239"/>
      <c r="E46" s="239"/>
      <c r="F46" s="255"/>
      <c r="G46" s="239"/>
      <c r="H46" s="239"/>
      <c r="I46" s="239"/>
      <c r="J46" s="239"/>
      <c r="K46" s="239"/>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row>
    <row r="47">
      <c r="A47" s="239"/>
      <c r="B47" s="239"/>
      <c r="C47" s="239"/>
      <c r="D47" s="239"/>
      <c r="E47" s="239"/>
      <c r="F47" s="255"/>
      <c r="G47" s="239"/>
      <c r="H47" s="239"/>
      <c r="I47" s="239"/>
      <c r="J47" s="239"/>
      <c r="K47" s="239"/>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row>
    <row r="48">
      <c r="A48" s="239"/>
      <c r="B48" s="239"/>
      <c r="C48" s="239"/>
      <c r="D48" s="239"/>
      <c r="E48" s="239"/>
      <c r="F48" s="255"/>
      <c r="G48" s="239"/>
      <c r="H48" s="239"/>
      <c r="I48" s="239"/>
      <c r="J48" s="239"/>
      <c r="K48" s="239"/>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row>
    <row r="49">
      <c r="A49" s="239"/>
      <c r="B49" s="239"/>
      <c r="C49" s="239"/>
      <c r="D49" s="239"/>
      <c r="E49" s="239"/>
      <c r="F49" s="255"/>
      <c r="G49" s="239"/>
      <c r="H49" s="239"/>
      <c r="I49" s="239"/>
      <c r="J49" s="239"/>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239"/>
      <c r="BC49" s="239"/>
    </row>
    <row r="50">
      <c r="A50" s="239"/>
      <c r="B50" s="239"/>
      <c r="C50" s="239"/>
      <c r="D50" s="239"/>
      <c r="E50" s="239"/>
      <c r="F50" s="255"/>
      <c r="G50" s="239"/>
      <c r="H50" s="239"/>
      <c r="I50" s="239"/>
      <c r="J50" s="239"/>
      <c r="K50" s="239"/>
      <c r="L50" s="239"/>
      <c r="M50" s="239"/>
      <c r="N50" s="239"/>
      <c r="O50" s="239"/>
      <c r="P50" s="239"/>
      <c r="Q50" s="239"/>
      <c r="R50" s="239"/>
      <c r="S50" s="239"/>
      <c r="T50" s="239"/>
      <c r="U50" s="239"/>
      <c r="V50" s="239"/>
      <c r="W50" s="239"/>
      <c r="X50" s="239"/>
      <c r="Y50" s="239"/>
      <c r="Z50" s="239"/>
      <c r="AA50" s="239"/>
      <c r="AB50" s="239"/>
      <c r="AC50" s="239"/>
      <c r="AD50" s="239"/>
      <c r="AE50" s="239"/>
      <c r="AF50" s="239"/>
      <c r="AG50" s="239"/>
      <c r="AH50" s="239"/>
      <c r="AI50" s="239"/>
      <c r="AJ50" s="239"/>
      <c r="AK50" s="239"/>
      <c r="AL50" s="239"/>
      <c r="AM50" s="239"/>
      <c r="AN50" s="239"/>
      <c r="AO50" s="239"/>
      <c r="AP50" s="239"/>
      <c r="AQ50" s="239"/>
      <c r="AR50" s="239"/>
      <c r="AS50" s="239"/>
      <c r="AT50" s="239"/>
      <c r="AU50" s="239"/>
      <c r="AV50" s="239"/>
      <c r="AW50" s="239"/>
      <c r="AX50" s="239"/>
      <c r="AY50" s="239"/>
      <c r="AZ50" s="239"/>
      <c r="BA50" s="239"/>
      <c r="BB50" s="239"/>
      <c r="BC50" s="239"/>
    </row>
    <row r="51">
      <c r="A51" s="239"/>
      <c r="B51" s="239"/>
      <c r="C51" s="239"/>
      <c r="D51" s="239"/>
      <c r="E51" s="239"/>
      <c r="F51" s="255"/>
      <c r="G51" s="239"/>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row>
    <row r="52">
      <c r="A52" s="239"/>
      <c r="B52" s="239"/>
      <c r="C52" s="239"/>
      <c r="D52" s="239"/>
      <c r="E52" s="239"/>
      <c r="F52" s="255"/>
      <c r="G52" s="239"/>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row>
    <row r="53">
      <c r="A53" s="239"/>
      <c r="B53" s="239"/>
      <c r="C53" s="239"/>
      <c r="D53" s="239"/>
      <c r="E53" s="239"/>
      <c r="F53" s="255"/>
      <c r="G53" s="239"/>
      <c r="H53" s="239"/>
      <c r="I53" s="239"/>
      <c r="J53" s="239"/>
      <c r="K53" s="239"/>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row>
    <row r="54">
      <c r="A54" s="239"/>
      <c r="B54" s="239"/>
      <c r="C54" s="239"/>
      <c r="D54" s="239"/>
      <c r="E54" s="239"/>
      <c r="F54" s="255"/>
      <c r="G54" s="239"/>
      <c r="H54" s="239"/>
      <c r="I54" s="239"/>
      <c r="J54" s="239"/>
      <c r="K54" s="239"/>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row>
    <row r="55">
      <c r="A55" s="239"/>
      <c r="B55" s="239"/>
      <c r="C55" s="239"/>
      <c r="D55" s="239"/>
      <c r="E55" s="239"/>
      <c r="F55" s="255"/>
      <c r="G55" s="239"/>
      <c r="H55" s="239"/>
      <c r="I55" s="239"/>
      <c r="J55" s="239"/>
      <c r="K55" s="239"/>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row>
    <row r="56">
      <c r="A56" s="239"/>
      <c r="B56" s="239"/>
      <c r="C56" s="239"/>
      <c r="D56" s="239"/>
      <c r="E56" s="239"/>
      <c r="F56" s="255"/>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row>
    <row r="57">
      <c r="A57" s="239"/>
      <c r="B57" s="239"/>
      <c r="C57" s="239"/>
      <c r="D57" s="239"/>
      <c r="E57" s="239"/>
      <c r="F57" s="255"/>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row>
    <row r="58">
      <c r="A58" s="239"/>
      <c r="B58" s="239"/>
      <c r="C58" s="239"/>
      <c r="D58" s="239"/>
      <c r="E58" s="239"/>
      <c r="F58" s="255"/>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row>
    <row r="59">
      <c r="A59" s="239"/>
      <c r="B59" s="239"/>
      <c r="C59" s="239"/>
      <c r="D59" s="239"/>
      <c r="E59" s="239"/>
      <c r="F59" s="255"/>
      <c r="G59" s="239"/>
      <c r="H59" s="239"/>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row>
    <row r="60">
      <c r="A60" s="239"/>
      <c r="B60" s="239"/>
      <c r="C60" s="239"/>
      <c r="D60" s="239"/>
      <c r="E60" s="239"/>
      <c r="F60" s="255"/>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row>
    <row r="61">
      <c r="A61" s="239"/>
      <c r="B61" s="239"/>
      <c r="C61" s="239"/>
      <c r="D61" s="239"/>
      <c r="E61" s="239"/>
      <c r="F61" s="255"/>
      <c r="G61" s="239"/>
      <c r="H61" s="239"/>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row>
    <row r="62">
      <c r="A62" s="239"/>
      <c r="B62" s="239"/>
      <c r="C62" s="239"/>
      <c r="D62" s="239"/>
      <c r="E62" s="239"/>
      <c r="F62" s="255"/>
      <c r="G62" s="239"/>
      <c r="H62" s="239"/>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row>
    <row r="63">
      <c r="A63" s="239"/>
      <c r="B63" s="239"/>
      <c r="C63" s="239"/>
      <c r="D63" s="239"/>
      <c r="E63" s="239"/>
      <c r="F63" s="255"/>
      <c r="G63" s="239"/>
      <c r="H63" s="239"/>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row>
    <row r="64">
      <c r="A64" s="239"/>
      <c r="B64" s="239"/>
      <c r="C64" s="239"/>
      <c r="D64" s="239"/>
      <c r="E64" s="239"/>
      <c r="F64" s="255"/>
      <c r="G64" s="239"/>
      <c r="H64" s="239"/>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row>
    <row r="65">
      <c r="A65" s="239"/>
      <c r="B65" s="239"/>
      <c r="C65" s="239"/>
      <c r="D65" s="239"/>
      <c r="E65" s="239"/>
      <c r="F65" s="255"/>
      <c r="G65" s="239"/>
      <c r="H65" s="239"/>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row>
    <row r="66">
      <c r="A66" s="239"/>
      <c r="B66" s="239"/>
      <c r="C66" s="239"/>
      <c r="D66" s="239"/>
      <c r="E66" s="239"/>
      <c r="F66" s="255"/>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row>
    <row r="67">
      <c r="A67" s="239"/>
      <c r="B67" s="239"/>
      <c r="C67" s="239"/>
      <c r="D67" s="239"/>
      <c r="E67" s="239"/>
      <c r="F67" s="255"/>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row>
    <row r="68">
      <c r="A68" s="239"/>
      <c r="B68" s="239"/>
      <c r="C68" s="239"/>
      <c r="D68" s="239"/>
      <c r="E68" s="239"/>
      <c r="F68" s="255"/>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row>
    <row r="69">
      <c r="A69" s="239"/>
      <c r="B69" s="239"/>
      <c r="C69" s="239"/>
      <c r="D69" s="239"/>
      <c r="E69" s="239"/>
      <c r="F69" s="255"/>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row>
    <row r="70">
      <c r="A70" s="239"/>
      <c r="B70" s="239"/>
      <c r="C70" s="239"/>
      <c r="D70" s="239"/>
      <c r="E70" s="239"/>
      <c r="F70" s="255"/>
      <c r="G70" s="239"/>
      <c r="H70" s="239"/>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row>
    <row r="71">
      <c r="A71" s="239"/>
      <c r="B71" s="239"/>
      <c r="C71" s="239"/>
      <c r="D71" s="239"/>
      <c r="E71" s="239"/>
      <c r="F71" s="255"/>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row>
    <row r="72">
      <c r="A72" s="239"/>
      <c r="B72" s="239"/>
      <c r="C72" s="239"/>
      <c r="D72" s="239"/>
      <c r="E72" s="239"/>
      <c r="F72" s="255"/>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row>
    <row r="73">
      <c r="A73" s="239"/>
      <c r="B73" s="239"/>
      <c r="C73" s="239"/>
      <c r="D73" s="239"/>
      <c r="E73" s="239"/>
      <c r="F73" s="255"/>
      <c r="G73" s="239"/>
      <c r="H73" s="239"/>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row>
    <row r="74">
      <c r="A74" s="239"/>
      <c r="B74" s="239"/>
      <c r="C74" s="239"/>
      <c r="D74" s="239"/>
      <c r="E74" s="239"/>
      <c r="F74" s="255"/>
      <c r="G74" s="239"/>
      <c r="H74" s="239"/>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row>
    <row r="75">
      <c r="A75" s="239"/>
      <c r="B75" s="239"/>
      <c r="C75" s="239"/>
      <c r="D75" s="239"/>
      <c r="E75" s="239"/>
      <c r="F75" s="255"/>
      <c r="G75" s="239"/>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39"/>
      <c r="AP75" s="239"/>
      <c r="AQ75" s="239"/>
      <c r="AR75" s="239"/>
      <c r="AS75" s="239"/>
      <c r="AT75" s="239"/>
      <c r="AU75" s="239"/>
      <c r="AV75" s="239"/>
      <c r="AW75" s="239"/>
      <c r="AX75" s="239"/>
      <c r="AY75" s="239"/>
      <c r="AZ75" s="239"/>
      <c r="BA75" s="239"/>
      <c r="BB75" s="239"/>
      <c r="BC75" s="239"/>
    </row>
    <row r="76">
      <c r="A76" s="239"/>
      <c r="B76" s="239"/>
      <c r="C76" s="239"/>
      <c r="D76" s="239"/>
      <c r="E76" s="239"/>
      <c r="F76" s="255"/>
      <c r="G76" s="239"/>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row>
    <row r="77">
      <c r="A77" s="239"/>
      <c r="B77" s="239"/>
      <c r="C77" s="239"/>
      <c r="D77" s="239"/>
      <c r="E77" s="239"/>
      <c r="F77" s="255"/>
      <c r="G77" s="239"/>
      <c r="H77" s="239"/>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row>
    <row r="78">
      <c r="A78" s="239"/>
      <c r="B78" s="239"/>
      <c r="C78" s="239"/>
      <c r="D78" s="239"/>
      <c r="E78" s="239"/>
      <c r="F78" s="255"/>
      <c r="G78" s="239"/>
      <c r="H78" s="239"/>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c r="AN78" s="239"/>
      <c r="AO78" s="239"/>
      <c r="AP78" s="239"/>
      <c r="AQ78" s="239"/>
      <c r="AR78" s="239"/>
      <c r="AS78" s="239"/>
      <c r="AT78" s="239"/>
      <c r="AU78" s="239"/>
      <c r="AV78" s="239"/>
      <c r="AW78" s="239"/>
      <c r="AX78" s="239"/>
      <c r="AY78" s="239"/>
      <c r="AZ78" s="239"/>
      <c r="BA78" s="239"/>
      <c r="BB78" s="239"/>
      <c r="BC78" s="239"/>
    </row>
    <row r="79">
      <c r="A79" s="239"/>
      <c r="B79" s="239"/>
      <c r="C79" s="239"/>
      <c r="D79" s="239"/>
      <c r="E79" s="239"/>
      <c r="F79" s="255"/>
      <c r="G79" s="239"/>
      <c r="H79" s="239"/>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row>
    <row r="80">
      <c r="A80" s="239"/>
      <c r="B80" s="239"/>
      <c r="C80" s="239"/>
      <c r="D80" s="239"/>
      <c r="E80" s="239"/>
      <c r="F80" s="255"/>
      <c r="G80" s="239"/>
      <c r="H80" s="239"/>
      <c r="I80" s="239"/>
      <c r="J80" s="239"/>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row>
    <row r="81">
      <c r="A81" s="239"/>
      <c r="B81" s="239"/>
      <c r="C81" s="239"/>
      <c r="D81" s="239"/>
      <c r="E81" s="239"/>
      <c r="F81" s="255"/>
      <c r="G81" s="239"/>
      <c r="H81" s="239"/>
      <c r="I81" s="239"/>
      <c r="J81" s="239"/>
      <c r="K81" s="239"/>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row>
    <row r="82">
      <c r="A82" s="239"/>
      <c r="B82" s="239"/>
      <c r="C82" s="239"/>
      <c r="D82" s="239"/>
      <c r="E82" s="239"/>
      <c r="F82" s="255"/>
      <c r="G82" s="239"/>
      <c r="H82" s="239"/>
      <c r="I82" s="239"/>
      <c r="J82" s="239"/>
      <c r="K82" s="239"/>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row>
    <row r="83">
      <c r="A83" s="239"/>
      <c r="B83" s="239"/>
      <c r="C83" s="239"/>
      <c r="D83" s="239"/>
      <c r="E83" s="239"/>
      <c r="F83" s="255"/>
      <c r="G83" s="239"/>
      <c r="H83" s="239"/>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39"/>
      <c r="AO83" s="239"/>
      <c r="AP83" s="239"/>
      <c r="AQ83" s="239"/>
      <c r="AR83" s="239"/>
      <c r="AS83" s="239"/>
      <c r="AT83" s="239"/>
      <c r="AU83" s="239"/>
      <c r="AV83" s="239"/>
      <c r="AW83" s="239"/>
      <c r="AX83" s="239"/>
      <c r="AY83" s="239"/>
      <c r="AZ83" s="239"/>
      <c r="BA83" s="239"/>
      <c r="BB83" s="239"/>
      <c r="BC83" s="239"/>
    </row>
    <row r="84">
      <c r="A84" s="239"/>
      <c r="B84" s="239"/>
      <c r="C84" s="239"/>
      <c r="D84" s="239"/>
      <c r="E84" s="239"/>
      <c r="F84" s="255"/>
      <c r="G84" s="239"/>
      <c r="H84" s="239"/>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row>
    <row r="85">
      <c r="A85" s="239"/>
      <c r="B85" s="239"/>
      <c r="C85" s="239"/>
      <c r="D85" s="239"/>
      <c r="E85" s="239"/>
      <c r="F85" s="255"/>
      <c r="G85" s="239"/>
      <c r="H85" s="239"/>
      <c r="I85" s="239"/>
      <c r="J85" s="239"/>
      <c r="K85" s="239"/>
      <c r="L85" s="239"/>
      <c r="M85" s="239"/>
      <c r="N85" s="239"/>
      <c r="O85" s="239"/>
      <c r="P85" s="239"/>
      <c r="Q85" s="239"/>
      <c r="R85" s="239"/>
      <c r="S85" s="239"/>
      <c r="T85" s="239"/>
      <c r="U85" s="239"/>
      <c r="V85" s="239"/>
      <c r="W85" s="239"/>
      <c r="X85" s="239"/>
      <c r="Y85" s="239"/>
      <c r="Z85" s="239"/>
      <c r="AA85" s="239"/>
      <c r="AB85" s="239"/>
      <c r="AC85" s="239"/>
      <c r="AD85" s="239"/>
      <c r="AE85" s="239"/>
      <c r="AF85" s="239"/>
      <c r="AG85" s="239"/>
      <c r="AH85" s="239"/>
      <c r="AI85" s="239"/>
      <c r="AJ85" s="239"/>
      <c r="AK85" s="239"/>
      <c r="AL85" s="239"/>
      <c r="AM85" s="239"/>
      <c r="AN85" s="239"/>
      <c r="AO85" s="239"/>
      <c r="AP85" s="239"/>
      <c r="AQ85" s="239"/>
      <c r="AR85" s="239"/>
      <c r="AS85" s="239"/>
      <c r="AT85" s="239"/>
      <c r="AU85" s="239"/>
      <c r="AV85" s="239"/>
      <c r="AW85" s="239"/>
      <c r="AX85" s="239"/>
      <c r="AY85" s="239"/>
      <c r="AZ85" s="239"/>
      <c r="BA85" s="239"/>
      <c r="BB85" s="239"/>
      <c r="BC85" s="239"/>
    </row>
    <row r="86">
      <c r="A86" s="239"/>
      <c r="B86" s="239"/>
      <c r="C86" s="239"/>
      <c r="D86" s="239"/>
      <c r="E86" s="239"/>
      <c r="F86" s="255"/>
      <c r="G86" s="239"/>
      <c r="H86" s="239"/>
      <c r="I86" s="239"/>
      <c r="J86" s="239"/>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row>
    <row r="87">
      <c r="A87" s="239"/>
      <c r="B87" s="239"/>
      <c r="C87" s="239"/>
      <c r="D87" s="239"/>
      <c r="E87" s="239"/>
      <c r="F87" s="255"/>
      <c r="G87" s="239"/>
      <c r="H87" s="239"/>
      <c r="I87" s="239"/>
      <c r="J87" s="239"/>
      <c r="K87" s="239"/>
      <c r="L87" s="239"/>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c r="AR87" s="239"/>
      <c r="AS87" s="239"/>
      <c r="AT87" s="239"/>
      <c r="AU87" s="239"/>
      <c r="AV87" s="239"/>
      <c r="AW87" s="239"/>
      <c r="AX87" s="239"/>
      <c r="AY87" s="239"/>
      <c r="AZ87" s="239"/>
      <c r="BA87" s="239"/>
      <c r="BB87" s="239"/>
      <c r="BC87" s="239"/>
    </row>
    <row r="88">
      <c r="A88" s="239"/>
      <c r="B88" s="239"/>
      <c r="C88" s="239"/>
      <c r="D88" s="239"/>
      <c r="E88" s="239"/>
      <c r="F88" s="255"/>
      <c r="G88" s="239"/>
      <c r="H88" s="239"/>
      <c r="I88" s="239"/>
      <c r="J88" s="239"/>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row>
    <row r="89">
      <c r="A89" s="239"/>
      <c r="B89" s="239"/>
      <c r="C89" s="239"/>
      <c r="D89" s="239"/>
      <c r="E89" s="239"/>
      <c r="F89" s="255"/>
      <c r="G89" s="239"/>
      <c r="H89" s="239"/>
      <c r="I89" s="239"/>
      <c r="J89" s="239"/>
      <c r="K89" s="239"/>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row>
    <row r="90">
      <c r="A90" s="239"/>
      <c r="B90" s="239"/>
      <c r="C90" s="239"/>
      <c r="D90" s="239"/>
      <c r="E90" s="239"/>
      <c r="F90" s="255"/>
      <c r="G90" s="239"/>
      <c r="H90" s="239"/>
      <c r="I90" s="239"/>
      <c r="J90" s="239"/>
      <c r="K90" s="239"/>
      <c r="L90" s="239"/>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39"/>
      <c r="AT90" s="239"/>
      <c r="AU90" s="239"/>
      <c r="AV90" s="239"/>
      <c r="AW90" s="239"/>
      <c r="AX90" s="239"/>
      <c r="AY90" s="239"/>
      <c r="AZ90" s="239"/>
      <c r="BA90" s="239"/>
      <c r="BB90" s="239"/>
      <c r="BC90" s="239"/>
    </row>
    <row r="91">
      <c r="A91" s="239"/>
      <c r="B91" s="239"/>
      <c r="C91" s="239"/>
      <c r="D91" s="239"/>
      <c r="E91" s="239"/>
      <c r="F91" s="255"/>
      <c r="G91" s="239"/>
      <c r="H91" s="239"/>
      <c r="I91" s="239"/>
      <c r="J91" s="239"/>
      <c r="K91" s="239"/>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row>
    <row r="92">
      <c r="A92" s="239"/>
      <c r="B92" s="239"/>
      <c r="C92" s="239"/>
      <c r="D92" s="239"/>
      <c r="E92" s="239"/>
      <c r="F92" s="255"/>
      <c r="G92" s="239"/>
      <c r="H92" s="239"/>
      <c r="I92" s="239"/>
      <c r="J92" s="239"/>
      <c r="K92" s="239"/>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39"/>
      <c r="AT92" s="239"/>
      <c r="AU92" s="239"/>
      <c r="AV92" s="239"/>
      <c r="AW92" s="239"/>
      <c r="AX92" s="239"/>
      <c r="AY92" s="239"/>
      <c r="AZ92" s="239"/>
      <c r="BA92" s="239"/>
      <c r="BB92" s="239"/>
      <c r="BC92" s="239"/>
    </row>
    <row r="93">
      <c r="A93" s="239"/>
      <c r="B93" s="239"/>
      <c r="C93" s="239"/>
      <c r="D93" s="239"/>
      <c r="E93" s="239"/>
      <c r="F93" s="255"/>
      <c r="G93" s="239"/>
      <c r="H93" s="239"/>
      <c r="I93" s="239"/>
      <c r="J93" s="239"/>
      <c r="K93" s="239"/>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row>
    <row r="94">
      <c r="A94" s="239"/>
      <c r="B94" s="239"/>
      <c r="C94" s="239"/>
      <c r="D94" s="239"/>
      <c r="E94" s="239"/>
      <c r="F94" s="255"/>
      <c r="G94" s="239"/>
      <c r="H94" s="239"/>
      <c r="I94" s="239"/>
      <c r="J94" s="239"/>
      <c r="K94" s="239"/>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row>
    <row r="95">
      <c r="A95" s="239"/>
      <c r="B95" s="239"/>
      <c r="C95" s="239"/>
      <c r="D95" s="239"/>
      <c r="E95" s="239"/>
      <c r="F95" s="255"/>
      <c r="G95" s="239"/>
      <c r="H95" s="239"/>
      <c r="I95" s="239"/>
      <c r="J95" s="239"/>
      <c r="K95" s="239"/>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row>
    <row r="96">
      <c r="A96" s="239"/>
      <c r="B96" s="239"/>
      <c r="C96" s="239"/>
      <c r="D96" s="239"/>
      <c r="E96" s="239"/>
      <c r="F96" s="255"/>
      <c r="G96" s="239"/>
      <c r="H96" s="239"/>
      <c r="I96" s="239"/>
      <c r="J96" s="239"/>
      <c r="K96" s="239"/>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row>
    <row r="97">
      <c r="A97" s="239"/>
      <c r="B97" s="239"/>
      <c r="C97" s="239"/>
      <c r="D97" s="239"/>
      <c r="E97" s="239"/>
      <c r="F97" s="255"/>
      <c r="G97" s="239"/>
      <c r="H97" s="239"/>
      <c r="I97" s="239"/>
      <c r="J97" s="239"/>
      <c r="K97" s="239"/>
      <c r="L97" s="239"/>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row>
    <row r="98">
      <c r="A98" s="239"/>
      <c r="B98" s="239"/>
      <c r="C98" s="239"/>
      <c r="D98" s="239"/>
      <c r="E98" s="239"/>
      <c r="F98" s="255"/>
      <c r="G98" s="239"/>
      <c r="H98" s="239"/>
      <c r="I98" s="239"/>
      <c r="J98" s="239"/>
      <c r="K98" s="239"/>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row>
    <row r="99">
      <c r="A99" s="239"/>
      <c r="B99" s="239"/>
      <c r="C99" s="239"/>
      <c r="D99" s="239"/>
      <c r="E99" s="239"/>
      <c r="F99" s="255"/>
      <c r="G99" s="239"/>
      <c r="H99" s="239"/>
      <c r="I99" s="239"/>
      <c r="J99" s="239"/>
      <c r="K99" s="239"/>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row>
    <row r="100">
      <c r="A100" s="239"/>
      <c r="B100" s="239"/>
      <c r="C100" s="239"/>
      <c r="D100" s="239"/>
      <c r="E100" s="239"/>
      <c r="F100" s="255"/>
      <c r="G100" s="239"/>
      <c r="H100" s="239"/>
      <c r="I100" s="239"/>
      <c r="J100" s="239"/>
      <c r="K100" s="239"/>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row>
    <row r="101">
      <c r="A101" s="239"/>
      <c r="B101" s="239"/>
      <c r="C101" s="239"/>
      <c r="D101" s="239"/>
      <c r="E101" s="239"/>
      <c r="F101" s="255"/>
      <c r="G101" s="239"/>
      <c r="H101" s="239"/>
      <c r="I101" s="239"/>
      <c r="J101" s="239"/>
      <c r="K101" s="239"/>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row>
    <row r="102">
      <c r="A102" s="239"/>
      <c r="B102" s="239"/>
      <c r="C102" s="239"/>
      <c r="D102" s="239"/>
      <c r="E102" s="239"/>
      <c r="F102" s="255"/>
      <c r="G102" s="239"/>
      <c r="H102" s="239"/>
      <c r="I102" s="239"/>
      <c r="J102" s="239"/>
      <c r="K102" s="239"/>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row>
    <row r="103">
      <c r="A103" s="239"/>
      <c r="B103" s="239"/>
      <c r="C103" s="239"/>
      <c r="D103" s="239"/>
      <c r="E103" s="239"/>
      <c r="F103" s="255"/>
      <c r="G103" s="239"/>
      <c r="H103" s="239"/>
      <c r="I103" s="239"/>
      <c r="J103" s="239"/>
      <c r="K103" s="239"/>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row>
    <row r="104">
      <c r="A104" s="239"/>
      <c r="B104" s="239"/>
      <c r="C104" s="239"/>
      <c r="D104" s="239"/>
      <c r="E104" s="239"/>
      <c r="F104" s="255"/>
      <c r="G104" s="239"/>
      <c r="H104" s="239"/>
      <c r="I104" s="239"/>
      <c r="J104" s="239"/>
      <c r="K104" s="239"/>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row>
    <row r="105">
      <c r="A105" s="239"/>
      <c r="B105" s="239"/>
      <c r="C105" s="239"/>
      <c r="D105" s="239"/>
      <c r="E105" s="239"/>
      <c r="F105" s="255"/>
      <c r="G105" s="239"/>
      <c r="H105" s="239"/>
      <c r="I105" s="239"/>
      <c r="J105" s="239"/>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row>
    <row r="106">
      <c r="A106" s="239"/>
      <c r="B106" s="239"/>
      <c r="C106" s="239"/>
      <c r="D106" s="239"/>
      <c r="E106" s="239"/>
      <c r="F106" s="255"/>
      <c r="G106" s="239"/>
      <c r="H106" s="239"/>
      <c r="I106" s="239"/>
      <c r="J106" s="239"/>
      <c r="K106" s="239"/>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row>
    <row r="107">
      <c r="A107" s="239"/>
      <c r="B107" s="239"/>
      <c r="C107" s="239"/>
      <c r="D107" s="239"/>
      <c r="E107" s="239"/>
      <c r="F107" s="255"/>
      <c r="G107" s="239"/>
      <c r="H107" s="239"/>
      <c r="I107" s="239"/>
      <c r="J107" s="239"/>
      <c r="K107" s="239"/>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row>
    <row r="108">
      <c r="A108" s="239"/>
      <c r="B108" s="239"/>
      <c r="C108" s="239"/>
      <c r="D108" s="239"/>
      <c r="E108" s="239"/>
      <c r="F108" s="255"/>
      <c r="G108" s="239"/>
      <c r="H108" s="239"/>
      <c r="I108" s="239"/>
      <c r="J108" s="239"/>
      <c r="K108" s="239"/>
      <c r="L108" s="239"/>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c r="AL108" s="239"/>
      <c r="AM108" s="239"/>
      <c r="AN108" s="239"/>
      <c r="AO108" s="239"/>
      <c r="AP108" s="239"/>
      <c r="AQ108" s="239"/>
      <c r="AR108" s="239"/>
      <c r="AS108" s="239"/>
      <c r="AT108" s="239"/>
      <c r="AU108" s="239"/>
      <c r="AV108" s="239"/>
      <c r="AW108" s="239"/>
      <c r="AX108" s="239"/>
      <c r="AY108" s="239"/>
      <c r="AZ108" s="239"/>
      <c r="BA108" s="239"/>
      <c r="BB108" s="239"/>
      <c r="BC108" s="239"/>
    </row>
    <row r="109">
      <c r="A109" s="239"/>
      <c r="B109" s="239"/>
      <c r="C109" s="239"/>
      <c r="D109" s="239"/>
      <c r="E109" s="239"/>
      <c r="F109" s="255"/>
      <c r="G109" s="239"/>
      <c r="H109" s="239"/>
      <c r="I109" s="239"/>
      <c r="J109" s="239"/>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row>
    <row r="110">
      <c r="A110" s="239"/>
      <c r="B110" s="239"/>
      <c r="C110" s="239"/>
      <c r="D110" s="239"/>
      <c r="E110" s="239"/>
      <c r="F110" s="255"/>
      <c r="G110" s="239"/>
      <c r="H110" s="239"/>
      <c r="I110" s="239"/>
      <c r="J110" s="239"/>
      <c r="K110" s="239"/>
      <c r="L110" s="239"/>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row>
    <row r="111">
      <c r="A111" s="239"/>
      <c r="B111" s="239"/>
      <c r="C111" s="239"/>
      <c r="D111" s="239"/>
      <c r="E111" s="239"/>
      <c r="F111" s="255"/>
      <c r="G111" s="239"/>
      <c r="H111" s="239"/>
      <c r="I111" s="239"/>
      <c r="J111" s="239"/>
      <c r="K111" s="239"/>
      <c r="L111" s="239"/>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row>
    <row r="112">
      <c r="A112" s="239"/>
      <c r="B112" s="239"/>
      <c r="C112" s="239"/>
      <c r="D112" s="239"/>
      <c r="E112" s="239"/>
      <c r="F112" s="255"/>
      <c r="G112" s="239"/>
      <c r="H112" s="239"/>
      <c r="I112" s="239"/>
      <c r="J112" s="239"/>
      <c r="K112" s="239"/>
      <c r="L112" s="239"/>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row>
    <row r="113">
      <c r="A113" s="239"/>
      <c r="B113" s="239"/>
      <c r="C113" s="239"/>
      <c r="D113" s="239"/>
      <c r="E113" s="239"/>
      <c r="F113" s="255"/>
      <c r="G113" s="239"/>
      <c r="H113" s="239"/>
      <c r="I113" s="239"/>
      <c r="J113" s="239"/>
      <c r="K113" s="239"/>
      <c r="L113" s="239"/>
      <c r="M113" s="239"/>
      <c r="N113" s="239"/>
      <c r="O113" s="239"/>
      <c r="P113" s="239"/>
      <c r="Q113" s="239"/>
      <c r="R113" s="239"/>
      <c r="S113" s="239"/>
      <c r="T113" s="239"/>
      <c r="U113" s="239"/>
      <c r="V113" s="239"/>
      <c r="W113" s="239"/>
      <c r="X113" s="239"/>
      <c r="Y113" s="239"/>
      <c r="Z113" s="239"/>
      <c r="AA113" s="239"/>
      <c r="AB113" s="239"/>
      <c r="AC113" s="239"/>
      <c r="AD113" s="239"/>
      <c r="AE113" s="239"/>
      <c r="AF113" s="239"/>
      <c r="AG113" s="239"/>
      <c r="AH113" s="239"/>
      <c r="AI113" s="239"/>
      <c r="AJ113" s="239"/>
      <c r="AK113" s="239"/>
      <c r="AL113" s="239"/>
      <c r="AM113" s="239"/>
      <c r="AN113" s="239"/>
      <c r="AO113" s="239"/>
      <c r="AP113" s="239"/>
      <c r="AQ113" s="239"/>
      <c r="AR113" s="239"/>
      <c r="AS113" s="239"/>
      <c r="AT113" s="239"/>
      <c r="AU113" s="239"/>
      <c r="AV113" s="239"/>
      <c r="AW113" s="239"/>
      <c r="AX113" s="239"/>
      <c r="AY113" s="239"/>
      <c r="AZ113" s="239"/>
      <c r="BA113" s="239"/>
      <c r="BB113" s="239"/>
      <c r="BC113" s="239"/>
    </row>
    <row r="114">
      <c r="A114" s="239"/>
      <c r="B114" s="239"/>
      <c r="C114" s="239"/>
      <c r="D114" s="239"/>
      <c r="E114" s="239"/>
      <c r="F114" s="255"/>
      <c r="G114" s="239"/>
      <c r="H114" s="239"/>
      <c r="I114" s="239"/>
      <c r="J114" s="239"/>
      <c r="K114" s="239"/>
      <c r="L114" s="239"/>
      <c r="M114" s="239"/>
      <c r="N114" s="239"/>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c r="AJ114" s="239"/>
      <c r="AK114" s="239"/>
      <c r="AL114" s="239"/>
      <c r="AM114" s="239"/>
      <c r="AN114" s="239"/>
      <c r="AO114" s="239"/>
      <c r="AP114" s="239"/>
      <c r="AQ114" s="239"/>
      <c r="AR114" s="239"/>
      <c r="AS114" s="239"/>
      <c r="AT114" s="239"/>
      <c r="AU114" s="239"/>
      <c r="AV114" s="239"/>
      <c r="AW114" s="239"/>
      <c r="AX114" s="239"/>
      <c r="AY114" s="239"/>
      <c r="AZ114" s="239"/>
      <c r="BA114" s="239"/>
      <c r="BB114" s="239"/>
      <c r="BC114" s="239"/>
    </row>
    <row r="115">
      <c r="A115" s="239"/>
      <c r="B115" s="239"/>
      <c r="C115" s="239"/>
      <c r="D115" s="239"/>
      <c r="E115" s="239"/>
      <c r="F115" s="255"/>
      <c r="G115" s="239"/>
      <c r="H115" s="239"/>
      <c r="I115" s="239"/>
      <c r="J115" s="239"/>
      <c r="K115" s="239"/>
      <c r="L115" s="239"/>
      <c r="M115" s="239"/>
      <c r="N115" s="239"/>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row>
    <row r="116">
      <c r="A116" s="239"/>
      <c r="B116" s="239"/>
      <c r="C116" s="239"/>
      <c r="D116" s="239"/>
      <c r="E116" s="239"/>
      <c r="F116" s="255"/>
      <c r="G116" s="239"/>
      <c r="H116" s="239"/>
      <c r="I116" s="239"/>
      <c r="J116" s="239"/>
      <c r="K116" s="239"/>
      <c r="L116" s="239"/>
      <c r="M116" s="239"/>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row>
    <row r="117">
      <c r="A117" s="239"/>
      <c r="B117" s="239"/>
      <c r="C117" s="239"/>
      <c r="D117" s="239"/>
      <c r="E117" s="239"/>
      <c r="F117" s="255"/>
      <c r="G117" s="239"/>
      <c r="H117" s="239"/>
      <c r="I117" s="239"/>
      <c r="J117" s="239"/>
      <c r="K117" s="239"/>
      <c r="L117" s="239"/>
      <c r="M117" s="239"/>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row>
    <row r="118">
      <c r="A118" s="239"/>
      <c r="B118" s="239"/>
      <c r="C118" s="239"/>
      <c r="D118" s="239"/>
      <c r="E118" s="239"/>
      <c r="F118" s="255"/>
      <c r="G118" s="239"/>
      <c r="H118" s="239"/>
      <c r="I118" s="239"/>
      <c r="J118" s="239"/>
      <c r="K118" s="239"/>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row>
    <row r="119">
      <c r="A119" s="239"/>
      <c r="B119" s="239"/>
      <c r="C119" s="239"/>
      <c r="D119" s="239"/>
      <c r="E119" s="239"/>
      <c r="F119" s="255"/>
      <c r="G119" s="239"/>
      <c r="H119" s="239"/>
      <c r="I119" s="239"/>
      <c r="J119" s="239"/>
      <c r="K119" s="239"/>
      <c r="L119" s="239"/>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239"/>
      <c r="BC119" s="239"/>
    </row>
    <row r="120">
      <c r="A120" s="239"/>
      <c r="B120" s="239"/>
      <c r="C120" s="239"/>
      <c r="D120" s="239"/>
      <c r="E120" s="239"/>
      <c r="F120" s="255"/>
      <c r="G120" s="239"/>
      <c r="H120" s="239"/>
      <c r="I120" s="239"/>
      <c r="J120" s="239"/>
      <c r="K120" s="239"/>
      <c r="L120" s="239"/>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row>
    <row r="121">
      <c r="A121" s="239"/>
      <c r="B121" s="239"/>
      <c r="C121" s="239"/>
      <c r="D121" s="239"/>
      <c r="E121" s="239"/>
      <c r="F121" s="255"/>
      <c r="G121" s="239"/>
      <c r="H121" s="239"/>
      <c r="I121" s="239"/>
      <c r="J121" s="239"/>
      <c r="K121" s="239"/>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row>
    <row r="122">
      <c r="A122" s="239"/>
      <c r="B122" s="239"/>
      <c r="C122" s="239"/>
      <c r="D122" s="239"/>
      <c r="E122" s="239"/>
      <c r="F122" s="255"/>
      <c r="G122" s="239"/>
      <c r="H122" s="239"/>
      <c r="I122" s="239"/>
      <c r="J122" s="239"/>
      <c r="K122" s="239"/>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row>
    <row r="123">
      <c r="A123" s="239"/>
      <c r="B123" s="239"/>
      <c r="C123" s="239"/>
      <c r="D123" s="239"/>
      <c r="E123" s="239"/>
      <c r="F123" s="255"/>
      <c r="G123" s="239"/>
      <c r="H123" s="239"/>
      <c r="I123" s="239"/>
      <c r="J123" s="239"/>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row>
    <row r="124">
      <c r="A124" s="239"/>
      <c r="B124" s="239"/>
      <c r="C124" s="239"/>
      <c r="D124" s="239"/>
      <c r="E124" s="239"/>
      <c r="F124" s="255"/>
      <c r="G124" s="239"/>
      <c r="H124" s="239"/>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row>
    <row r="125">
      <c r="A125" s="239"/>
      <c r="B125" s="239"/>
      <c r="C125" s="239"/>
      <c r="D125" s="239"/>
      <c r="E125" s="239"/>
      <c r="F125" s="255"/>
      <c r="G125" s="239"/>
      <c r="H125" s="239"/>
      <c r="I125" s="239"/>
      <c r="J125" s="239"/>
      <c r="K125" s="239"/>
      <c r="L125" s="239"/>
      <c r="M125" s="239"/>
      <c r="N125" s="239"/>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row>
    <row r="126">
      <c r="A126" s="239"/>
      <c r="B126" s="239"/>
      <c r="C126" s="239"/>
      <c r="D126" s="239"/>
      <c r="E126" s="239"/>
      <c r="F126" s="255"/>
      <c r="G126" s="239"/>
      <c r="H126" s="239"/>
      <c r="I126" s="239"/>
      <c r="J126" s="239"/>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row>
    <row r="127">
      <c r="A127" s="239"/>
      <c r="B127" s="239"/>
      <c r="C127" s="239"/>
      <c r="D127" s="239"/>
      <c r="E127" s="239"/>
      <c r="F127" s="255"/>
      <c r="G127" s="239"/>
      <c r="H127" s="239"/>
      <c r="I127" s="239"/>
      <c r="J127" s="239"/>
      <c r="K127" s="239"/>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row>
    <row r="128">
      <c r="A128" s="239"/>
      <c r="B128" s="239"/>
      <c r="C128" s="239"/>
      <c r="D128" s="239"/>
      <c r="E128" s="239"/>
      <c r="F128" s="255"/>
      <c r="G128" s="239"/>
      <c r="H128" s="239"/>
      <c r="I128" s="239"/>
      <c r="J128" s="239"/>
      <c r="K128" s="239"/>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row>
    <row r="129">
      <c r="A129" s="239"/>
      <c r="B129" s="239"/>
      <c r="C129" s="239"/>
      <c r="D129" s="239"/>
      <c r="E129" s="239"/>
      <c r="F129" s="255"/>
      <c r="G129" s="239"/>
      <c r="H129" s="239"/>
      <c r="I129" s="239"/>
      <c r="J129" s="239"/>
      <c r="K129" s="239"/>
      <c r="L129" s="239"/>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c r="AL129" s="239"/>
      <c r="AM129" s="239"/>
      <c r="AN129" s="239"/>
      <c r="AO129" s="239"/>
      <c r="AP129" s="239"/>
      <c r="AQ129" s="239"/>
      <c r="AR129" s="239"/>
      <c r="AS129" s="239"/>
      <c r="AT129" s="239"/>
      <c r="AU129" s="239"/>
      <c r="AV129" s="239"/>
      <c r="AW129" s="239"/>
      <c r="AX129" s="239"/>
      <c r="AY129" s="239"/>
      <c r="AZ129" s="239"/>
      <c r="BA129" s="239"/>
      <c r="BB129" s="239"/>
      <c r="BC129" s="239"/>
    </row>
    <row r="130">
      <c r="A130" s="239"/>
      <c r="B130" s="239"/>
      <c r="C130" s="239"/>
      <c r="D130" s="239"/>
      <c r="E130" s="239"/>
      <c r="F130" s="255"/>
      <c r="G130" s="239"/>
      <c r="H130" s="239"/>
      <c r="I130" s="239"/>
      <c r="J130" s="239"/>
      <c r="K130" s="239"/>
      <c r="L130" s="239"/>
      <c r="M130" s="239"/>
      <c r="N130" s="239"/>
      <c r="O130" s="239"/>
      <c r="P130" s="239"/>
      <c r="Q130" s="239"/>
      <c r="R130" s="239"/>
      <c r="S130" s="239"/>
      <c r="T130" s="239"/>
      <c r="U130" s="239"/>
      <c r="V130" s="239"/>
      <c r="W130" s="239"/>
      <c r="X130" s="239"/>
      <c r="Y130" s="239"/>
      <c r="Z130" s="239"/>
      <c r="AA130" s="239"/>
      <c r="AB130" s="239"/>
      <c r="AC130" s="239"/>
      <c r="AD130" s="239"/>
      <c r="AE130" s="239"/>
      <c r="AF130" s="239"/>
      <c r="AG130" s="239"/>
      <c r="AH130" s="239"/>
      <c r="AI130" s="239"/>
      <c r="AJ130" s="239"/>
      <c r="AK130" s="239"/>
      <c r="AL130" s="239"/>
      <c r="AM130" s="239"/>
      <c r="AN130" s="239"/>
      <c r="AO130" s="239"/>
      <c r="AP130" s="239"/>
      <c r="AQ130" s="239"/>
      <c r="AR130" s="239"/>
      <c r="AS130" s="239"/>
      <c r="AT130" s="239"/>
      <c r="AU130" s="239"/>
      <c r="AV130" s="239"/>
      <c r="AW130" s="239"/>
      <c r="AX130" s="239"/>
      <c r="AY130" s="239"/>
      <c r="AZ130" s="239"/>
      <c r="BA130" s="239"/>
      <c r="BB130" s="239"/>
      <c r="BC130" s="239"/>
    </row>
    <row r="131">
      <c r="A131" s="239"/>
      <c r="B131" s="239"/>
      <c r="C131" s="239"/>
      <c r="D131" s="239"/>
      <c r="E131" s="239"/>
      <c r="F131" s="255"/>
      <c r="G131" s="239"/>
      <c r="H131" s="239"/>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row>
    <row r="132">
      <c r="A132" s="239"/>
      <c r="B132" s="239"/>
      <c r="C132" s="239"/>
      <c r="D132" s="239"/>
      <c r="E132" s="239"/>
      <c r="F132" s="255"/>
      <c r="G132" s="239"/>
      <c r="H132" s="239"/>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row>
    <row r="133">
      <c r="A133" s="239"/>
      <c r="B133" s="239"/>
      <c r="C133" s="239"/>
      <c r="D133" s="239"/>
      <c r="E133" s="239"/>
      <c r="F133" s="255"/>
      <c r="G133" s="239"/>
      <c r="H133" s="239"/>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row>
    <row r="134">
      <c r="A134" s="239"/>
      <c r="B134" s="239"/>
      <c r="C134" s="239"/>
      <c r="D134" s="239"/>
      <c r="E134" s="239"/>
      <c r="F134" s="255"/>
      <c r="G134" s="239"/>
      <c r="H134" s="239"/>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row>
    <row r="135">
      <c r="A135" s="239"/>
      <c r="B135" s="239"/>
      <c r="C135" s="239"/>
      <c r="D135" s="239"/>
      <c r="E135" s="239"/>
      <c r="F135" s="255"/>
      <c r="G135" s="239"/>
      <c r="H135" s="239"/>
      <c r="I135" s="239"/>
      <c r="J135" s="239"/>
      <c r="K135" s="239"/>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c r="AK135" s="239"/>
      <c r="AL135" s="239"/>
      <c r="AM135" s="239"/>
      <c r="AN135" s="239"/>
      <c r="AO135" s="239"/>
      <c r="AP135" s="239"/>
      <c r="AQ135" s="239"/>
      <c r="AR135" s="239"/>
      <c r="AS135" s="239"/>
      <c r="AT135" s="239"/>
      <c r="AU135" s="239"/>
      <c r="AV135" s="239"/>
      <c r="AW135" s="239"/>
      <c r="AX135" s="239"/>
      <c r="AY135" s="239"/>
      <c r="AZ135" s="239"/>
      <c r="BA135" s="239"/>
      <c r="BB135" s="239"/>
      <c r="BC135" s="239"/>
    </row>
    <row r="136">
      <c r="A136" s="239"/>
      <c r="B136" s="239"/>
      <c r="C136" s="239"/>
      <c r="D136" s="239"/>
      <c r="E136" s="239"/>
      <c r="F136" s="255"/>
      <c r="G136" s="239"/>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c r="AL136" s="239"/>
      <c r="AM136" s="239"/>
      <c r="AN136" s="239"/>
      <c r="AO136" s="239"/>
      <c r="AP136" s="239"/>
      <c r="AQ136" s="239"/>
      <c r="AR136" s="239"/>
      <c r="AS136" s="239"/>
      <c r="AT136" s="239"/>
      <c r="AU136" s="239"/>
      <c r="AV136" s="239"/>
      <c r="AW136" s="239"/>
      <c r="AX136" s="239"/>
      <c r="AY136" s="239"/>
      <c r="AZ136" s="239"/>
      <c r="BA136" s="239"/>
      <c r="BB136" s="239"/>
      <c r="BC136" s="239"/>
    </row>
    <row r="137">
      <c r="A137" s="239"/>
      <c r="B137" s="239"/>
      <c r="C137" s="239"/>
      <c r="D137" s="239"/>
      <c r="E137" s="239"/>
      <c r="F137" s="255"/>
      <c r="G137" s="239"/>
      <c r="H137" s="239"/>
      <c r="I137" s="239"/>
      <c r="J137" s="239"/>
      <c r="K137" s="239"/>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c r="AL137" s="239"/>
      <c r="AM137" s="239"/>
      <c r="AN137" s="239"/>
      <c r="AO137" s="239"/>
      <c r="AP137" s="239"/>
      <c r="AQ137" s="239"/>
      <c r="AR137" s="239"/>
      <c r="AS137" s="239"/>
      <c r="AT137" s="239"/>
      <c r="AU137" s="239"/>
      <c r="AV137" s="239"/>
      <c r="AW137" s="239"/>
      <c r="AX137" s="239"/>
      <c r="AY137" s="239"/>
      <c r="AZ137" s="239"/>
      <c r="BA137" s="239"/>
      <c r="BB137" s="239"/>
      <c r="BC137" s="239"/>
    </row>
    <row r="138">
      <c r="A138" s="239"/>
      <c r="B138" s="239"/>
      <c r="C138" s="239"/>
      <c r="D138" s="239"/>
      <c r="E138" s="239"/>
      <c r="F138" s="255"/>
      <c r="G138" s="239"/>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row>
    <row r="139">
      <c r="A139" s="239"/>
      <c r="B139" s="239"/>
      <c r="C139" s="239"/>
      <c r="D139" s="239"/>
      <c r="E139" s="239"/>
      <c r="F139" s="255"/>
      <c r="G139" s="239"/>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row>
    <row r="140">
      <c r="A140" s="239"/>
      <c r="B140" s="239"/>
      <c r="C140" s="239"/>
      <c r="D140" s="239"/>
      <c r="E140" s="239"/>
      <c r="F140" s="255"/>
      <c r="G140" s="239"/>
      <c r="H140" s="239"/>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row>
    <row r="141">
      <c r="A141" s="239"/>
      <c r="B141" s="239"/>
      <c r="C141" s="239"/>
      <c r="D141" s="239"/>
      <c r="E141" s="239"/>
      <c r="F141" s="255"/>
      <c r="G141" s="239"/>
      <c r="H141" s="239"/>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row>
    <row r="142">
      <c r="A142" s="239"/>
      <c r="B142" s="239"/>
      <c r="C142" s="239"/>
      <c r="D142" s="239"/>
      <c r="E142" s="239"/>
      <c r="F142" s="255"/>
      <c r="G142" s="239"/>
      <c r="H142" s="239"/>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c r="AK142" s="239"/>
      <c r="AL142" s="239"/>
      <c r="AM142" s="239"/>
      <c r="AN142" s="239"/>
      <c r="AO142" s="239"/>
      <c r="AP142" s="239"/>
      <c r="AQ142" s="239"/>
      <c r="AR142" s="239"/>
      <c r="AS142" s="239"/>
      <c r="AT142" s="239"/>
      <c r="AU142" s="239"/>
      <c r="AV142" s="239"/>
      <c r="AW142" s="239"/>
      <c r="AX142" s="239"/>
      <c r="AY142" s="239"/>
      <c r="AZ142" s="239"/>
      <c r="BA142" s="239"/>
      <c r="BB142" s="239"/>
      <c r="BC142" s="239"/>
    </row>
    <row r="143">
      <c r="A143" s="239"/>
      <c r="B143" s="239"/>
      <c r="C143" s="239"/>
      <c r="D143" s="239"/>
      <c r="E143" s="239"/>
      <c r="F143" s="255"/>
      <c r="G143" s="239"/>
      <c r="H143" s="239"/>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c r="AO143" s="239"/>
      <c r="AP143" s="239"/>
      <c r="AQ143" s="239"/>
      <c r="AR143" s="239"/>
      <c r="AS143" s="239"/>
      <c r="AT143" s="239"/>
      <c r="AU143" s="239"/>
      <c r="AV143" s="239"/>
      <c r="AW143" s="239"/>
      <c r="AX143" s="239"/>
      <c r="AY143" s="239"/>
      <c r="AZ143" s="239"/>
      <c r="BA143" s="239"/>
      <c r="BB143" s="239"/>
      <c r="BC143" s="239"/>
    </row>
    <row r="144">
      <c r="A144" s="239"/>
      <c r="B144" s="239"/>
      <c r="C144" s="239"/>
      <c r="D144" s="239"/>
      <c r="E144" s="239"/>
      <c r="F144" s="255"/>
      <c r="G144" s="239"/>
      <c r="H144" s="239"/>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c r="AO144" s="239"/>
      <c r="AP144" s="239"/>
      <c r="AQ144" s="239"/>
      <c r="AR144" s="239"/>
      <c r="AS144" s="239"/>
      <c r="AT144" s="239"/>
      <c r="AU144" s="239"/>
      <c r="AV144" s="239"/>
      <c r="AW144" s="239"/>
      <c r="AX144" s="239"/>
      <c r="AY144" s="239"/>
      <c r="AZ144" s="239"/>
      <c r="BA144" s="239"/>
      <c r="BB144" s="239"/>
      <c r="BC144" s="239"/>
    </row>
    <row r="145">
      <c r="A145" s="239"/>
      <c r="B145" s="239"/>
      <c r="C145" s="239"/>
      <c r="D145" s="239"/>
      <c r="E145" s="239"/>
      <c r="F145" s="255"/>
      <c r="G145" s="239"/>
      <c r="H145" s="239"/>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row>
    <row r="146">
      <c r="A146" s="239"/>
      <c r="B146" s="239"/>
      <c r="C146" s="239"/>
      <c r="D146" s="239"/>
      <c r="E146" s="239"/>
      <c r="F146" s="255"/>
      <c r="G146" s="239"/>
      <c r="H146" s="239"/>
      <c r="I146" s="239"/>
      <c r="J146" s="239"/>
      <c r="K146" s="239"/>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row>
    <row r="147">
      <c r="A147" s="239"/>
      <c r="B147" s="239"/>
      <c r="C147" s="239"/>
      <c r="D147" s="239"/>
      <c r="E147" s="239"/>
      <c r="F147" s="255"/>
      <c r="G147" s="239"/>
      <c r="H147" s="239"/>
      <c r="I147" s="239"/>
      <c r="J147" s="239"/>
      <c r="K147" s="239"/>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c r="AK147" s="239"/>
      <c r="AL147" s="239"/>
      <c r="AM147" s="239"/>
      <c r="AN147" s="239"/>
      <c r="AO147" s="239"/>
      <c r="AP147" s="239"/>
      <c r="AQ147" s="239"/>
      <c r="AR147" s="239"/>
      <c r="AS147" s="239"/>
      <c r="AT147" s="239"/>
      <c r="AU147" s="239"/>
      <c r="AV147" s="239"/>
      <c r="AW147" s="239"/>
      <c r="AX147" s="239"/>
      <c r="AY147" s="239"/>
      <c r="AZ147" s="239"/>
      <c r="BA147" s="239"/>
      <c r="BB147" s="239"/>
      <c r="BC147" s="239"/>
    </row>
    <row r="148">
      <c r="A148" s="239"/>
      <c r="B148" s="239"/>
      <c r="C148" s="239"/>
      <c r="D148" s="239"/>
      <c r="E148" s="239"/>
      <c r="F148" s="255"/>
      <c r="G148" s="239"/>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c r="AL148" s="239"/>
      <c r="AM148" s="239"/>
      <c r="AN148" s="239"/>
      <c r="AO148" s="239"/>
      <c r="AP148" s="239"/>
      <c r="AQ148" s="239"/>
      <c r="AR148" s="239"/>
      <c r="AS148" s="239"/>
      <c r="AT148" s="239"/>
      <c r="AU148" s="239"/>
      <c r="AV148" s="239"/>
      <c r="AW148" s="239"/>
      <c r="AX148" s="239"/>
      <c r="AY148" s="239"/>
      <c r="AZ148" s="239"/>
      <c r="BA148" s="239"/>
      <c r="BB148" s="239"/>
      <c r="BC148" s="239"/>
    </row>
    <row r="149">
      <c r="A149" s="239"/>
      <c r="B149" s="239"/>
      <c r="C149" s="239"/>
      <c r="D149" s="239"/>
      <c r="E149" s="239"/>
      <c r="F149" s="255"/>
      <c r="G149" s="239"/>
      <c r="H149" s="239"/>
      <c r="I149" s="239"/>
      <c r="J149" s="239"/>
      <c r="K149" s="239"/>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c r="AL149" s="239"/>
      <c r="AM149" s="239"/>
      <c r="AN149" s="239"/>
      <c r="AO149" s="239"/>
      <c r="AP149" s="239"/>
      <c r="AQ149" s="239"/>
      <c r="AR149" s="239"/>
      <c r="AS149" s="239"/>
      <c r="AT149" s="239"/>
      <c r="AU149" s="239"/>
      <c r="AV149" s="239"/>
      <c r="AW149" s="239"/>
      <c r="AX149" s="239"/>
      <c r="AY149" s="239"/>
      <c r="AZ149" s="239"/>
      <c r="BA149" s="239"/>
      <c r="BB149" s="239"/>
      <c r="BC149" s="239"/>
    </row>
    <row r="150">
      <c r="A150" s="239"/>
      <c r="B150" s="239"/>
      <c r="C150" s="239"/>
      <c r="D150" s="239"/>
      <c r="E150" s="239"/>
      <c r="F150" s="255"/>
      <c r="G150" s="239"/>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row>
    <row r="151">
      <c r="A151" s="239"/>
      <c r="B151" s="239"/>
      <c r="C151" s="239"/>
      <c r="D151" s="239"/>
      <c r="E151" s="239"/>
      <c r="F151" s="255"/>
      <c r="G151" s="239"/>
      <c r="H151" s="239"/>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row>
    <row r="152">
      <c r="A152" s="239"/>
      <c r="B152" s="239"/>
      <c r="C152" s="239"/>
      <c r="D152" s="239"/>
      <c r="E152" s="239"/>
      <c r="F152" s="255"/>
      <c r="G152" s="239"/>
      <c r="H152" s="239"/>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c r="AO152" s="239"/>
      <c r="AP152" s="239"/>
      <c r="AQ152" s="239"/>
      <c r="AR152" s="239"/>
      <c r="AS152" s="239"/>
      <c r="AT152" s="239"/>
      <c r="AU152" s="239"/>
      <c r="AV152" s="239"/>
      <c r="AW152" s="239"/>
      <c r="AX152" s="239"/>
      <c r="AY152" s="239"/>
      <c r="AZ152" s="239"/>
      <c r="BA152" s="239"/>
      <c r="BB152" s="239"/>
      <c r="BC152" s="239"/>
    </row>
    <row r="153">
      <c r="A153" s="239"/>
      <c r="B153" s="239"/>
      <c r="C153" s="239"/>
      <c r="D153" s="239"/>
      <c r="E153" s="239"/>
      <c r="F153" s="255"/>
      <c r="G153" s="239"/>
      <c r="H153" s="239"/>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c r="AO153" s="239"/>
      <c r="AP153" s="239"/>
      <c r="AQ153" s="239"/>
      <c r="AR153" s="239"/>
      <c r="AS153" s="239"/>
      <c r="AT153" s="239"/>
      <c r="AU153" s="239"/>
      <c r="AV153" s="239"/>
      <c r="AW153" s="239"/>
      <c r="AX153" s="239"/>
      <c r="AY153" s="239"/>
      <c r="AZ153" s="239"/>
      <c r="BA153" s="239"/>
      <c r="BB153" s="239"/>
      <c r="BC153" s="239"/>
    </row>
    <row r="154">
      <c r="A154" s="239"/>
      <c r="B154" s="239"/>
      <c r="C154" s="239"/>
      <c r="D154" s="239"/>
      <c r="E154" s="239"/>
      <c r="F154" s="255"/>
      <c r="G154" s="239"/>
      <c r="H154" s="239"/>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c r="AO154" s="239"/>
      <c r="AP154" s="239"/>
      <c r="AQ154" s="239"/>
      <c r="AR154" s="239"/>
      <c r="AS154" s="239"/>
      <c r="AT154" s="239"/>
      <c r="AU154" s="239"/>
      <c r="AV154" s="239"/>
      <c r="AW154" s="239"/>
      <c r="AX154" s="239"/>
      <c r="AY154" s="239"/>
      <c r="AZ154" s="239"/>
      <c r="BA154" s="239"/>
      <c r="BB154" s="239"/>
      <c r="BC154" s="239"/>
    </row>
    <row r="155">
      <c r="A155" s="239"/>
      <c r="B155" s="239"/>
      <c r="C155" s="239"/>
      <c r="D155" s="239"/>
      <c r="E155" s="239"/>
      <c r="F155" s="255"/>
      <c r="G155" s="239"/>
      <c r="H155" s="239"/>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row>
    <row r="156">
      <c r="A156" s="239"/>
      <c r="B156" s="239"/>
      <c r="C156" s="239"/>
      <c r="D156" s="239"/>
      <c r="E156" s="239"/>
      <c r="F156" s="255"/>
      <c r="G156" s="239"/>
      <c r="H156" s="239"/>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c r="AO156" s="239"/>
      <c r="AP156" s="239"/>
      <c r="AQ156" s="239"/>
      <c r="AR156" s="239"/>
      <c r="AS156" s="239"/>
      <c r="AT156" s="239"/>
      <c r="AU156" s="239"/>
      <c r="AV156" s="239"/>
      <c r="AW156" s="239"/>
      <c r="AX156" s="239"/>
      <c r="AY156" s="239"/>
      <c r="AZ156" s="239"/>
      <c r="BA156" s="239"/>
      <c r="BB156" s="239"/>
      <c r="BC156" s="239"/>
    </row>
    <row r="157">
      <c r="A157" s="239"/>
      <c r="B157" s="239"/>
      <c r="C157" s="239"/>
      <c r="D157" s="239"/>
      <c r="E157" s="239"/>
      <c r="F157" s="255"/>
      <c r="G157" s="239"/>
      <c r="H157" s="239"/>
      <c r="I157" s="239"/>
      <c r="J157" s="239"/>
      <c r="K157" s="239"/>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c r="AL157" s="239"/>
      <c r="AM157" s="239"/>
      <c r="AN157" s="239"/>
      <c r="AO157" s="239"/>
      <c r="AP157" s="239"/>
      <c r="AQ157" s="239"/>
      <c r="AR157" s="239"/>
      <c r="AS157" s="239"/>
      <c r="AT157" s="239"/>
      <c r="AU157" s="239"/>
      <c r="AV157" s="239"/>
      <c r="AW157" s="239"/>
      <c r="AX157" s="239"/>
      <c r="AY157" s="239"/>
      <c r="AZ157" s="239"/>
      <c r="BA157" s="239"/>
      <c r="BB157" s="239"/>
      <c r="BC157" s="239"/>
    </row>
    <row r="158">
      <c r="A158" s="239"/>
      <c r="B158" s="239"/>
      <c r="C158" s="239"/>
      <c r="D158" s="239"/>
      <c r="E158" s="239"/>
      <c r="F158" s="255"/>
      <c r="G158" s="239"/>
      <c r="H158" s="239"/>
      <c r="I158" s="239"/>
      <c r="J158" s="239"/>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c r="AL158" s="239"/>
      <c r="AM158" s="239"/>
      <c r="AN158" s="239"/>
      <c r="AO158" s="239"/>
      <c r="AP158" s="239"/>
      <c r="AQ158" s="239"/>
      <c r="AR158" s="239"/>
      <c r="AS158" s="239"/>
      <c r="AT158" s="239"/>
      <c r="AU158" s="239"/>
      <c r="AV158" s="239"/>
      <c r="AW158" s="239"/>
      <c r="AX158" s="239"/>
      <c r="AY158" s="239"/>
      <c r="AZ158" s="239"/>
      <c r="BA158" s="239"/>
      <c r="BB158" s="239"/>
      <c r="BC158" s="239"/>
    </row>
    <row r="159">
      <c r="A159" s="239"/>
      <c r="B159" s="239"/>
      <c r="C159" s="239"/>
      <c r="D159" s="239"/>
      <c r="E159" s="239"/>
      <c r="F159" s="255"/>
      <c r="G159" s="239"/>
      <c r="H159" s="239"/>
      <c r="I159" s="239"/>
      <c r="J159" s="239"/>
      <c r="K159" s="239"/>
      <c r="L159" s="239"/>
      <c r="M159" s="239"/>
      <c r="N159" s="239"/>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c r="AK159" s="239"/>
      <c r="AL159" s="239"/>
      <c r="AM159" s="239"/>
      <c r="AN159" s="239"/>
      <c r="AO159" s="239"/>
      <c r="AP159" s="239"/>
      <c r="AQ159" s="239"/>
      <c r="AR159" s="239"/>
      <c r="AS159" s="239"/>
      <c r="AT159" s="239"/>
      <c r="AU159" s="239"/>
      <c r="AV159" s="239"/>
      <c r="AW159" s="239"/>
      <c r="AX159" s="239"/>
      <c r="AY159" s="239"/>
      <c r="AZ159" s="239"/>
      <c r="BA159" s="239"/>
      <c r="BB159" s="239"/>
      <c r="BC159" s="239"/>
    </row>
    <row r="160">
      <c r="A160" s="239"/>
      <c r="B160" s="239"/>
      <c r="C160" s="239"/>
      <c r="D160" s="239"/>
      <c r="E160" s="239"/>
      <c r="F160" s="255"/>
      <c r="G160" s="239"/>
      <c r="H160" s="239"/>
      <c r="I160" s="239"/>
      <c r="J160" s="239"/>
      <c r="K160" s="239"/>
      <c r="L160" s="239"/>
      <c r="M160" s="239"/>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c r="AL160" s="239"/>
      <c r="AM160" s="239"/>
      <c r="AN160" s="239"/>
      <c r="AO160" s="239"/>
      <c r="AP160" s="239"/>
      <c r="AQ160" s="239"/>
      <c r="AR160" s="239"/>
      <c r="AS160" s="239"/>
      <c r="AT160" s="239"/>
      <c r="AU160" s="239"/>
      <c r="AV160" s="239"/>
      <c r="AW160" s="239"/>
      <c r="AX160" s="239"/>
      <c r="AY160" s="239"/>
      <c r="AZ160" s="239"/>
      <c r="BA160" s="239"/>
      <c r="BB160" s="239"/>
      <c r="BC160" s="239"/>
    </row>
    <row r="161">
      <c r="A161" s="239"/>
      <c r="B161" s="239"/>
      <c r="C161" s="239"/>
      <c r="D161" s="239"/>
      <c r="E161" s="239"/>
      <c r="F161" s="255"/>
      <c r="G161" s="239"/>
      <c r="H161" s="239"/>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c r="AL161" s="239"/>
      <c r="AM161" s="239"/>
      <c r="AN161" s="239"/>
      <c r="AO161" s="239"/>
      <c r="AP161" s="239"/>
      <c r="AQ161" s="239"/>
      <c r="AR161" s="239"/>
      <c r="AS161" s="239"/>
      <c r="AT161" s="239"/>
      <c r="AU161" s="239"/>
      <c r="AV161" s="239"/>
      <c r="AW161" s="239"/>
      <c r="AX161" s="239"/>
      <c r="AY161" s="239"/>
      <c r="AZ161" s="239"/>
      <c r="BA161" s="239"/>
      <c r="BB161" s="239"/>
      <c r="BC161" s="239"/>
    </row>
    <row r="162">
      <c r="A162" s="239"/>
      <c r="B162" s="239"/>
      <c r="C162" s="239"/>
      <c r="D162" s="239"/>
      <c r="E162" s="239"/>
      <c r="F162" s="255"/>
      <c r="G162" s="239"/>
      <c r="H162" s="239"/>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c r="AL162" s="239"/>
      <c r="AM162" s="239"/>
      <c r="AN162" s="239"/>
      <c r="AO162" s="239"/>
      <c r="AP162" s="239"/>
      <c r="AQ162" s="239"/>
      <c r="AR162" s="239"/>
      <c r="AS162" s="239"/>
      <c r="AT162" s="239"/>
      <c r="AU162" s="239"/>
      <c r="AV162" s="239"/>
      <c r="AW162" s="239"/>
      <c r="AX162" s="239"/>
      <c r="AY162" s="239"/>
      <c r="AZ162" s="239"/>
      <c r="BA162" s="239"/>
      <c r="BB162" s="239"/>
      <c r="BC162" s="239"/>
    </row>
    <row r="163">
      <c r="A163" s="239"/>
      <c r="B163" s="239"/>
      <c r="C163" s="239"/>
      <c r="D163" s="239"/>
      <c r="E163" s="239"/>
      <c r="F163" s="255"/>
      <c r="G163" s="239"/>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row>
    <row r="164">
      <c r="A164" s="239"/>
      <c r="B164" s="239"/>
      <c r="C164" s="239"/>
      <c r="D164" s="239"/>
      <c r="E164" s="239"/>
      <c r="F164" s="255"/>
      <c r="G164" s="239"/>
      <c r="H164" s="239"/>
      <c r="I164" s="239"/>
      <c r="J164" s="239"/>
      <c r="K164" s="239"/>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row>
    <row r="165">
      <c r="A165" s="239"/>
      <c r="B165" s="239"/>
      <c r="C165" s="239"/>
      <c r="D165" s="239"/>
      <c r="E165" s="239"/>
      <c r="F165" s="255"/>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row>
    <row r="166">
      <c r="A166" s="239"/>
      <c r="B166" s="239"/>
      <c r="C166" s="239"/>
      <c r="D166" s="239"/>
      <c r="E166" s="239"/>
      <c r="F166" s="255"/>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row>
    <row r="167">
      <c r="A167" s="239"/>
      <c r="B167" s="239"/>
      <c r="C167" s="239"/>
      <c r="D167" s="239"/>
      <c r="E167" s="239"/>
      <c r="F167" s="255"/>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row>
    <row r="168">
      <c r="A168" s="239"/>
      <c r="B168" s="239"/>
      <c r="C168" s="239"/>
      <c r="D168" s="239"/>
      <c r="E168" s="239"/>
      <c r="F168" s="255"/>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row>
    <row r="169">
      <c r="A169" s="239"/>
      <c r="B169" s="239"/>
      <c r="C169" s="239"/>
      <c r="D169" s="239"/>
      <c r="E169" s="239"/>
      <c r="F169" s="255"/>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row>
    <row r="170">
      <c r="A170" s="239"/>
      <c r="B170" s="239"/>
      <c r="C170" s="239"/>
      <c r="D170" s="239"/>
      <c r="E170" s="239"/>
      <c r="F170" s="255"/>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row>
    <row r="171">
      <c r="A171" s="239"/>
      <c r="B171" s="239"/>
      <c r="C171" s="239"/>
      <c r="D171" s="239"/>
      <c r="E171" s="239"/>
      <c r="F171" s="255"/>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c r="AL171" s="239"/>
      <c r="AM171" s="239"/>
      <c r="AN171" s="239"/>
      <c r="AO171" s="239"/>
      <c r="AP171" s="239"/>
      <c r="AQ171" s="239"/>
      <c r="AR171" s="239"/>
      <c r="AS171" s="239"/>
      <c r="AT171" s="239"/>
      <c r="AU171" s="239"/>
      <c r="AV171" s="239"/>
      <c r="AW171" s="239"/>
      <c r="AX171" s="239"/>
      <c r="AY171" s="239"/>
      <c r="AZ171" s="239"/>
      <c r="BA171" s="239"/>
      <c r="BB171" s="239"/>
      <c r="BC171" s="239"/>
    </row>
    <row r="172">
      <c r="A172" s="239"/>
      <c r="B172" s="239"/>
      <c r="C172" s="239"/>
      <c r="D172" s="239"/>
      <c r="E172" s="239"/>
      <c r="F172" s="255"/>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row>
    <row r="173">
      <c r="A173" s="239"/>
      <c r="B173" s="239"/>
      <c r="C173" s="239"/>
      <c r="D173" s="239"/>
      <c r="E173" s="239"/>
      <c r="F173" s="255"/>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row>
    <row r="174">
      <c r="A174" s="239"/>
      <c r="B174" s="239"/>
      <c r="C174" s="239"/>
      <c r="D174" s="239"/>
      <c r="E174" s="239"/>
      <c r="F174" s="255"/>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row>
    <row r="175">
      <c r="A175" s="239"/>
      <c r="B175" s="239"/>
      <c r="C175" s="239"/>
      <c r="D175" s="239"/>
      <c r="E175" s="239"/>
      <c r="F175" s="255"/>
      <c r="G175" s="239"/>
      <c r="H175" s="239"/>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row>
    <row r="176">
      <c r="A176" s="239"/>
      <c r="B176" s="239"/>
      <c r="C176" s="239"/>
      <c r="D176" s="239"/>
      <c r="E176" s="239"/>
      <c r="F176" s="255"/>
      <c r="G176" s="239"/>
      <c r="H176" s="239"/>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c r="AK176" s="239"/>
      <c r="AL176" s="239"/>
      <c r="AM176" s="239"/>
      <c r="AN176" s="239"/>
      <c r="AO176" s="239"/>
      <c r="AP176" s="239"/>
      <c r="AQ176" s="239"/>
      <c r="AR176" s="239"/>
      <c r="AS176" s="239"/>
      <c r="AT176" s="239"/>
      <c r="AU176" s="239"/>
      <c r="AV176" s="239"/>
      <c r="AW176" s="239"/>
      <c r="AX176" s="239"/>
      <c r="AY176" s="239"/>
      <c r="AZ176" s="239"/>
      <c r="BA176" s="239"/>
      <c r="BB176" s="239"/>
      <c r="BC176" s="239"/>
    </row>
    <row r="177">
      <c r="A177" s="239"/>
      <c r="B177" s="239"/>
      <c r="C177" s="239"/>
      <c r="D177" s="239"/>
      <c r="E177" s="239"/>
      <c r="F177" s="255"/>
      <c r="G177" s="239"/>
      <c r="H177" s="239"/>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c r="AK177" s="239"/>
      <c r="AL177" s="239"/>
      <c r="AM177" s="239"/>
      <c r="AN177" s="239"/>
      <c r="AO177" s="239"/>
      <c r="AP177" s="239"/>
      <c r="AQ177" s="239"/>
      <c r="AR177" s="239"/>
      <c r="AS177" s="239"/>
      <c r="AT177" s="239"/>
      <c r="AU177" s="239"/>
      <c r="AV177" s="239"/>
      <c r="AW177" s="239"/>
      <c r="AX177" s="239"/>
      <c r="AY177" s="239"/>
      <c r="AZ177" s="239"/>
      <c r="BA177" s="239"/>
      <c r="BB177" s="239"/>
      <c r="BC177" s="239"/>
    </row>
    <row r="178">
      <c r="A178" s="239"/>
      <c r="B178" s="239"/>
      <c r="C178" s="239"/>
      <c r="D178" s="239"/>
      <c r="E178" s="239"/>
      <c r="F178" s="255"/>
      <c r="G178" s="239"/>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c r="AK178" s="239"/>
      <c r="AL178" s="239"/>
      <c r="AM178" s="239"/>
      <c r="AN178" s="239"/>
      <c r="AO178" s="239"/>
      <c r="AP178" s="239"/>
      <c r="AQ178" s="239"/>
      <c r="AR178" s="239"/>
      <c r="AS178" s="239"/>
      <c r="AT178" s="239"/>
      <c r="AU178" s="239"/>
      <c r="AV178" s="239"/>
      <c r="AW178" s="239"/>
      <c r="AX178" s="239"/>
      <c r="AY178" s="239"/>
      <c r="AZ178" s="239"/>
      <c r="BA178" s="239"/>
      <c r="BB178" s="239"/>
      <c r="BC178" s="239"/>
    </row>
    <row r="179">
      <c r="A179" s="239"/>
      <c r="B179" s="239"/>
      <c r="C179" s="239"/>
      <c r="D179" s="239"/>
      <c r="E179" s="239"/>
      <c r="F179" s="255"/>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c r="AJ179" s="239"/>
      <c r="AK179" s="239"/>
      <c r="AL179" s="239"/>
      <c r="AM179" s="239"/>
      <c r="AN179" s="239"/>
      <c r="AO179" s="239"/>
      <c r="AP179" s="239"/>
      <c r="AQ179" s="239"/>
      <c r="AR179" s="239"/>
      <c r="AS179" s="239"/>
      <c r="AT179" s="239"/>
      <c r="AU179" s="239"/>
      <c r="AV179" s="239"/>
      <c r="AW179" s="239"/>
      <c r="AX179" s="239"/>
      <c r="AY179" s="239"/>
      <c r="AZ179" s="239"/>
      <c r="BA179" s="239"/>
      <c r="BB179" s="239"/>
      <c r="BC179" s="239"/>
    </row>
    <row r="180">
      <c r="A180" s="239"/>
      <c r="B180" s="239"/>
      <c r="C180" s="239"/>
      <c r="D180" s="239"/>
      <c r="E180" s="239"/>
      <c r="F180" s="255"/>
      <c r="G180" s="239"/>
      <c r="H180" s="239"/>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c r="AK180" s="239"/>
      <c r="AL180" s="239"/>
      <c r="AM180" s="239"/>
      <c r="AN180" s="239"/>
      <c r="AO180" s="239"/>
      <c r="AP180" s="239"/>
      <c r="AQ180" s="239"/>
      <c r="AR180" s="239"/>
      <c r="AS180" s="239"/>
      <c r="AT180" s="239"/>
      <c r="AU180" s="239"/>
      <c r="AV180" s="239"/>
      <c r="AW180" s="239"/>
      <c r="AX180" s="239"/>
      <c r="AY180" s="239"/>
      <c r="AZ180" s="239"/>
      <c r="BA180" s="239"/>
      <c r="BB180" s="239"/>
      <c r="BC180" s="239"/>
    </row>
    <row r="181">
      <c r="A181" s="239"/>
      <c r="B181" s="239"/>
      <c r="C181" s="239"/>
      <c r="D181" s="239"/>
      <c r="E181" s="239"/>
      <c r="F181" s="255"/>
      <c r="G181" s="239"/>
      <c r="H181" s="239"/>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c r="AK181" s="239"/>
      <c r="AL181" s="239"/>
      <c r="AM181" s="239"/>
      <c r="AN181" s="239"/>
      <c r="AO181" s="239"/>
      <c r="AP181" s="239"/>
      <c r="AQ181" s="239"/>
      <c r="AR181" s="239"/>
      <c r="AS181" s="239"/>
      <c r="AT181" s="239"/>
      <c r="AU181" s="239"/>
      <c r="AV181" s="239"/>
      <c r="AW181" s="239"/>
      <c r="AX181" s="239"/>
      <c r="AY181" s="239"/>
      <c r="AZ181" s="239"/>
      <c r="BA181" s="239"/>
      <c r="BB181" s="239"/>
      <c r="BC181" s="239"/>
    </row>
    <row r="182">
      <c r="A182" s="239"/>
      <c r="B182" s="239"/>
      <c r="C182" s="239"/>
      <c r="D182" s="239"/>
      <c r="E182" s="239"/>
      <c r="F182" s="255"/>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c r="AK182" s="239"/>
      <c r="AL182" s="239"/>
      <c r="AM182" s="239"/>
      <c r="AN182" s="239"/>
      <c r="AO182" s="239"/>
      <c r="AP182" s="239"/>
      <c r="AQ182" s="239"/>
      <c r="AR182" s="239"/>
      <c r="AS182" s="239"/>
      <c r="AT182" s="239"/>
      <c r="AU182" s="239"/>
      <c r="AV182" s="239"/>
      <c r="AW182" s="239"/>
      <c r="AX182" s="239"/>
      <c r="AY182" s="239"/>
      <c r="AZ182" s="239"/>
      <c r="BA182" s="239"/>
      <c r="BB182" s="239"/>
      <c r="BC182" s="239"/>
    </row>
    <row r="183">
      <c r="A183" s="239"/>
      <c r="B183" s="239"/>
      <c r="C183" s="239"/>
      <c r="D183" s="239"/>
      <c r="E183" s="239"/>
      <c r="F183" s="255"/>
      <c r="G183" s="239"/>
      <c r="H183" s="239"/>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c r="AK183" s="239"/>
      <c r="AL183" s="239"/>
      <c r="AM183" s="239"/>
      <c r="AN183" s="239"/>
      <c r="AO183" s="239"/>
      <c r="AP183" s="239"/>
      <c r="AQ183" s="239"/>
      <c r="AR183" s="239"/>
      <c r="AS183" s="239"/>
      <c r="AT183" s="239"/>
      <c r="AU183" s="239"/>
      <c r="AV183" s="239"/>
      <c r="AW183" s="239"/>
      <c r="AX183" s="239"/>
      <c r="AY183" s="239"/>
      <c r="AZ183" s="239"/>
      <c r="BA183" s="239"/>
      <c r="BB183" s="239"/>
      <c r="BC183" s="239"/>
    </row>
    <row r="184">
      <c r="A184" s="239"/>
      <c r="B184" s="239"/>
      <c r="C184" s="239"/>
      <c r="D184" s="239"/>
      <c r="E184" s="239"/>
      <c r="F184" s="255"/>
      <c r="G184" s="239"/>
      <c r="H184" s="239"/>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c r="AL184" s="239"/>
      <c r="AM184" s="239"/>
      <c r="AN184" s="239"/>
      <c r="AO184" s="239"/>
      <c r="AP184" s="239"/>
      <c r="AQ184" s="239"/>
      <c r="AR184" s="239"/>
      <c r="AS184" s="239"/>
      <c r="AT184" s="239"/>
      <c r="AU184" s="239"/>
      <c r="AV184" s="239"/>
      <c r="AW184" s="239"/>
      <c r="AX184" s="239"/>
      <c r="AY184" s="239"/>
      <c r="AZ184" s="239"/>
      <c r="BA184" s="239"/>
      <c r="BB184" s="239"/>
      <c r="BC184" s="239"/>
    </row>
    <row r="185">
      <c r="A185" s="239"/>
      <c r="B185" s="239"/>
      <c r="C185" s="239"/>
      <c r="D185" s="239"/>
      <c r="E185" s="239"/>
      <c r="F185" s="255"/>
      <c r="G185" s="239"/>
      <c r="H185" s="239"/>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c r="AK185" s="239"/>
      <c r="AL185" s="239"/>
      <c r="AM185" s="239"/>
      <c r="AN185" s="239"/>
      <c r="AO185" s="239"/>
      <c r="AP185" s="239"/>
      <c r="AQ185" s="239"/>
      <c r="AR185" s="239"/>
      <c r="AS185" s="239"/>
      <c r="AT185" s="239"/>
      <c r="AU185" s="239"/>
      <c r="AV185" s="239"/>
      <c r="AW185" s="239"/>
      <c r="AX185" s="239"/>
      <c r="AY185" s="239"/>
      <c r="AZ185" s="239"/>
      <c r="BA185" s="239"/>
      <c r="BB185" s="239"/>
      <c r="BC185" s="239"/>
    </row>
    <row r="186">
      <c r="A186" s="239"/>
      <c r="B186" s="239"/>
      <c r="C186" s="239"/>
      <c r="D186" s="239"/>
      <c r="E186" s="239"/>
      <c r="F186" s="255"/>
      <c r="G186" s="239"/>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c r="AK186" s="239"/>
      <c r="AL186" s="239"/>
      <c r="AM186" s="239"/>
      <c r="AN186" s="239"/>
      <c r="AO186" s="239"/>
      <c r="AP186" s="239"/>
      <c r="AQ186" s="239"/>
      <c r="AR186" s="239"/>
      <c r="AS186" s="239"/>
      <c r="AT186" s="239"/>
      <c r="AU186" s="239"/>
      <c r="AV186" s="239"/>
      <c r="AW186" s="239"/>
      <c r="AX186" s="239"/>
      <c r="AY186" s="239"/>
      <c r="AZ186" s="239"/>
      <c r="BA186" s="239"/>
      <c r="BB186" s="239"/>
      <c r="BC186" s="239"/>
    </row>
    <row r="187">
      <c r="A187" s="239"/>
      <c r="B187" s="239"/>
      <c r="C187" s="239"/>
      <c r="D187" s="239"/>
      <c r="E187" s="239"/>
      <c r="F187" s="255"/>
      <c r="G187" s="239"/>
      <c r="H187" s="239"/>
      <c r="I187" s="239"/>
      <c r="J187" s="239"/>
      <c r="K187" s="239"/>
      <c r="L187" s="239"/>
      <c r="M187" s="239"/>
      <c r="N187" s="239"/>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c r="AJ187" s="239"/>
      <c r="AK187" s="239"/>
      <c r="AL187" s="239"/>
      <c r="AM187" s="239"/>
      <c r="AN187" s="239"/>
      <c r="AO187" s="239"/>
      <c r="AP187" s="239"/>
      <c r="AQ187" s="239"/>
      <c r="AR187" s="239"/>
      <c r="AS187" s="239"/>
      <c r="AT187" s="239"/>
      <c r="AU187" s="239"/>
      <c r="AV187" s="239"/>
      <c r="AW187" s="239"/>
      <c r="AX187" s="239"/>
      <c r="AY187" s="239"/>
      <c r="AZ187" s="239"/>
      <c r="BA187" s="239"/>
      <c r="BB187" s="239"/>
      <c r="BC187" s="239"/>
    </row>
    <row r="188">
      <c r="A188" s="239"/>
      <c r="B188" s="239"/>
      <c r="C188" s="239"/>
      <c r="D188" s="239"/>
      <c r="E188" s="239"/>
      <c r="F188" s="255"/>
      <c r="G188" s="239"/>
      <c r="H188" s="239"/>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c r="AK188" s="239"/>
      <c r="AL188" s="239"/>
      <c r="AM188" s="239"/>
      <c r="AN188" s="239"/>
      <c r="AO188" s="239"/>
      <c r="AP188" s="239"/>
      <c r="AQ188" s="239"/>
      <c r="AR188" s="239"/>
      <c r="AS188" s="239"/>
      <c r="AT188" s="239"/>
      <c r="AU188" s="239"/>
      <c r="AV188" s="239"/>
      <c r="AW188" s="239"/>
      <c r="AX188" s="239"/>
      <c r="AY188" s="239"/>
      <c r="AZ188" s="239"/>
      <c r="BA188" s="239"/>
      <c r="BB188" s="239"/>
      <c r="BC188" s="239"/>
    </row>
    <row r="189">
      <c r="A189" s="239"/>
      <c r="B189" s="239"/>
      <c r="C189" s="239"/>
      <c r="D189" s="239"/>
      <c r="E189" s="239"/>
      <c r="F189" s="255"/>
      <c r="G189" s="239"/>
      <c r="H189" s="239"/>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c r="AK189" s="239"/>
      <c r="AL189" s="239"/>
      <c r="AM189" s="239"/>
      <c r="AN189" s="239"/>
      <c r="AO189" s="239"/>
      <c r="AP189" s="239"/>
      <c r="AQ189" s="239"/>
      <c r="AR189" s="239"/>
      <c r="AS189" s="239"/>
      <c r="AT189" s="239"/>
      <c r="AU189" s="239"/>
      <c r="AV189" s="239"/>
      <c r="AW189" s="239"/>
      <c r="AX189" s="239"/>
      <c r="AY189" s="239"/>
      <c r="AZ189" s="239"/>
      <c r="BA189" s="239"/>
      <c r="BB189" s="239"/>
      <c r="BC189" s="239"/>
    </row>
    <row r="190">
      <c r="A190" s="239"/>
      <c r="B190" s="239"/>
      <c r="C190" s="239"/>
      <c r="D190" s="239"/>
      <c r="E190" s="239"/>
      <c r="F190" s="255"/>
      <c r="G190" s="239"/>
      <c r="H190" s="239"/>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row>
    <row r="191">
      <c r="A191" s="239"/>
      <c r="B191" s="239"/>
      <c r="C191" s="239"/>
      <c r="D191" s="239"/>
      <c r="E191" s="239"/>
      <c r="F191" s="255"/>
      <c r="G191" s="239"/>
      <c r="H191" s="239"/>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row>
    <row r="192">
      <c r="A192" s="239"/>
      <c r="B192" s="239"/>
      <c r="C192" s="239"/>
      <c r="D192" s="239"/>
      <c r="E192" s="239"/>
      <c r="F192" s="255"/>
      <c r="G192" s="239"/>
      <c r="H192" s="239"/>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row>
    <row r="193">
      <c r="A193" s="239"/>
      <c r="B193" s="239"/>
      <c r="C193" s="239"/>
      <c r="D193" s="239"/>
      <c r="E193" s="239"/>
      <c r="F193" s="255"/>
      <c r="G193" s="239"/>
      <c r="H193" s="239"/>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row>
    <row r="194">
      <c r="A194" s="239"/>
      <c r="B194" s="239"/>
      <c r="C194" s="239"/>
      <c r="D194" s="239"/>
      <c r="E194" s="239"/>
      <c r="F194" s="255"/>
      <c r="G194" s="239"/>
      <c r="H194" s="239"/>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row>
    <row r="195">
      <c r="A195" s="239"/>
      <c r="B195" s="239"/>
      <c r="C195" s="239"/>
      <c r="D195" s="239"/>
      <c r="E195" s="239"/>
      <c r="F195" s="255"/>
      <c r="G195" s="239"/>
      <c r="H195" s="239"/>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row>
    <row r="196">
      <c r="A196" s="239"/>
      <c r="B196" s="239"/>
      <c r="C196" s="239"/>
      <c r="D196" s="239"/>
      <c r="E196" s="239"/>
      <c r="F196" s="255"/>
      <c r="G196" s="239"/>
      <c r="H196" s="239"/>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row>
    <row r="197">
      <c r="A197" s="239"/>
      <c r="B197" s="239"/>
      <c r="C197" s="239"/>
      <c r="D197" s="239"/>
      <c r="E197" s="239"/>
      <c r="F197" s="255"/>
      <c r="G197" s="239"/>
      <c r="H197" s="239"/>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row>
    <row r="198">
      <c r="A198" s="239"/>
      <c r="B198" s="239"/>
      <c r="C198" s="239"/>
      <c r="D198" s="239"/>
      <c r="E198" s="239"/>
      <c r="F198" s="255"/>
      <c r="G198" s="239"/>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row>
    <row r="199">
      <c r="A199" s="239"/>
      <c r="B199" s="239"/>
      <c r="C199" s="239"/>
      <c r="D199" s="239"/>
      <c r="E199" s="239"/>
      <c r="F199" s="255"/>
      <c r="G199" s="239"/>
      <c r="H199" s="239"/>
      <c r="I199" s="239"/>
      <c r="J199" s="239"/>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row>
    <row r="200">
      <c r="A200" s="239"/>
      <c r="B200" s="239"/>
      <c r="C200" s="239"/>
      <c r="D200" s="239"/>
      <c r="E200" s="239"/>
      <c r="F200" s="255"/>
      <c r="G200" s="239"/>
      <c r="H200" s="239"/>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row>
    <row r="201">
      <c r="A201" s="239"/>
      <c r="B201" s="239"/>
      <c r="C201" s="239"/>
      <c r="D201" s="239"/>
      <c r="E201" s="239"/>
      <c r="F201" s="255"/>
      <c r="G201" s="239"/>
      <c r="H201" s="239"/>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row>
    <row r="202">
      <c r="A202" s="239"/>
      <c r="B202" s="239"/>
      <c r="C202" s="239"/>
      <c r="D202" s="239"/>
      <c r="E202" s="239"/>
      <c r="F202" s="255"/>
      <c r="G202" s="239"/>
      <c r="H202" s="239"/>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row>
    <row r="203">
      <c r="A203" s="239"/>
      <c r="B203" s="239"/>
      <c r="C203" s="239"/>
      <c r="D203" s="239"/>
      <c r="E203" s="239"/>
      <c r="F203" s="255"/>
      <c r="G203" s="239"/>
      <c r="H203" s="239"/>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row>
    <row r="204">
      <c r="A204" s="239"/>
      <c r="B204" s="239"/>
      <c r="C204" s="239"/>
      <c r="D204" s="239"/>
      <c r="E204" s="239"/>
      <c r="F204" s="255"/>
      <c r="G204" s="239"/>
      <c r="H204" s="239"/>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row>
    <row r="205">
      <c r="A205" s="239"/>
      <c r="B205" s="239"/>
      <c r="C205" s="239"/>
      <c r="D205" s="239"/>
      <c r="E205" s="239"/>
      <c r="F205" s="255"/>
      <c r="G205" s="239"/>
      <c r="H205" s="239"/>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row>
    <row r="206">
      <c r="A206" s="239"/>
      <c r="B206" s="239"/>
      <c r="C206" s="239"/>
      <c r="D206" s="239"/>
      <c r="E206" s="239"/>
      <c r="F206" s="255"/>
      <c r="G206" s="239"/>
      <c r="H206" s="239"/>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row>
    <row r="207">
      <c r="A207" s="239"/>
      <c r="B207" s="239"/>
      <c r="C207" s="239"/>
      <c r="D207" s="239"/>
      <c r="E207" s="239"/>
      <c r="F207" s="255"/>
      <c r="G207" s="239"/>
      <c r="H207" s="239"/>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row>
    <row r="208">
      <c r="A208" s="239"/>
      <c r="B208" s="239"/>
      <c r="C208" s="239"/>
      <c r="D208" s="239"/>
      <c r="E208" s="239"/>
      <c r="F208" s="255"/>
      <c r="G208" s="239"/>
      <c r="H208" s="239"/>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row>
    <row r="209">
      <c r="A209" s="239"/>
      <c r="B209" s="239"/>
      <c r="C209" s="239"/>
      <c r="D209" s="239"/>
      <c r="E209" s="239"/>
      <c r="F209" s="255"/>
      <c r="G209" s="239"/>
      <c r="H209" s="239"/>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row>
    <row r="210">
      <c r="A210" s="239"/>
      <c r="B210" s="239"/>
      <c r="C210" s="239"/>
      <c r="D210" s="239"/>
      <c r="E210" s="239"/>
      <c r="F210" s="255"/>
      <c r="G210" s="239"/>
      <c r="H210" s="239"/>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row>
    <row r="211">
      <c r="A211" s="239"/>
      <c r="B211" s="239"/>
      <c r="C211" s="239"/>
      <c r="D211" s="239"/>
      <c r="E211" s="239"/>
      <c r="F211" s="255"/>
      <c r="G211" s="239"/>
      <c r="H211" s="239"/>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row>
    <row r="212">
      <c r="A212" s="239"/>
      <c r="B212" s="239"/>
      <c r="C212" s="239"/>
      <c r="D212" s="239"/>
      <c r="E212" s="239"/>
      <c r="F212" s="255"/>
      <c r="G212" s="239"/>
      <c r="H212" s="239"/>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row>
    <row r="213">
      <c r="A213" s="239"/>
      <c r="B213" s="239"/>
      <c r="C213" s="239"/>
      <c r="D213" s="239"/>
      <c r="E213" s="239"/>
      <c r="F213" s="255"/>
      <c r="G213" s="239"/>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row>
    <row r="214">
      <c r="A214" s="239"/>
      <c r="B214" s="239"/>
      <c r="C214" s="239"/>
      <c r="D214" s="239"/>
      <c r="E214" s="239"/>
      <c r="F214" s="255"/>
      <c r="G214" s="239"/>
      <c r="H214" s="239"/>
      <c r="I214" s="239"/>
      <c r="J214" s="239"/>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row>
    <row r="215">
      <c r="A215" s="239"/>
      <c r="B215" s="239"/>
      <c r="C215" s="239"/>
      <c r="D215" s="239"/>
      <c r="E215" s="239"/>
      <c r="F215" s="255"/>
      <c r="G215" s="239"/>
      <c r="H215" s="239"/>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row>
    <row r="216">
      <c r="A216" s="239"/>
      <c r="B216" s="239"/>
      <c r="C216" s="239"/>
      <c r="D216" s="239"/>
      <c r="E216" s="239"/>
      <c r="F216" s="255"/>
      <c r="G216" s="239"/>
      <c r="H216" s="239"/>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row>
    <row r="217">
      <c r="A217" s="239"/>
      <c r="B217" s="239"/>
      <c r="C217" s="239"/>
      <c r="D217" s="239"/>
      <c r="E217" s="239"/>
      <c r="F217" s="255"/>
      <c r="G217" s="239"/>
      <c r="H217" s="239"/>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row>
    <row r="218">
      <c r="A218" s="239"/>
      <c r="B218" s="239"/>
      <c r="C218" s="239"/>
      <c r="D218" s="239"/>
      <c r="E218" s="239"/>
      <c r="F218" s="255"/>
      <c r="G218" s="239"/>
      <c r="H218" s="239"/>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c r="AK218" s="239"/>
      <c r="AL218" s="239"/>
      <c r="AM218" s="239"/>
      <c r="AN218" s="239"/>
      <c r="AO218" s="239"/>
      <c r="AP218" s="239"/>
      <c r="AQ218" s="239"/>
      <c r="AR218" s="239"/>
      <c r="AS218" s="239"/>
      <c r="AT218" s="239"/>
      <c r="AU218" s="239"/>
      <c r="AV218" s="239"/>
      <c r="AW218" s="239"/>
      <c r="AX218" s="239"/>
      <c r="AY218" s="239"/>
      <c r="AZ218" s="239"/>
      <c r="BA218" s="239"/>
      <c r="BB218" s="239"/>
      <c r="BC218" s="239"/>
    </row>
    <row r="219">
      <c r="A219" s="239"/>
      <c r="B219" s="239"/>
      <c r="C219" s="239"/>
      <c r="D219" s="239"/>
      <c r="E219" s="239"/>
      <c r="F219" s="255"/>
      <c r="G219" s="239"/>
      <c r="H219" s="239"/>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row>
    <row r="220">
      <c r="A220" s="239"/>
      <c r="B220" s="239"/>
      <c r="C220" s="239"/>
      <c r="D220" s="239"/>
      <c r="E220" s="239"/>
      <c r="F220" s="255"/>
      <c r="G220" s="239"/>
      <c r="H220" s="239"/>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c r="AK220" s="239"/>
      <c r="AL220" s="239"/>
      <c r="AM220" s="239"/>
      <c r="AN220" s="239"/>
      <c r="AO220" s="239"/>
      <c r="AP220" s="239"/>
      <c r="AQ220" s="239"/>
      <c r="AR220" s="239"/>
      <c r="AS220" s="239"/>
      <c r="AT220" s="239"/>
      <c r="AU220" s="239"/>
      <c r="AV220" s="239"/>
      <c r="AW220" s="239"/>
      <c r="AX220" s="239"/>
      <c r="AY220" s="239"/>
      <c r="AZ220" s="239"/>
      <c r="BA220" s="239"/>
      <c r="BB220" s="239"/>
      <c r="BC220" s="239"/>
    </row>
    <row r="221">
      <c r="A221" s="239"/>
      <c r="B221" s="239"/>
      <c r="C221" s="239"/>
      <c r="D221" s="239"/>
      <c r="E221" s="239"/>
      <c r="F221" s="255"/>
      <c r="G221" s="239"/>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row>
    <row r="222">
      <c r="A222" s="239"/>
      <c r="B222" s="239"/>
      <c r="C222" s="239"/>
      <c r="D222" s="239"/>
      <c r="E222" s="239"/>
      <c r="F222" s="255"/>
      <c r="G222" s="239"/>
      <c r="H222" s="239"/>
      <c r="I222" s="239"/>
      <c r="J222" s="239"/>
      <c r="K222" s="239"/>
      <c r="L222" s="239"/>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c r="AJ222" s="239"/>
      <c r="AK222" s="239"/>
      <c r="AL222" s="239"/>
      <c r="AM222" s="239"/>
      <c r="AN222" s="239"/>
      <c r="AO222" s="239"/>
      <c r="AP222" s="239"/>
      <c r="AQ222" s="239"/>
      <c r="AR222" s="239"/>
      <c r="AS222" s="239"/>
      <c r="AT222" s="239"/>
      <c r="AU222" s="239"/>
      <c r="AV222" s="239"/>
      <c r="AW222" s="239"/>
      <c r="AX222" s="239"/>
      <c r="AY222" s="239"/>
      <c r="AZ222" s="239"/>
      <c r="BA222" s="239"/>
      <c r="BB222" s="239"/>
      <c r="BC222" s="239"/>
    </row>
    <row r="223">
      <c r="A223" s="239"/>
      <c r="B223" s="239"/>
      <c r="C223" s="239"/>
      <c r="D223" s="239"/>
      <c r="E223" s="239"/>
      <c r="F223" s="255"/>
      <c r="G223" s="239"/>
      <c r="H223" s="239"/>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row>
    <row r="224">
      <c r="A224" s="239"/>
      <c r="B224" s="239"/>
      <c r="C224" s="239"/>
      <c r="D224" s="239"/>
      <c r="E224" s="239"/>
      <c r="F224" s="255"/>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c r="AK224" s="239"/>
      <c r="AL224" s="239"/>
      <c r="AM224" s="239"/>
      <c r="AN224" s="239"/>
      <c r="AO224" s="239"/>
      <c r="AP224" s="239"/>
      <c r="AQ224" s="239"/>
      <c r="AR224" s="239"/>
      <c r="AS224" s="239"/>
      <c r="AT224" s="239"/>
      <c r="AU224" s="239"/>
      <c r="AV224" s="239"/>
      <c r="AW224" s="239"/>
      <c r="AX224" s="239"/>
      <c r="AY224" s="239"/>
      <c r="AZ224" s="239"/>
      <c r="BA224" s="239"/>
      <c r="BB224" s="239"/>
      <c r="BC224" s="239"/>
    </row>
    <row r="225">
      <c r="A225" s="239"/>
      <c r="B225" s="239"/>
      <c r="C225" s="239"/>
      <c r="D225" s="239"/>
      <c r="E225" s="239"/>
      <c r="F225" s="255"/>
      <c r="G225" s="239"/>
      <c r="H225" s="239"/>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c r="AK225" s="239"/>
      <c r="AL225" s="239"/>
      <c r="AM225" s="239"/>
      <c r="AN225" s="239"/>
      <c r="AO225" s="239"/>
      <c r="AP225" s="239"/>
      <c r="AQ225" s="239"/>
      <c r="AR225" s="239"/>
      <c r="AS225" s="239"/>
      <c r="AT225" s="239"/>
      <c r="AU225" s="239"/>
      <c r="AV225" s="239"/>
      <c r="AW225" s="239"/>
      <c r="AX225" s="239"/>
      <c r="AY225" s="239"/>
      <c r="AZ225" s="239"/>
      <c r="BA225" s="239"/>
      <c r="BB225" s="239"/>
      <c r="BC225" s="239"/>
    </row>
    <row r="226">
      <c r="A226" s="239"/>
      <c r="B226" s="239"/>
      <c r="C226" s="239"/>
      <c r="D226" s="239"/>
      <c r="E226" s="239"/>
      <c r="F226" s="255"/>
      <c r="G226" s="239"/>
      <c r="H226" s="239"/>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c r="AK226" s="239"/>
      <c r="AL226" s="239"/>
      <c r="AM226" s="239"/>
      <c r="AN226" s="239"/>
      <c r="AO226" s="239"/>
      <c r="AP226" s="239"/>
      <c r="AQ226" s="239"/>
      <c r="AR226" s="239"/>
      <c r="AS226" s="239"/>
      <c r="AT226" s="239"/>
      <c r="AU226" s="239"/>
      <c r="AV226" s="239"/>
      <c r="AW226" s="239"/>
      <c r="AX226" s="239"/>
      <c r="AY226" s="239"/>
      <c r="AZ226" s="239"/>
      <c r="BA226" s="239"/>
      <c r="BB226" s="239"/>
      <c r="BC226" s="239"/>
    </row>
    <row r="227">
      <c r="A227" s="239"/>
      <c r="B227" s="239"/>
      <c r="C227" s="239"/>
      <c r="D227" s="239"/>
      <c r="E227" s="239"/>
      <c r="F227" s="255"/>
      <c r="G227" s="239"/>
      <c r="H227" s="239"/>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row>
    <row r="228">
      <c r="A228" s="239"/>
      <c r="B228" s="239"/>
      <c r="C228" s="239"/>
      <c r="D228" s="239"/>
      <c r="E228" s="239"/>
      <c r="F228" s="255"/>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row>
    <row r="229">
      <c r="A229" s="239"/>
      <c r="B229" s="239"/>
      <c r="C229" s="239"/>
      <c r="D229" s="239"/>
      <c r="E229" s="239"/>
      <c r="F229" s="255"/>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c r="AL229" s="239"/>
      <c r="AM229" s="239"/>
      <c r="AN229" s="239"/>
      <c r="AO229" s="239"/>
      <c r="AP229" s="239"/>
      <c r="AQ229" s="239"/>
      <c r="AR229" s="239"/>
      <c r="AS229" s="239"/>
      <c r="AT229" s="239"/>
      <c r="AU229" s="239"/>
      <c r="AV229" s="239"/>
      <c r="AW229" s="239"/>
      <c r="AX229" s="239"/>
      <c r="AY229" s="239"/>
      <c r="AZ229" s="239"/>
      <c r="BA229" s="239"/>
      <c r="BB229" s="239"/>
      <c r="BC229" s="239"/>
    </row>
    <row r="230">
      <c r="A230" s="239"/>
      <c r="B230" s="239"/>
      <c r="C230" s="239"/>
      <c r="D230" s="239"/>
      <c r="E230" s="239"/>
      <c r="F230" s="255"/>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row>
    <row r="231">
      <c r="A231" s="239"/>
      <c r="B231" s="239"/>
      <c r="C231" s="239"/>
      <c r="D231" s="239"/>
      <c r="E231" s="239"/>
      <c r="F231" s="255"/>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39"/>
      <c r="AX231" s="239"/>
      <c r="AY231" s="239"/>
      <c r="AZ231" s="239"/>
      <c r="BA231" s="239"/>
      <c r="BB231" s="239"/>
      <c r="BC231" s="239"/>
    </row>
    <row r="232">
      <c r="A232" s="239"/>
      <c r="B232" s="239"/>
      <c r="C232" s="239"/>
      <c r="D232" s="239"/>
      <c r="E232" s="239"/>
      <c r="F232" s="255"/>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c r="AL232" s="239"/>
      <c r="AM232" s="239"/>
      <c r="AN232" s="239"/>
      <c r="AO232" s="239"/>
      <c r="AP232" s="239"/>
      <c r="AQ232" s="239"/>
      <c r="AR232" s="239"/>
      <c r="AS232" s="239"/>
      <c r="AT232" s="239"/>
      <c r="AU232" s="239"/>
      <c r="AV232" s="239"/>
      <c r="AW232" s="239"/>
      <c r="AX232" s="239"/>
      <c r="AY232" s="239"/>
      <c r="AZ232" s="239"/>
      <c r="BA232" s="239"/>
      <c r="BB232" s="239"/>
      <c r="BC232" s="239"/>
    </row>
    <row r="233">
      <c r="A233" s="239"/>
      <c r="B233" s="239"/>
      <c r="C233" s="239"/>
      <c r="D233" s="239"/>
      <c r="E233" s="239"/>
      <c r="F233" s="255"/>
      <c r="G233" s="239"/>
      <c r="H233" s="239"/>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c r="AK233" s="239"/>
      <c r="AL233" s="239"/>
      <c r="AM233" s="239"/>
      <c r="AN233" s="239"/>
      <c r="AO233" s="239"/>
      <c r="AP233" s="239"/>
      <c r="AQ233" s="239"/>
      <c r="AR233" s="239"/>
      <c r="AS233" s="239"/>
      <c r="AT233" s="239"/>
      <c r="AU233" s="239"/>
      <c r="AV233" s="239"/>
      <c r="AW233" s="239"/>
      <c r="AX233" s="239"/>
      <c r="AY233" s="239"/>
      <c r="AZ233" s="239"/>
      <c r="BA233" s="239"/>
      <c r="BB233" s="239"/>
      <c r="BC233" s="239"/>
    </row>
    <row r="234">
      <c r="A234" s="239"/>
      <c r="B234" s="239"/>
      <c r="C234" s="239"/>
      <c r="D234" s="239"/>
      <c r="E234" s="239"/>
      <c r="F234" s="255"/>
      <c r="G234" s="239"/>
      <c r="H234" s="239"/>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c r="AK234" s="239"/>
      <c r="AL234" s="239"/>
      <c r="AM234" s="239"/>
      <c r="AN234" s="239"/>
      <c r="AO234" s="239"/>
      <c r="AP234" s="239"/>
      <c r="AQ234" s="239"/>
      <c r="AR234" s="239"/>
      <c r="AS234" s="239"/>
      <c r="AT234" s="239"/>
      <c r="AU234" s="239"/>
      <c r="AV234" s="239"/>
      <c r="AW234" s="239"/>
      <c r="AX234" s="239"/>
      <c r="AY234" s="239"/>
      <c r="AZ234" s="239"/>
      <c r="BA234" s="239"/>
      <c r="BB234" s="239"/>
      <c r="BC234" s="239"/>
    </row>
    <row r="235">
      <c r="A235" s="239"/>
      <c r="B235" s="239"/>
      <c r="C235" s="239"/>
      <c r="D235" s="239"/>
      <c r="E235" s="239"/>
      <c r="F235" s="255"/>
      <c r="G235" s="239"/>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c r="AK235" s="239"/>
      <c r="AL235" s="239"/>
      <c r="AM235" s="239"/>
      <c r="AN235" s="239"/>
      <c r="AO235" s="239"/>
      <c r="AP235" s="239"/>
      <c r="AQ235" s="239"/>
      <c r="AR235" s="239"/>
      <c r="AS235" s="239"/>
      <c r="AT235" s="239"/>
      <c r="AU235" s="239"/>
      <c r="AV235" s="239"/>
      <c r="AW235" s="239"/>
      <c r="AX235" s="239"/>
      <c r="AY235" s="239"/>
      <c r="AZ235" s="239"/>
      <c r="BA235" s="239"/>
      <c r="BB235" s="239"/>
      <c r="BC235" s="239"/>
    </row>
    <row r="236">
      <c r="A236" s="239"/>
      <c r="B236" s="239"/>
      <c r="C236" s="239"/>
      <c r="D236" s="239"/>
      <c r="E236" s="239"/>
      <c r="F236" s="255"/>
      <c r="G236" s="239"/>
      <c r="H236" s="239"/>
      <c r="I236" s="239"/>
      <c r="J236" s="239"/>
      <c r="K236" s="239"/>
      <c r="L236" s="239"/>
      <c r="M236" s="239"/>
      <c r="N236" s="239"/>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c r="AJ236" s="239"/>
      <c r="AK236" s="239"/>
      <c r="AL236" s="239"/>
      <c r="AM236" s="239"/>
      <c r="AN236" s="239"/>
      <c r="AO236" s="239"/>
      <c r="AP236" s="239"/>
      <c r="AQ236" s="239"/>
      <c r="AR236" s="239"/>
      <c r="AS236" s="239"/>
      <c r="AT236" s="239"/>
      <c r="AU236" s="239"/>
      <c r="AV236" s="239"/>
      <c r="AW236" s="239"/>
      <c r="AX236" s="239"/>
      <c r="AY236" s="239"/>
      <c r="AZ236" s="239"/>
      <c r="BA236" s="239"/>
      <c r="BB236" s="239"/>
      <c r="BC236" s="239"/>
    </row>
    <row r="237">
      <c r="A237" s="239"/>
      <c r="B237" s="239"/>
      <c r="C237" s="239"/>
      <c r="D237" s="239"/>
      <c r="E237" s="239"/>
      <c r="F237" s="255"/>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c r="AK237" s="239"/>
      <c r="AL237" s="239"/>
      <c r="AM237" s="239"/>
      <c r="AN237" s="239"/>
      <c r="AO237" s="239"/>
      <c r="AP237" s="239"/>
      <c r="AQ237" s="239"/>
      <c r="AR237" s="239"/>
      <c r="AS237" s="239"/>
      <c r="AT237" s="239"/>
      <c r="AU237" s="239"/>
      <c r="AV237" s="239"/>
      <c r="AW237" s="239"/>
      <c r="AX237" s="239"/>
      <c r="AY237" s="239"/>
      <c r="AZ237" s="239"/>
      <c r="BA237" s="239"/>
      <c r="BB237" s="239"/>
      <c r="BC237" s="239"/>
    </row>
    <row r="238">
      <c r="A238" s="239"/>
      <c r="B238" s="239"/>
      <c r="C238" s="239"/>
      <c r="D238" s="239"/>
      <c r="E238" s="239"/>
      <c r="F238" s="255"/>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c r="AK238" s="239"/>
      <c r="AL238" s="239"/>
      <c r="AM238" s="239"/>
      <c r="AN238" s="239"/>
      <c r="AO238" s="239"/>
      <c r="AP238" s="239"/>
      <c r="AQ238" s="239"/>
      <c r="AR238" s="239"/>
      <c r="AS238" s="239"/>
      <c r="AT238" s="239"/>
      <c r="AU238" s="239"/>
      <c r="AV238" s="239"/>
      <c r="AW238" s="239"/>
      <c r="AX238" s="239"/>
      <c r="AY238" s="239"/>
      <c r="AZ238" s="239"/>
      <c r="BA238" s="239"/>
      <c r="BB238" s="239"/>
      <c r="BC238" s="239"/>
    </row>
    <row r="239">
      <c r="A239" s="239"/>
      <c r="B239" s="239"/>
      <c r="C239" s="239"/>
      <c r="D239" s="239"/>
      <c r="E239" s="239"/>
      <c r="F239" s="255"/>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c r="AL239" s="239"/>
      <c r="AM239" s="239"/>
      <c r="AN239" s="239"/>
      <c r="AO239" s="239"/>
      <c r="AP239" s="239"/>
      <c r="AQ239" s="239"/>
      <c r="AR239" s="239"/>
      <c r="AS239" s="239"/>
      <c r="AT239" s="239"/>
      <c r="AU239" s="239"/>
      <c r="AV239" s="239"/>
      <c r="AW239" s="239"/>
      <c r="AX239" s="239"/>
      <c r="AY239" s="239"/>
      <c r="AZ239" s="239"/>
      <c r="BA239" s="239"/>
      <c r="BB239" s="239"/>
      <c r="BC239" s="239"/>
    </row>
    <row r="240">
      <c r="A240" s="239"/>
      <c r="B240" s="239"/>
      <c r="C240" s="239"/>
      <c r="D240" s="239"/>
      <c r="E240" s="239"/>
      <c r="F240" s="255"/>
      <c r="G240" s="239"/>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c r="AK240" s="239"/>
      <c r="AL240" s="239"/>
      <c r="AM240" s="239"/>
      <c r="AN240" s="239"/>
      <c r="AO240" s="239"/>
      <c r="AP240" s="239"/>
      <c r="AQ240" s="239"/>
      <c r="AR240" s="239"/>
      <c r="AS240" s="239"/>
      <c r="AT240" s="239"/>
      <c r="AU240" s="239"/>
      <c r="AV240" s="239"/>
      <c r="AW240" s="239"/>
      <c r="AX240" s="239"/>
      <c r="AY240" s="239"/>
      <c r="AZ240" s="239"/>
      <c r="BA240" s="239"/>
      <c r="BB240" s="239"/>
      <c r="BC240" s="239"/>
    </row>
    <row r="241">
      <c r="A241" s="239"/>
      <c r="B241" s="239"/>
      <c r="C241" s="239"/>
      <c r="D241" s="239"/>
      <c r="E241" s="239"/>
      <c r="F241" s="255"/>
      <c r="G241" s="239"/>
      <c r="H241" s="239"/>
      <c r="I241" s="239"/>
      <c r="J241" s="239"/>
      <c r="K241" s="239"/>
      <c r="L241" s="239"/>
      <c r="M241" s="239"/>
      <c r="N241" s="239"/>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c r="AJ241" s="239"/>
      <c r="AK241" s="239"/>
      <c r="AL241" s="239"/>
      <c r="AM241" s="239"/>
      <c r="AN241" s="239"/>
      <c r="AO241" s="239"/>
      <c r="AP241" s="239"/>
      <c r="AQ241" s="239"/>
      <c r="AR241" s="239"/>
      <c r="AS241" s="239"/>
      <c r="AT241" s="239"/>
      <c r="AU241" s="239"/>
      <c r="AV241" s="239"/>
      <c r="AW241" s="239"/>
      <c r="AX241" s="239"/>
      <c r="AY241" s="239"/>
      <c r="AZ241" s="239"/>
      <c r="BA241" s="239"/>
      <c r="BB241" s="239"/>
      <c r="BC241" s="239"/>
    </row>
    <row r="242">
      <c r="A242" s="239"/>
      <c r="B242" s="239"/>
      <c r="C242" s="239"/>
      <c r="D242" s="239"/>
      <c r="E242" s="239"/>
      <c r="F242" s="255"/>
      <c r="G242" s="239"/>
      <c r="H242" s="239"/>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c r="AK242" s="239"/>
      <c r="AL242" s="239"/>
      <c r="AM242" s="239"/>
      <c r="AN242" s="239"/>
      <c r="AO242" s="239"/>
      <c r="AP242" s="239"/>
      <c r="AQ242" s="239"/>
      <c r="AR242" s="239"/>
      <c r="AS242" s="239"/>
      <c r="AT242" s="239"/>
      <c r="AU242" s="239"/>
      <c r="AV242" s="239"/>
      <c r="AW242" s="239"/>
      <c r="AX242" s="239"/>
      <c r="AY242" s="239"/>
      <c r="AZ242" s="239"/>
      <c r="BA242" s="239"/>
      <c r="BB242" s="239"/>
      <c r="BC242" s="239"/>
    </row>
    <row r="243">
      <c r="A243" s="239"/>
      <c r="B243" s="239"/>
      <c r="C243" s="239"/>
      <c r="D243" s="239"/>
      <c r="E243" s="239"/>
      <c r="F243" s="255"/>
      <c r="G243" s="239"/>
      <c r="H243" s="239"/>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c r="AK243" s="239"/>
      <c r="AL243" s="239"/>
      <c r="AM243" s="239"/>
      <c r="AN243" s="239"/>
      <c r="AO243" s="239"/>
      <c r="AP243" s="239"/>
      <c r="AQ243" s="239"/>
      <c r="AR243" s="239"/>
      <c r="AS243" s="239"/>
      <c r="AT243" s="239"/>
      <c r="AU243" s="239"/>
      <c r="AV243" s="239"/>
      <c r="AW243" s="239"/>
      <c r="AX243" s="239"/>
      <c r="AY243" s="239"/>
      <c r="AZ243" s="239"/>
      <c r="BA243" s="239"/>
      <c r="BB243" s="239"/>
      <c r="BC243" s="239"/>
    </row>
    <row r="244">
      <c r="A244" s="239"/>
      <c r="B244" s="239"/>
      <c r="C244" s="239"/>
      <c r="D244" s="239"/>
      <c r="E244" s="239"/>
      <c r="F244" s="255"/>
      <c r="G244" s="239"/>
      <c r="H244" s="239"/>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c r="AK244" s="239"/>
      <c r="AL244" s="239"/>
      <c r="AM244" s="239"/>
      <c r="AN244" s="239"/>
      <c r="AO244" s="239"/>
      <c r="AP244" s="239"/>
      <c r="AQ244" s="239"/>
      <c r="AR244" s="239"/>
      <c r="AS244" s="239"/>
      <c r="AT244" s="239"/>
      <c r="AU244" s="239"/>
      <c r="AV244" s="239"/>
      <c r="AW244" s="239"/>
      <c r="AX244" s="239"/>
      <c r="AY244" s="239"/>
      <c r="AZ244" s="239"/>
      <c r="BA244" s="239"/>
      <c r="BB244" s="239"/>
      <c r="BC244" s="239"/>
    </row>
    <row r="245">
      <c r="A245" s="239"/>
      <c r="B245" s="239"/>
      <c r="C245" s="239"/>
      <c r="D245" s="239"/>
      <c r="E245" s="239"/>
      <c r="F245" s="255"/>
      <c r="G245" s="239"/>
      <c r="H245" s="239"/>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c r="AK245" s="239"/>
      <c r="AL245" s="239"/>
      <c r="AM245" s="239"/>
      <c r="AN245" s="239"/>
      <c r="AO245" s="239"/>
      <c r="AP245" s="239"/>
      <c r="AQ245" s="239"/>
      <c r="AR245" s="239"/>
      <c r="AS245" s="239"/>
      <c r="AT245" s="239"/>
      <c r="AU245" s="239"/>
      <c r="AV245" s="239"/>
      <c r="AW245" s="239"/>
      <c r="AX245" s="239"/>
      <c r="AY245" s="239"/>
      <c r="AZ245" s="239"/>
      <c r="BA245" s="239"/>
      <c r="BB245" s="239"/>
      <c r="BC245" s="239"/>
    </row>
    <row r="246">
      <c r="A246" s="239"/>
      <c r="B246" s="239"/>
      <c r="C246" s="239"/>
      <c r="D246" s="239"/>
      <c r="E246" s="239"/>
      <c r="F246" s="255"/>
      <c r="G246" s="239"/>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c r="AL246" s="239"/>
      <c r="AM246" s="239"/>
      <c r="AN246" s="239"/>
      <c r="AO246" s="239"/>
      <c r="AP246" s="239"/>
      <c r="AQ246" s="239"/>
      <c r="AR246" s="239"/>
      <c r="AS246" s="239"/>
      <c r="AT246" s="239"/>
      <c r="AU246" s="239"/>
      <c r="AV246" s="239"/>
      <c r="AW246" s="239"/>
      <c r="AX246" s="239"/>
      <c r="AY246" s="239"/>
      <c r="AZ246" s="239"/>
      <c r="BA246" s="239"/>
      <c r="BB246" s="239"/>
      <c r="BC246" s="239"/>
    </row>
    <row r="247">
      <c r="A247" s="239"/>
      <c r="B247" s="239"/>
      <c r="C247" s="239"/>
      <c r="D247" s="239"/>
      <c r="E247" s="239"/>
      <c r="F247" s="255"/>
      <c r="G247" s="239"/>
      <c r="H247" s="239"/>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c r="BA247" s="239"/>
      <c r="BB247" s="239"/>
      <c r="BC247" s="239"/>
    </row>
    <row r="248">
      <c r="A248" s="239"/>
      <c r="B248" s="239"/>
      <c r="C248" s="239"/>
      <c r="D248" s="239"/>
      <c r="E248" s="239"/>
      <c r="F248" s="255"/>
      <c r="G248" s="239"/>
      <c r="H248" s="239"/>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c r="AL248" s="239"/>
      <c r="AM248" s="239"/>
      <c r="AN248" s="239"/>
      <c r="AO248" s="239"/>
      <c r="AP248" s="239"/>
      <c r="AQ248" s="239"/>
      <c r="AR248" s="239"/>
      <c r="AS248" s="239"/>
      <c r="AT248" s="239"/>
      <c r="AU248" s="239"/>
      <c r="AV248" s="239"/>
      <c r="AW248" s="239"/>
      <c r="AX248" s="239"/>
      <c r="AY248" s="239"/>
      <c r="AZ248" s="239"/>
      <c r="BA248" s="239"/>
      <c r="BB248" s="239"/>
      <c r="BC248" s="239"/>
    </row>
    <row r="249">
      <c r="A249" s="239"/>
      <c r="B249" s="239"/>
      <c r="C249" s="239"/>
      <c r="D249" s="239"/>
      <c r="E249" s="239"/>
      <c r="F249" s="255"/>
      <c r="G249" s="239"/>
      <c r="H249" s="239"/>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c r="AL249" s="239"/>
      <c r="AM249" s="239"/>
      <c r="AN249" s="239"/>
      <c r="AO249" s="239"/>
      <c r="AP249" s="239"/>
      <c r="AQ249" s="239"/>
      <c r="AR249" s="239"/>
      <c r="AS249" s="239"/>
      <c r="AT249" s="239"/>
      <c r="AU249" s="239"/>
      <c r="AV249" s="239"/>
      <c r="AW249" s="239"/>
      <c r="AX249" s="239"/>
      <c r="AY249" s="239"/>
      <c r="AZ249" s="239"/>
      <c r="BA249" s="239"/>
      <c r="BB249" s="239"/>
      <c r="BC249" s="239"/>
    </row>
    <row r="250">
      <c r="A250" s="239"/>
      <c r="B250" s="239"/>
      <c r="C250" s="239"/>
      <c r="D250" s="239"/>
      <c r="E250" s="239"/>
      <c r="F250" s="255"/>
      <c r="G250" s="239"/>
      <c r="H250" s="239"/>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c r="AK250" s="239"/>
      <c r="AL250" s="239"/>
      <c r="AM250" s="239"/>
      <c r="AN250" s="239"/>
      <c r="AO250" s="239"/>
      <c r="AP250" s="239"/>
      <c r="AQ250" s="239"/>
      <c r="AR250" s="239"/>
      <c r="AS250" s="239"/>
      <c r="AT250" s="239"/>
      <c r="AU250" s="239"/>
      <c r="AV250" s="239"/>
      <c r="AW250" s="239"/>
      <c r="AX250" s="239"/>
      <c r="AY250" s="239"/>
      <c r="AZ250" s="239"/>
      <c r="BA250" s="239"/>
      <c r="BB250" s="239"/>
      <c r="BC250" s="239"/>
    </row>
    <row r="251">
      <c r="A251" s="239"/>
      <c r="B251" s="239"/>
      <c r="C251" s="239"/>
      <c r="D251" s="239"/>
      <c r="E251" s="239"/>
      <c r="F251" s="255"/>
      <c r="G251" s="239"/>
      <c r="H251" s="239"/>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c r="AL251" s="239"/>
      <c r="AM251" s="239"/>
      <c r="AN251" s="239"/>
      <c r="AO251" s="239"/>
      <c r="AP251" s="239"/>
      <c r="AQ251" s="239"/>
      <c r="AR251" s="239"/>
      <c r="AS251" s="239"/>
      <c r="AT251" s="239"/>
      <c r="AU251" s="239"/>
      <c r="AV251" s="239"/>
      <c r="AW251" s="239"/>
      <c r="AX251" s="239"/>
      <c r="AY251" s="239"/>
      <c r="AZ251" s="239"/>
      <c r="BA251" s="239"/>
      <c r="BB251" s="239"/>
      <c r="BC251" s="239"/>
    </row>
    <row r="252">
      <c r="A252" s="239"/>
      <c r="B252" s="239"/>
      <c r="C252" s="239"/>
      <c r="D252" s="239"/>
      <c r="E252" s="239"/>
      <c r="F252" s="255"/>
      <c r="G252" s="239"/>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c r="AL252" s="239"/>
      <c r="AM252" s="239"/>
      <c r="AN252" s="239"/>
      <c r="AO252" s="239"/>
      <c r="AP252" s="239"/>
      <c r="AQ252" s="239"/>
      <c r="AR252" s="239"/>
      <c r="AS252" s="239"/>
      <c r="AT252" s="239"/>
      <c r="AU252" s="239"/>
      <c r="AV252" s="239"/>
      <c r="AW252" s="239"/>
      <c r="AX252" s="239"/>
      <c r="AY252" s="239"/>
      <c r="AZ252" s="239"/>
      <c r="BA252" s="239"/>
      <c r="BB252" s="239"/>
      <c r="BC252" s="239"/>
    </row>
    <row r="253">
      <c r="A253" s="239"/>
      <c r="B253" s="239"/>
      <c r="C253" s="239"/>
      <c r="D253" s="239"/>
      <c r="E253" s="239"/>
      <c r="F253" s="255"/>
      <c r="G253" s="239"/>
      <c r="H253" s="239"/>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c r="AK253" s="239"/>
      <c r="AL253" s="239"/>
      <c r="AM253" s="239"/>
      <c r="AN253" s="239"/>
      <c r="AO253" s="239"/>
      <c r="AP253" s="239"/>
      <c r="AQ253" s="239"/>
      <c r="AR253" s="239"/>
      <c r="AS253" s="239"/>
      <c r="AT253" s="239"/>
      <c r="AU253" s="239"/>
      <c r="AV253" s="239"/>
      <c r="AW253" s="239"/>
      <c r="AX253" s="239"/>
      <c r="AY253" s="239"/>
      <c r="AZ253" s="239"/>
      <c r="BA253" s="239"/>
      <c r="BB253" s="239"/>
      <c r="BC253" s="239"/>
    </row>
    <row r="254">
      <c r="A254" s="239"/>
      <c r="B254" s="239"/>
      <c r="C254" s="239"/>
      <c r="D254" s="239"/>
      <c r="E254" s="239"/>
      <c r="F254" s="255"/>
      <c r="G254" s="239"/>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c r="AK254" s="239"/>
      <c r="AL254" s="239"/>
      <c r="AM254" s="239"/>
      <c r="AN254" s="239"/>
      <c r="AO254" s="239"/>
      <c r="AP254" s="239"/>
      <c r="AQ254" s="239"/>
      <c r="AR254" s="239"/>
      <c r="AS254" s="239"/>
      <c r="AT254" s="239"/>
      <c r="AU254" s="239"/>
      <c r="AV254" s="239"/>
      <c r="AW254" s="239"/>
      <c r="AX254" s="239"/>
      <c r="AY254" s="239"/>
      <c r="AZ254" s="239"/>
      <c r="BA254" s="239"/>
      <c r="BB254" s="239"/>
      <c r="BC254" s="239"/>
    </row>
    <row r="255">
      <c r="A255" s="239"/>
      <c r="B255" s="239"/>
      <c r="C255" s="239"/>
      <c r="D255" s="239"/>
      <c r="E255" s="239"/>
      <c r="F255" s="255"/>
      <c r="G255" s="239"/>
      <c r="H255" s="239"/>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c r="AK255" s="239"/>
      <c r="AL255" s="239"/>
      <c r="AM255" s="239"/>
      <c r="AN255" s="239"/>
      <c r="AO255" s="239"/>
      <c r="AP255" s="239"/>
      <c r="AQ255" s="239"/>
      <c r="AR255" s="239"/>
      <c r="AS255" s="239"/>
      <c r="AT255" s="239"/>
      <c r="AU255" s="239"/>
      <c r="AV255" s="239"/>
      <c r="AW255" s="239"/>
      <c r="AX255" s="239"/>
      <c r="AY255" s="239"/>
      <c r="AZ255" s="239"/>
      <c r="BA255" s="239"/>
      <c r="BB255" s="239"/>
      <c r="BC255" s="239"/>
    </row>
    <row r="256">
      <c r="A256" s="239"/>
      <c r="B256" s="239"/>
      <c r="C256" s="239"/>
      <c r="D256" s="239"/>
      <c r="E256" s="239"/>
      <c r="F256" s="255"/>
      <c r="G256" s="239"/>
      <c r="H256" s="239"/>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c r="AK256" s="239"/>
      <c r="AL256" s="239"/>
      <c r="AM256" s="239"/>
      <c r="AN256" s="239"/>
      <c r="AO256" s="239"/>
      <c r="AP256" s="239"/>
      <c r="AQ256" s="239"/>
      <c r="AR256" s="239"/>
      <c r="AS256" s="239"/>
      <c r="AT256" s="239"/>
      <c r="AU256" s="239"/>
      <c r="AV256" s="239"/>
      <c r="AW256" s="239"/>
      <c r="AX256" s="239"/>
      <c r="AY256" s="239"/>
      <c r="AZ256" s="239"/>
      <c r="BA256" s="239"/>
      <c r="BB256" s="239"/>
      <c r="BC256" s="239"/>
    </row>
    <row r="257">
      <c r="A257" s="239"/>
      <c r="B257" s="239"/>
      <c r="C257" s="239"/>
      <c r="D257" s="239"/>
      <c r="E257" s="239"/>
      <c r="F257" s="255"/>
      <c r="G257" s="239"/>
      <c r="H257" s="239"/>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c r="AK257" s="239"/>
      <c r="AL257" s="239"/>
      <c r="AM257" s="239"/>
      <c r="AN257" s="239"/>
      <c r="AO257" s="239"/>
      <c r="AP257" s="239"/>
      <c r="AQ257" s="239"/>
      <c r="AR257" s="239"/>
      <c r="AS257" s="239"/>
      <c r="AT257" s="239"/>
      <c r="AU257" s="239"/>
      <c r="AV257" s="239"/>
      <c r="AW257" s="239"/>
      <c r="AX257" s="239"/>
      <c r="AY257" s="239"/>
      <c r="AZ257" s="239"/>
      <c r="BA257" s="239"/>
      <c r="BB257" s="239"/>
      <c r="BC257" s="239"/>
    </row>
    <row r="258">
      <c r="A258" s="239"/>
      <c r="B258" s="239"/>
      <c r="C258" s="239"/>
      <c r="D258" s="239"/>
      <c r="E258" s="239"/>
      <c r="F258" s="255"/>
      <c r="G258" s="239"/>
      <c r="H258" s="239"/>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c r="AK258" s="239"/>
      <c r="AL258" s="239"/>
      <c r="AM258" s="239"/>
      <c r="AN258" s="239"/>
      <c r="AO258" s="239"/>
      <c r="AP258" s="239"/>
      <c r="AQ258" s="239"/>
      <c r="AR258" s="239"/>
      <c r="AS258" s="239"/>
      <c r="AT258" s="239"/>
      <c r="AU258" s="239"/>
      <c r="AV258" s="239"/>
      <c r="AW258" s="239"/>
      <c r="AX258" s="239"/>
      <c r="AY258" s="239"/>
      <c r="AZ258" s="239"/>
      <c r="BA258" s="239"/>
      <c r="BB258" s="239"/>
      <c r="BC258" s="239"/>
    </row>
    <row r="259">
      <c r="A259" s="239"/>
      <c r="B259" s="239"/>
      <c r="C259" s="239"/>
      <c r="D259" s="239"/>
      <c r="E259" s="239"/>
      <c r="F259" s="255"/>
      <c r="G259" s="239"/>
      <c r="H259" s="239"/>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c r="AK259" s="239"/>
      <c r="AL259" s="239"/>
      <c r="AM259" s="239"/>
      <c r="AN259" s="239"/>
      <c r="AO259" s="239"/>
      <c r="AP259" s="239"/>
      <c r="AQ259" s="239"/>
      <c r="AR259" s="239"/>
      <c r="AS259" s="239"/>
      <c r="AT259" s="239"/>
      <c r="AU259" s="239"/>
      <c r="AV259" s="239"/>
      <c r="AW259" s="239"/>
      <c r="AX259" s="239"/>
      <c r="AY259" s="239"/>
      <c r="AZ259" s="239"/>
      <c r="BA259" s="239"/>
      <c r="BB259" s="239"/>
      <c r="BC259" s="239"/>
    </row>
    <row r="260">
      <c r="A260" s="239"/>
      <c r="B260" s="239"/>
      <c r="C260" s="239"/>
      <c r="D260" s="239"/>
      <c r="E260" s="239"/>
      <c r="F260" s="255"/>
      <c r="G260" s="239"/>
      <c r="H260" s="239"/>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c r="AK260" s="239"/>
      <c r="AL260" s="239"/>
      <c r="AM260" s="239"/>
      <c r="AN260" s="239"/>
      <c r="AO260" s="239"/>
      <c r="AP260" s="239"/>
      <c r="AQ260" s="239"/>
      <c r="AR260" s="239"/>
      <c r="AS260" s="239"/>
      <c r="AT260" s="239"/>
      <c r="AU260" s="239"/>
      <c r="AV260" s="239"/>
      <c r="AW260" s="239"/>
      <c r="AX260" s="239"/>
      <c r="AY260" s="239"/>
      <c r="AZ260" s="239"/>
      <c r="BA260" s="239"/>
      <c r="BB260" s="239"/>
      <c r="BC260" s="239"/>
    </row>
    <row r="261">
      <c r="A261" s="239"/>
      <c r="B261" s="239"/>
      <c r="C261" s="239"/>
      <c r="D261" s="239"/>
      <c r="E261" s="239"/>
      <c r="F261" s="255"/>
      <c r="G261" s="239"/>
      <c r="H261" s="239"/>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c r="AK261" s="239"/>
      <c r="AL261" s="239"/>
      <c r="AM261" s="239"/>
      <c r="AN261" s="239"/>
      <c r="AO261" s="239"/>
      <c r="AP261" s="239"/>
      <c r="AQ261" s="239"/>
      <c r="AR261" s="239"/>
      <c r="AS261" s="239"/>
      <c r="AT261" s="239"/>
      <c r="AU261" s="239"/>
      <c r="AV261" s="239"/>
      <c r="AW261" s="239"/>
      <c r="AX261" s="239"/>
      <c r="AY261" s="239"/>
      <c r="AZ261" s="239"/>
      <c r="BA261" s="239"/>
      <c r="BB261" s="239"/>
      <c r="BC261" s="239"/>
    </row>
    <row r="262">
      <c r="A262" s="239"/>
      <c r="B262" s="239"/>
      <c r="C262" s="239"/>
      <c r="D262" s="239"/>
      <c r="E262" s="239"/>
      <c r="F262" s="255"/>
      <c r="G262" s="239"/>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c r="AK262" s="239"/>
      <c r="AL262" s="239"/>
      <c r="AM262" s="239"/>
      <c r="AN262" s="239"/>
      <c r="AO262" s="239"/>
      <c r="AP262" s="239"/>
      <c r="AQ262" s="239"/>
      <c r="AR262" s="239"/>
      <c r="AS262" s="239"/>
      <c r="AT262" s="239"/>
      <c r="AU262" s="239"/>
      <c r="AV262" s="239"/>
      <c r="AW262" s="239"/>
      <c r="AX262" s="239"/>
      <c r="AY262" s="239"/>
      <c r="AZ262" s="239"/>
      <c r="BA262" s="239"/>
      <c r="BB262" s="239"/>
      <c r="BC262" s="239"/>
    </row>
    <row r="263">
      <c r="A263" s="239"/>
      <c r="B263" s="239"/>
      <c r="C263" s="239"/>
      <c r="D263" s="239"/>
      <c r="E263" s="239"/>
      <c r="F263" s="255"/>
      <c r="G263" s="239"/>
      <c r="H263" s="239"/>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row>
    <row r="264">
      <c r="A264" s="239"/>
      <c r="B264" s="239"/>
      <c r="C264" s="239"/>
      <c r="D264" s="239"/>
      <c r="E264" s="239"/>
      <c r="F264" s="255"/>
      <c r="G264" s="239"/>
      <c r="H264" s="239"/>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row>
    <row r="265">
      <c r="A265" s="239"/>
      <c r="B265" s="239"/>
      <c r="C265" s="239"/>
      <c r="D265" s="239"/>
      <c r="E265" s="239"/>
      <c r="F265" s="255"/>
      <c r="G265" s="239"/>
      <c r="H265" s="239"/>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row>
    <row r="266">
      <c r="A266" s="239"/>
      <c r="B266" s="239"/>
      <c r="C266" s="239"/>
      <c r="D266" s="239"/>
      <c r="E266" s="239"/>
      <c r="F266" s="255"/>
      <c r="G266" s="239"/>
      <c r="H266" s="239"/>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row>
    <row r="267">
      <c r="A267" s="239"/>
      <c r="B267" s="239"/>
      <c r="C267" s="239"/>
      <c r="D267" s="239"/>
      <c r="E267" s="239"/>
      <c r="F267" s="255"/>
      <c r="G267" s="239"/>
      <c r="H267" s="239"/>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row>
    <row r="268">
      <c r="A268" s="239"/>
      <c r="B268" s="239"/>
      <c r="C268" s="239"/>
      <c r="D268" s="239"/>
      <c r="E268" s="239"/>
      <c r="F268" s="255"/>
      <c r="G268" s="239"/>
      <c r="H268" s="239"/>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row>
    <row r="269">
      <c r="A269" s="239"/>
      <c r="B269" s="239"/>
      <c r="C269" s="239"/>
      <c r="D269" s="239"/>
      <c r="E269" s="239"/>
      <c r="F269" s="255"/>
      <c r="G269" s="239"/>
      <c r="H269" s="239"/>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row>
    <row r="270">
      <c r="A270" s="239"/>
      <c r="B270" s="239"/>
      <c r="C270" s="239"/>
      <c r="D270" s="239"/>
      <c r="E270" s="239"/>
      <c r="F270" s="255"/>
      <c r="G270" s="239"/>
      <c r="H270" s="239"/>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row>
    <row r="271">
      <c r="A271" s="239"/>
      <c r="B271" s="239"/>
      <c r="C271" s="239"/>
      <c r="D271" s="239"/>
      <c r="E271" s="239"/>
      <c r="F271" s="255"/>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row>
    <row r="272">
      <c r="A272" s="239"/>
      <c r="B272" s="239"/>
      <c r="C272" s="239"/>
      <c r="D272" s="239"/>
      <c r="E272" s="239"/>
      <c r="F272" s="255"/>
      <c r="G272" s="239"/>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row>
    <row r="273">
      <c r="A273" s="239"/>
      <c r="B273" s="239"/>
      <c r="C273" s="239"/>
      <c r="D273" s="239"/>
      <c r="E273" s="239"/>
      <c r="F273" s="255"/>
      <c r="G273" s="239"/>
      <c r="H273" s="239"/>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row>
    <row r="274">
      <c r="A274" s="239"/>
      <c r="B274" s="239"/>
      <c r="C274" s="239"/>
      <c r="D274" s="239"/>
      <c r="E274" s="239"/>
      <c r="F274" s="255"/>
      <c r="G274" s="239"/>
      <c r="H274" s="239"/>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row>
    <row r="275">
      <c r="A275" s="239"/>
      <c r="B275" s="239"/>
      <c r="C275" s="239"/>
      <c r="D275" s="239"/>
      <c r="E275" s="239"/>
      <c r="F275" s="255"/>
      <c r="G275" s="239"/>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row>
    <row r="276">
      <c r="A276" s="239"/>
      <c r="B276" s="239"/>
      <c r="C276" s="239"/>
      <c r="D276" s="239"/>
      <c r="E276" s="239"/>
      <c r="F276" s="255"/>
      <c r="G276" s="239"/>
      <c r="H276" s="239"/>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row>
    <row r="277">
      <c r="A277" s="239"/>
      <c r="B277" s="239"/>
      <c r="C277" s="239"/>
      <c r="D277" s="239"/>
      <c r="E277" s="239"/>
      <c r="F277" s="255"/>
      <c r="G277" s="239"/>
      <c r="H277" s="239"/>
      <c r="I277" s="239"/>
      <c r="J277" s="239"/>
      <c r="K277" s="239"/>
      <c r="L277" s="239"/>
      <c r="M277" s="239"/>
      <c r="N277" s="239"/>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row>
    <row r="278">
      <c r="A278" s="239"/>
      <c r="B278" s="239"/>
      <c r="C278" s="239"/>
      <c r="D278" s="239"/>
      <c r="E278" s="239"/>
      <c r="F278" s="255"/>
      <c r="G278" s="239"/>
      <c r="H278" s="239"/>
      <c r="I278" s="239"/>
      <c r="J278" s="239"/>
      <c r="K278" s="239"/>
      <c r="L278" s="239"/>
      <c r="M278" s="239"/>
      <c r="N278" s="239"/>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row>
    <row r="279">
      <c r="A279" s="239"/>
      <c r="B279" s="239"/>
      <c r="C279" s="239"/>
      <c r="D279" s="239"/>
      <c r="E279" s="239"/>
      <c r="F279" s="255"/>
      <c r="G279" s="239"/>
      <c r="H279" s="239"/>
      <c r="I279" s="239"/>
      <c r="J279" s="239"/>
      <c r="K279" s="239"/>
      <c r="L279" s="239"/>
      <c r="M279" s="239"/>
      <c r="N279" s="239"/>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row>
    <row r="280">
      <c r="A280" s="239"/>
      <c r="B280" s="239"/>
      <c r="C280" s="239"/>
      <c r="D280" s="239"/>
      <c r="E280" s="239"/>
      <c r="F280" s="255"/>
      <c r="G280" s="239"/>
      <c r="H280" s="239"/>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row>
    <row r="281">
      <c r="A281" s="239"/>
      <c r="B281" s="239"/>
      <c r="C281" s="239"/>
      <c r="D281" s="239"/>
      <c r="E281" s="239"/>
      <c r="F281" s="255"/>
      <c r="G281" s="239"/>
      <c r="H281" s="239"/>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row>
    <row r="282">
      <c r="A282" s="239"/>
      <c r="B282" s="239"/>
      <c r="C282" s="239"/>
      <c r="D282" s="239"/>
      <c r="E282" s="239"/>
      <c r="F282" s="255"/>
      <c r="G282" s="239"/>
      <c r="H282" s="239"/>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row>
    <row r="283">
      <c r="A283" s="239"/>
      <c r="B283" s="239"/>
      <c r="C283" s="239"/>
      <c r="D283" s="239"/>
      <c r="E283" s="239"/>
      <c r="F283" s="255"/>
      <c r="G283" s="239"/>
      <c r="H283" s="239"/>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row>
    <row r="284">
      <c r="A284" s="239"/>
      <c r="B284" s="239"/>
      <c r="C284" s="239"/>
      <c r="D284" s="239"/>
      <c r="E284" s="239"/>
      <c r="F284" s="255"/>
      <c r="G284" s="239"/>
      <c r="H284" s="239"/>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row>
    <row r="285">
      <c r="A285" s="239"/>
      <c r="B285" s="239"/>
      <c r="C285" s="239"/>
      <c r="D285" s="239"/>
      <c r="E285" s="239"/>
      <c r="F285" s="255"/>
      <c r="G285" s="239"/>
      <c r="H285" s="239"/>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row>
    <row r="286">
      <c r="A286" s="239"/>
      <c r="B286" s="239"/>
      <c r="C286" s="239"/>
      <c r="D286" s="239"/>
      <c r="E286" s="239"/>
      <c r="F286" s="255"/>
      <c r="G286" s="239"/>
      <c r="H286" s="239"/>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row>
    <row r="287">
      <c r="A287" s="239"/>
      <c r="B287" s="239"/>
      <c r="C287" s="239"/>
      <c r="D287" s="239"/>
      <c r="E287" s="239"/>
      <c r="F287" s="255"/>
      <c r="G287" s="239"/>
      <c r="H287" s="239"/>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row>
    <row r="288">
      <c r="A288" s="239"/>
      <c r="B288" s="239"/>
      <c r="C288" s="239"/>
      <c r="D288" s="239"/>
      <c r="E288" s="239"/>
      <c r="F288" s="255"/>
      <c r="G288" s="239"/>
      <c r="H288" s="239"/>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row>
    <row r="289">
      <c r="A289" s="239"/>
      <c r="B289" s="239"/>
      <c r="C289" s="239"/>
      <c r="D289" s="239"/>
      <c r="E289" s="239"/>
      <c r="F289" s="255"/>
      <c r="G289" s="239"/>
      <c r="H289" s="239"/>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row>
    <row r="290">
      <c r="A290" s="239"/>
      <c r="B290" s="239"/>
      <c r="C290" s="239"/>
      <c r="D290" s="239"/>
      <c r="E290" s="239"/>
      <c r="F290" s="255"/>
      <c r="G290" s="239"/>
      <c r="H290" s="239"/>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row>
    <row r="291">
      <c r="A291" s="239"/>
      <c r="B291" s="239"/>
      <c r="C291" s="239"/>
      <c r="D291" s="239"/>
      <c r="E291" s="239"/>
      <c r="F291" s="255"/>
      <c r="G291" s="239"/>
      <c r="H291" s="239"/>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row>
    <row r="292">
      <c r="A292" s="239"/>
      <c r="B292" s="239"/>
      <c r="C292" s="239"/>
      <c r="D292" s="239"/>
      <c r="E292" s="239"/>
      <c r="F292" s="255"/>
      <c r="G292" s="239"/>
      <c r="H292" s="239"/>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row>
    <row r="293">
      <c r="A293" s="239"/>
      <c r="B293" s="239"/>
      <c r="C293" s="239"/>
      <c r="D293" s="239"/>
      <c r="E293" s="239"/>
      <c r="F293" s="255"/>
      <c r="G293" s="239"/>
      <c r="H293" s="239"/>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row>
    <row r="294">
      <c r="A294" s="239"/>
      <c r="B294" s="239"/>
      <c r="C294" s="239"/>
      <c r="D294" s="239"/>
      <c r="E294" s="239"/>
      <c r="F294" s="255"/>
      <c r="G294" s="239"/>
      <c r="H294" s="239"/>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row>
    <row r="295">
      <c r="A295" s="239"/>
      <c r="B295" s="239"/>
      <c r="C295" s="239"/>
      <c r="D295" s="239"/>
      <c r="E295" s="239"/>
      <c r="F295" s="255"/>
      <c r="G295" s="239"/>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row>
    <row r="296">
      <c r="A296" s="239"/>
      <c r="B296" s="239"/>
      <c r="C296" s="239"/>
      <c r="D296" s="239"/>
      <c r="E296" s="239"/>
      <c r="F296" s="255"/>
      <c r="G296" s="239"/>
      <c r="H296" s="239"/>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row>
    <row r="297">
      <c r="A297" s="239"/>
      <c r="B297" s="239"/>
      <c r="C297" s="239"/>
      <c r="D297" s="239"/>
      <c r="E297" s="239"/>
      <c r="F297" s="255"/>
      <c r="G297" s="239"/>
      <c r="H297" s="239"/>
      <c r="I297" s="239"/>
      <c r="J297" s="239"/>
      <c r="K297" s="239"/>
      <c r="L297" s="239"/>
      <c r="M297" s="239"/>
      <c r="N297" s="239"/>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row>
    <row r="298">
      <c r="A298" s="239"/>
      <c r="B298" s="239"/>
      <c r="C298" s="239"/>
      <c r="D298" s="239"/>
      <c r="E298" s="239"/>
      <c r="F298" s="255"/>
      <c r="G298" s="239"/>
      <c r="H298" s="239"/>
      <c r="I298" s="239"/>
      <c r="J298" s="239"/>
      <c r="K298" s="239"/>
      <c r="L298" s="239"/>
      <c r="M298" s="239"/>
      <c r="N298" s="239"/>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row>
    <row r="299">
      <c r="A299" s="239"/>
      <c r="B299" s="239"/>
      <c r="C299" s="239"/>
      <c r="D299" s="239"/>
      <c r="E299" s="239"/>
      <c r="F299" s="255"/>
      <c r="G299" s="239"/>
      <c r="H299" s="239"/>
      <c r="I299" s="239"/>
      <c r="J299" s="239"/>
      <c r="K299" s="239"/>
      <c r="L299" s="239"/>
      <c r="M299" s="239"/>
      <c r="N299" s="239"/>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row>
    <row r="300">
      <c r="A300" s="239"/>
      <c r="B300" s="239"/>
      <c r="C300" s="239"/>
      <c r="D300" s="239"/>
      <c r="E300" s="239"/>
      <c r="F300" s="255"/>
      <c r="G300" s="239"/>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row>
    <row r="301">
      <c r="A301" s="239"/>
      <c r="B301" s="239"/>
      <c r="C301" s="239"/>
      <c r="D301" s="239"/>
      <c r="E301" s="239"/>
      <c r="F301" s="255"/>
      <c r="G301" s="239"/>
      <c r="H301" s="239"/>
      <c r="I301" s="239"/>
      <c r="J301" s="239"/>
      <c r="K301" s="239"/>
      <c r="L301" s="239"/>
      <c r="M301" s="239"/>
      <c r="N301" s="239"/>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row>
    <row r="302">
      <c r="A302" s="239"/>
      <c r="B302" s="239"/>
      <c r="C302" s="239"/>
      <c r="D302" s="239"/>
      <c r="E302" s="239"/>
      <c r="F302" s="255"/>
      <c r="G302" s="239"/>
      <c r="H302" s="239"/>
      <c r="I302" s="239"/>
      <c r="J302" s="239"/>
      <c r="K302" s="239"/>
      <c r="L302" s="239"/>
      <c r="M302" s="239"/>
      <c r="N302" s="239"/>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row>
    <row r="303">
      <c r="A303" s="239"/>
      <c r="B303" s="239"/>
      <c r="C303" s="239"/>
      <c r="D303" s="239"/>
      <c r="E303" s="239"/>
      <c r="F303" s="255"/>
      <c r="G303" s="239"/>
      <c r="H303" s="239"/>
      <c r="I303" s="239"/>
      <c r="J303" s="239"/>
      <c r="K303" s="239"/>
      <c r="L303" s="239"/>
      <c r="M303" s="239"/>
      <c r="N303" s="239"/>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row>
    <row r="304">
      <c r="A304" s="239"/>
      <c r="B304" s="239"/>
      <c r="C304" s="239"/>
      <c r="D304" s="239"/>
      <c r="E304" s="239"/>
      <c r="F304" s="255"/>
      <c r="G304" s="239"/>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row>
    <row r="305">
      <c r="A305" s="239"/>
      <c r="B305" s="239"/>
      <c r="C305" s="239"/>
      <c r="D305" s="239"/>
      <c r="E305" s="239"/>
      <c r="F305" s="255"/>
      <c r="G305" s="239"/>
      <c r="H305" s="239"/>
      <c r="I305" s="239"/>
      <c r="J305" s="239"/>
      <c r="K305" s="239"/>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row>
    <row r="306">
      <c r="A306" s="239"/>
      <c r="B306" s="239"/>
      <c r="C306" s="239"/>
      <c r="D306" s="239"/>
      <c r="E306" s="239"/>
      <c r="F306" s="255"/>
      <c r="G306" s="239"/>
      <c r="H306" s="239"/>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row>
    <row r="307">
      <c r="A307" s="239"/>
      <c r="B307" s="239"/>
      <c r="C307" s="239"/>
      <c r="D307" s="239"/>
      <c r="E307" s="239"/>
      <c r="F307" s="255"/>
      <c r="G307" s="239"/>
      <c r="H307" s="239"/>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row>
    <row r="308">
      <c r="A308" s="239"/>
      <c r="B308" s="239"/>
      <c r="C308" s="239"/>
      <c r="D308" s="239"/>
      <c r="E308" s="239"/>
      <c r="F308" s="255"/>
      <c r="G308" s="239"/>
      <c r="H308" s="239"/>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row>
    <row r="309">
      <c r="A309" s="239"/>
      <c r="B309" s="239"/>
      <c r="C309" s="239"/>
      <c r="D309" s="239"/>
      <c r="E309" s="239"/>
      <c r="F309" s="255"/>
      <c r="G309" s="239"/>
      <c r="H309" s="239"/>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row>
    <row r="310">
      <c r="A310" s="239"/>
      <c r="B310" s="239"/>
      <c r="C310" s="239"/>
      <c r="D310" s="239"/>
      <c r="E310" s="239"/>
      <c r="F310" s="255"/>
      <c r="G310" s="239"/>
      <c r="H310" s="239"/>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row>
    <row r="311">
      <c r="A311" s="239"/>
      <c r="B311" s="239"/>
      <c r="C311" s="239"/>
      <c r="D311" s="239"/>
      <c r="E311" s="239"/>
      <c r="F311" s="255"/>
      <c r="G311" s="239"/>
      <c r="H311" s="239"/>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row>
    <row r="312">
      <c r="A312" s="239"/>
      <c r="B312" s="239"/>
      <c r="C312" s="239"/>
      <c r="D312" s="239"/>
      <c r="E312" s="239"/>
      <c r="F312" s="255"/>
      <c r="G312" s="239"/>
      <c r="H312" s="239"/>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row>
    <row r="313">
      <c r="A313" s="239"/>
      <c r="B313" s="239"/>
      <c r="C313" s="239"/>
      <c r="D313" s="239"/>
      <c r="E313" s="239"/>
      <c r="F313" s="255"/>
      <c r="G313" s="239"/>
      <c r="H313" s="239"/>
      <c r="I313" s="239"/>
      <c r="J313" s="239"/>
      <c r="K313" s="239"/>
      <c r="L313" s="239"/>
      <c r="M313" s="239"/>
      <c r="N313" s="239"/>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row>
    <row r="314">
      <c r="A314" s="239"/>
      <c r="B314" s="239"/>
      <c r="C314" s="239"/>
      <c r="D314" s="239"/>
      <c r="E314" s="239"/>
      <c r="F314" s="255"/>
      <c r="G314" s="239"/>
      <c r="H314" s="239"/>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row>
    <row r="315">
      <c r="A315" s="239"/>
      <c r="B315" s="239"/>
      <c r="C315" s="239"/>
      <c r="D315" s="239"/>
      <c r="E315" s="239"/>
      <c r="F315" s="255"/>
      <c r="G315" s="239"/>
      <c r="H315" s="239"/>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row>
    <row r="316">
      <c r="A316" s="239"/>
      <c r="B316" s="239"/>
      <c r="C316" s="239"/>
      <c r="D316" s="239"/>
      <c r="E316" s="239"/>
      <c r="F316" s="255"/>
      <c r="G316" s="239"/>
      <c r="H316" s="239"/>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row>
    <row r="317">
      <c r="A317" s="239"/>
      <c r="B317" s="239"/>
      <c r="C317" s="239"/>
      <c r="D317" s="239"/>
      <c r="E317" s="239"/>
      <c r="F317" s="255"/>
      <c r="G317" s="239"/>
      <c r="H317" s="239"/>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row>
    <row r="318">
      <c r="A318" s="239"/>
      <c r="B318" s="239"/>
      <c r="C318" s="239"/>
      <c r="D318" s="239"/>
      <c r="E318" s="239"/>
      <c r="F318" s="255"/>
      <c r="G318" s="239"/>
      <c r="H318" s="239"/>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row>
    <row r="319">
      <c r="A319" s="239"/>
      <c r="B319" s="239"/>
      <c r="C319" s="239"/>
      <c r="D319" s="239"/>
      <c r="E319" s="239"/>
      <c r="F319" s="255"/>
      <c r="G319" s="239"/>
      <c r="H319" s="239"/>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row>
    <row r="320">
      <c r="A320" s="239"/>
      <c r="B320" s="239"/>
      <c r="C320" s="239"/>
      <c r="D320" s="239"/>
      <c r="E320" s="239"/>
      <c r="F320" s="255"/>
      <c r="G320" s="239"/>
      <c r="H320" s="239"/>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row>
    <row r="321">
      <c r="A321" s="239"/>
      <c r="B321" s="239"/>
      <c r="C321" s="239"/>
      <c r="D321" s="239"/>
      <c r="E321" s="239"/>
      <c r="F321" s="255"/>
      <c r="G321" s="239"/>
      <c r="H321" s="239"/>
      <c r="I321" s="239"/>
      <c r="J321" s="239"/>
      <c r="K321" s="239"/>
      <c r="L321" s="239"/>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row>
    <row r="322">
      <c r="A322" s="239"/>
      <c r="B322" s="239"/>
      <c r="C322" s="239"/>
      <c r="D322" s="239"/>
      <c r="E322" s="239"/>
      <c r="F322" s="255"/>
      <c r="G322" s="239"/>
      <c r="H322" s="239"/>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row>
    <row r="323">
      <c r="A323" s="239"/>
      <c r="B323" s="239"/>
      <c r="C323" s="239"/>
      <c r="D323" s="239"/>
      <c r="E323" s="239"/>
      <c r="F323" s="255"/>
      <c r="G323" s="239"/>
      <c r="H323" s="239"/>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row>
    <row r="324">
      <c r="A324" s="239"/>
      <c r="B324" s="239"/>
      <c r="C324" s="239"/>
      <c r="D324" s="239"/>
      <c r="E324" s="239"/>
      <c r="F324" s="255"/>
      <c r="G324" s="239"/>
      <c r="H324" s="239"/>
      <c r="I324" s="239"/>
      <c r="J324" s="239"/>
      <c r="K324" s="239"/>
      <c r="L324" s="239"/>
      <c r="M324" s="239"/>
      <c r="N324" s="239"/>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row>
    <row r="325">
      <c r="A325" s="239"/>
      <c r="B325" s="239"/>
      <c r="C325" s="239"/>
      <c r="D325" s="239"/>
      <c r="E325" s="239"/>
      <c r="F325" s="255"/>
      <c r="G325" s="239"/>
      <c r="H325" s="239"/>
      <c r="I325" s="239"/>
      <c r="J325" s="239"/>
      <c r="K325" s="239"/>
      <c r="L325" s="239"/>
      <c r="M325" s="239"/>
      <c r="N325" s="239"/>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row>
    <row r="326">
      <c r="A326" s="239"/>
      <c r="B326" s="239"/>
      <c r="C326" s="239"/>
      <c r="D326" s="239"/>
      <c r="E326" s="239"/>
      <c r="F326" s="255"/>
      <c r="G326" s="239"/>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row>
    <row r="327">
      <c r="A327" s="239"/>
      <c r="B327" s="239"/>
      <c r="C327" s="239"/>
      <c r="D327" s="239"/>
      <c r="E327" s="239"/>
      <c r="F327" s="255"/>
      <c r="G327" s="239"/>
      <c r="H327" s="239"/>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row>
    <row r="328">
      <c r="A328" s="239"/>
      <c r="B328" s="239"/>
      <c r="C328" s="239"/>
      <c r="D328" s="239"/>
      <c r="E328" s="239"/>
      <c r="F328" s="255"/>
      <c r="G328" s="239"/>
      <c r="H328" s="239"/>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row>
    <row r="329">
      <c r="A329" s="239"/>
      <c r="B329" s="239"/>
      <c r="C329" s="239"/>
      <c r="D329" s="239"/>
      <c r="E329" s="239"/>
      <c r="F329" s="255"/>
      <c r="G329" s="239"/>
      <c r="H329" s="239"/>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row>
    <row r="330">
      <c r="A330" s="239"/>
      <c r="B330" s="239"/>
      <c r="C330" s="239"/>
      <c r="D330" s="239"/>
      <c r="E330" s="239"/>
      <c r="F330" s="255"/>
      <c r="G330" s="239"/>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row>
    <row r="331">
      <c r="A331" s="239"/>
      <c r="B331" s="239"/>
      <c r="C331" s="239"/>
      <c r="D331" s="239"/>
      <c r="E331" s="239"/>
      <c r="F331" s="255"/>
      <c r="G331" s="239"/>
      <c r="H331" s="239"/>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row>
    <row r="332">
      <c r="A332" s="239"/>
      <c r="B332" s="239"/>
      <c r="C332" s="239"/>
      <c r="D332" s="239"/>
      <c r="E332" s="239"/>
      <c r="F332" s="255"/>
      <c r="G332" s="239"/>
      <c r="H332" s="239"/>
      <c r="I332" s="239"/>
      <c r="J332" s="239"/>
      <c r="K332" s="239"/>
      <c r="L332" s="239"/>
      <c r="M332" s="239"/>
      <c r="N332" s="239"/>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row>
    <row r="333">
      <c r="A333" s="239"/>
      <c r="B333" s="239"/>
      <c r="C333" s="239"/>
      <c r="D333" s="239"/>
      <c r="E333" s="239"/>
      <c r="F333" s="255"/>
      <c r="G333" s="239"/>
      <c r="H333" s="239"/>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row>
    <row r="334">
      <c r="A334" s="239"/>
      <c r="B334" s="239"/>
      <c r="C334" s="239"/>
      <c r="D334" s="239"/>
      <c r="E334" s="239"/>
      <c r="F334" s="255"/>
      <c r="G334" s="239"/>
      <c r="H334" s="239"/>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row>
    <row r="335">
      <c r="A335" s="239"/>
      <c r="B335" s="239"/>
      <c r="C335" s="239"/>
      <c r="D335" s="239"/>
      <c r="E335" s="239"/>
      <c r="F335" s="255"/>
      <c r="G335" s="239"/>
      <c r="H335" s="239"/>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row>
    <row r="336">
      <c r="A336" s="239"/>
      <c r="B336" s="239"/>
      <c r="C336" s="239"/>
      <c r="D336" s="239"/>
      <c r="E336" s="239"/>
      <c r="F336" s="255"/>
      <c r="G336" s="239"/>
      <c r="H336" s="239"/>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row>
    <row r="337">
      <c r="A337" s="239"/>
      <c r="B337" s="239"/>
      <c r="C337" s="239"/>
      <c r="D337" s="239"/>
      <c r="E337" s="239"/>
      <c r="F337" s="255"/>
      <c r="G337" s="239"/>
      <c r="H337" s="239"/>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row>
    <row r="338">
      <c r="A338" s="239"/>
      <c r="B338" s="239"/>
      <c r="C338" s="239"/>
      <c r="D338" s="239"/>
      <c r="E338" s="239"/>
      <c r="F338" s="255"/>
      <c r="G338" s="239"/>
      <c r="H338" s="239"/>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row>
    <row r="339">
      <c r="A339" s="239"/>
      <c r="B339" s="239"/>
      <c r="C339" s="239"/>
      <c r="D339" s="239"/>
      <c r="E339" s="239"/>
      <c r="F339" s="255"/>
      <c r="G339" s="239"/>
      <c r="H339" s="239"/>
      <c r="I339" s="239"/>
      <c r="J339" s="239"/>
      <c r="K339" s="239"/>
      <c r="L339" s="239"/>
      <c r="M339" s="239"/>
      <c r="N339" s="239"/>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row>
    <row r="340">
      <c r="A340" s="239"/>
      <c r="B340" s="239"/>
      <c r="C340" s="239"/>
      <c r="D340" s="239"/>
      <c r="E340" s="239"/>
      <c r="F340" s="255"/>
      <c r="G340" s="239"/>
      <c r="H340" s="239"/>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row>
    <row r="341">
      <c r="A341" s="239"/>
      <c r="B341" s="239"/>
      <c r="C341" s="239"/>
      <c r="D341" s="239"/>
      <c r="E341" s="239"/>
      <c r="F341" s="255"/>
      <c r="G341" s="239"/>
      <c r="H341" s="239"/>
      <c r="I341" s="239"/>
      <c r="J341" s="239"/>
      <c r="K341" s="239"/>
      <c r="L341" s="239"/>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row>
    <row r="342">
      <c r="A342" s="239"/>
      <c r="B342" s="239"/>
      <c r="C342" s="239"/>
      <c r="D342" s="239"/>
      <c r="E342" s="239"/>
      <c r="F342" s="255"/>
      <c r="G342" s="239"/>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row>
    <row r="343">
      <c r="A343" s="239"/>
      <c r="B343" s="239"/>
      <c r="C343" s="239"/>
      <c r="D343" s="239"/>
      <c r="E343" s="239"/>
      <c r="F343" s="255"/>
      <c r="G343" s="239"/>
      <c r="H343" s="239"/>
      <c r="I343" s="239"/>
      <c r="J343" s="239"/>
      <c r="K343" s="239"/>
      <c r="L343" s="239"/>
      <c r="M343" s="239"/>
      <c r="N343" s="239"/>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row>
    <row r="344">
      <c r="A344" s="239"/>
      <c r="B344" s="239"/>
      <c r="C344" s="239"/>
      <c r="D344" s="239"/>
      <c r="E344" s="239"/>
      <c r="F344" s="255"/>
      <c r="G344" s="239"/>
      <c r="H344" s="239"/>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row>
    <row r="345">
      <c r="A345" s="239"/>
      <c r="B345" s="239"/>
      <c r="C345" s="239"/>
      <c r="D345" s="239"/>
      <c r="E345" s="239"/>
      <c r="F345" s="255"/>
      <c r="G345" s="239"/>
      <c r="H345" s="239"/>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row>
    <row r="346">
      <c r="A346" s="239"/>
      <c r="B346" s="239"/>
      <c r="C346" s="239"/>
      <c r="D346" s="239"/>
      <c r="E346" s="239"/>
      <c r="F346" s="255"/>
      <c r="G346" s="239"/>
      <c r="H346" s="239"/>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row>
    <row r="347">
      <c r="A347" s="239"/>
      <c r="B347" s="239"/>
      <c r="C347" s="239"/>
      <c r="D347" s="239"/>
      <c r="E347" s="239"/>
      <c r="F347" s="255"/>
      <c r="G347" s="239"/>
      <c r="H347" s="239"/>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row>
    <row r="348">
      <c r="A348" s="239"/>
      <c r="B348" s="239"/>
      <c r="C348" s="239"/>
      <c r="D348" s="239"/>
      <c r="E348" s="239"/>
      <c r="F348" s="255"/>
      <c r="G348" s="239"/>
      <c r="H348" s="239"/>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row>
    <row r="349">
      <c r="A349" s="239"/>
      <c r="B349" s="239"/>
      <c r="C349" s="239"/>
      <c r="D349" s="239"/>
      <c r="E349" s="239"/>
      <c r="F349" s="255"/>
      <c r="G349" s="239"/>
      <c r="H349" s="239"/>
      <c r="I349" s="239"/>
      <c r="J349" s="239"/>
      <c r="K349" s="239"/>
      <c r="L349" s="239"/>
      <c r="M349" s="239"/>
      <c r="N349" s="239"/>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row>
    <row r="350">
      <c r="A350" s="239"/>
      <c r="B350" s="239"/>
      <c r="C350" s="239"/>
      <c r="D350" s="239"/>
      <c r="E350" s="239"/>
      <c r="F350" s="255"/>
      <c r="G350" s="239"/>
      <c r="H350" s="239"/>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row>
    <row r="351">
      <c r="A351" s="239"/>
      <c r="B351" s="239"/>
      <c r="C351" s="239"/>
      <c r="D351" s="239"/>
      <c r="E351" s="239"/>
      <c r="F351" s="255"/>
      <c r="G351" s="239"/>
      <c r="H351" s="239"/>
      <c r="I351" s="239"/>
      <c r="J351" s="239"/>
      <c r="K351" s="239"/>
      <c r="L351" s="239"/>
      <c r="M351" s="239"/>
      <c r="N351" s="239"/>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row>
    <row r="352">
      <c r="A352" s="239"/>
      <c r="B352" s="239"/>
      <c r="C352" s="239"/>
      <c r="D352" s="239"/>
      <c r="E352" s="239"/>
      <c r="F352" s="255"/>
      <c r="G352" s="239"/>
      <c r="H352" s="239"/>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row>
    <row r="353">
      <c r="A353" s="239"/>
      <c r="B353" s="239"/>
      <c r="C353" s="239"/>
      <c r="D353" s="239"/>
      <c r="E353" s="239"/>
      <c r="F353" s="255"/>
      <c r="G353" s="239"/>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row>
    <row r="354">
      <c r="A354" s="239"/>
      <c r="B354" s="239"/>
      <c r="C354" s="239"/>
      <c r="D354" s="239"/>
      <c r="E354" s="239"/>
      <c r="F354" s="255"/>
      <c r="G354" s="239"/>
      <c r="H354" s="239"/>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row>
    <row r="355">
      <c r="A355" s="239"/>
      <c r="B355" s="239"/>
      <c r="C355" s="239"/>
      <c r="D355" s="239"/>
      <c r="E355" s="239"/>
      <c r="F355" s="255"/>
      <c r="G355" s="239"/>
      <c r="H355" s="239"/>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row>
    <row r="356">
      <c r="A356" s="239"/>
      <c r="B356" s="239"/>
      <c r="C356" s="239"/>
      <c r="D356" s="239"/>
      <c r="E356" s="239"/>
      <c r="F356" s="255"/>
      <c r="G356" s="239"/>
      <c r="H356" s="239"/>
      <c r="I356" s="239"/>
      <c r="J356" s="239"/>
      <c r="K356" s="239"/>
      <c r="L356" s="239"/>
      <c r="M356" s="239"/>
      <c r="N356" s="239"/>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row>
    <row r="357">
      <c r="A357" s="239"/>
      <c r="B357" s="239"/>
      <c r="C357" s="239"/>
      <c r="D357" s="239"/>
      <c r="E357" s="239"/>
      <c r="F357" s="255"/>
      <c r="G357" s="239"/>
      <c r="H357" s="239"/>
      <c r="I357" s="239"/>
      <c r="J357" s="239"/>
      <c r="K357" s="239"/>
      <c r="L357" s="239"/>
      <c r="M357" s="239"/>
      <c r="N357" s="239"/>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row>
    <row r="358">
      <c r="A358" s="239"/>
      <c r="B358" s="239"/>
      <c r="C358" s="239"/>
      <c r="D358" s="239"/>
      <c r="E358" s="239"/>
      <c r="F358" s="255"/>
      <c r="G358" s="239"/>
      <c r="H358" s="239"/>
      <c r="I358" s="239"/>
      <c r="J358" s="239"/>
      <c r="K358" s="239"/>
      <c r="L358" s="239"/>
      <c r="M358" s="239"/>
      <c r="N358" s="239"/>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row>
    <row r="359">
      <c r="A359" s="239"/>
      <c r="B359" s="239"/>
      <c r="C359" s="239"/>
      <c r="D359" s="239"/>
      <c r="E359" s="239"/>
      <c r="F359" s="255"/>
      <c r="G359" s="239"/>
      <c r="H359" s="239"/>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row>
    <row r="360">
      <c r="A360" s="239"/>
      <c r="B360" s="239"/>
      <c r="C360" s="239"/>
      <c r="D360" s="239"/>
      <c r="E360" s="239"/>
      <c r="F360" s="255"/>
      <c r="G360" s="239"/>
      <c r="H360" s="239"/>
      <c r="I360" s="239"/>
      <c r="J360" s="239"/>
      <c r="K360" s="239"/>
      <c r="L360" s="239"/>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row>
    <row r="361">
      <c r="A361" s="239"/>
      <c r="B361" s="239"/>
      <c r="C361" s="239"/>
      <c r="D361" s="239"/>
      <c r="E361" s="239"/>
      <c r="F361" s="255"/>
      <c r="G361" s="239"/>
      <c r="H361" s="239"/>
      <c r="I361" s="239"/>
      <c r="J361" s="239"/>
      <c r="K361" s="239"/>
      <c r="L361" s="239"/>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row>
    <row r="362">
      <c r="A362" s="239"/>
      <c r="B362" s="239"/>
      <c r="C362" s="239"/>
      <c r="D362" s="239"/>
      <c r="E362" s="239"/>
      <c r="F362" s="255"/>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row>
    <row r="363">
      <c r="A363" s="239"/>
      <c r="B363" s="239"/>
      <c r="C363" s="239"/>
      <c r="D363" s="239"/>
      <c r="E363" s="239"/>
      <c r="F363" s="255"/>
      <c r="G363" s="239"/>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row>
    <row r="364">
      <c r="A364" s="239"/>
      <c r="B364" s="239"/>
      <c r="C364" s="239"/>
      <c r="D364" s="239"/>
      <c r="E364" s="239"/>
      <c r="F364" s="255"/>
      <c r="G364" s="239"/>
      <c r="H364" s="239"/>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row>
    <row r="365">
      <c r="A365" s="239"/>
      <c r="B365" s="239"/>
      <c r="C365" s="239"/>
      <c r="D365" s="239"/>
      <c r="E365" s="239"/>
      <c r="F365" s="255"/>
      <c r="G365" s="239"/>
      <c r="H365" s="239"/>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row>
    <row r="366">
      <c r="A366" s="239"/>
      <c r="B366" s="239"/>
      <c r="C366" s="239"/>
      <c r="D366" s="239"/>
      <c r="E366" s="239"/>
      <c r="F366" s="255"/>
      <c r="G366" s="239"/>
      <c r="H366" s="239"/>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row>
    <row r="367">
      <c r="A367" s="239"/>
      <c r="B367" s="239"/>
      <c r="C367" s="239"/>
      <c r="D367" s="239"/>
      <c r="E367" s="239"/>
      <c r="F367" s="255"/>
      <c r="G367" s="239"/>
      <c r="H367" s="239"/>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row>
    <row r="368">
      <c r="A368" s="239"/>
      <c r="B368" s="239"/>
      <c r="C368" s="239"/>
      <c r="D368" s="239"/>
      <c r="E368" s="239"/>
      <c r="F368" s="255"/>
      <c r="G368" s="239"/>
      <c r="H368" s="239"/>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row>
    <row r="369">
      <c r="A369" s="239"/>
      <c r="B369" s="239"/>
      <c r="C369" s="239"/>
      <c r="D369" s="239"/>
      <c r="E369" s="239"/>
      <c r="F369" s="255"/>
      <c r="G369" s="239"/>
      <c r="H369" s="239"/>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row>
    <row r="370">
      <c r="A370" s="239"/>
      <c r="B370" s="239"/>
      <c r="C370" s="239"/>
      <c r="D370" s="239"/>
      <c r="E370" s="239"/>
      <c r="F370" s="255"/>
      <c r="G370" s="239"/>
      <c r="H370" s="239"/>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row>
    <row r="371">
      <c r="A371" s="239"/>
      <c r="B371" s="239"/>
      <c r="C371" s="239"/>
      <c r="D371" s="239"/>
      <c r="E371" s="239"/>
      <c r="F371" s="255"/>
      <c r="G371" s="239"/>
      <c r="H371" s="239"/>
      <c r="I371" s="239"/>
      <c r="J371" s="239"/>
      <c r="K371" s="239"/>
      <c r="L371" s="239"/>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c r="AK371" s="239"/>
      <c r="AL371" s="239"/>
      <c r="AM371" s="239"/>
      <c r="AN371" s="239"/>
      <c r="AO371" s="239"/>
      <c r="AP371" s="239"/>
      <c r="AQ371" s="239"/>
      <c r="AR371" s="239"/>
      <c r="AS371" s="239"/>
      <c r="AT371" s="239"/>
      <c r="AU371" s="239"/>
      <c r="AV371" s="239"/>
      <c r="AW371" s="239"/>
      <c r="AX371" s="239"/>
      <c r="AY371" s="239"/>
      <c r="AZ371" s="239"/>
      <c r="BA371" s="239"/>
      <c r="BB371" s="239"/>
      <c r="BC371" s="239"/>
    </row>
    <row r="372">
      <c r="A372" s="239"/>
      <c r="B372" s="239"/>
      <c r="C372" s="239"/>
      <c r="D372" s="239"/>
      <c r="E372" s="239"/>
      <c r="F372" s="255"/>
      <c r="G372" s="239"/>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row>
    <row r="373">
      <c r="A373" s="239"/>
      <c r="B373" s="239"/>
      <c r="C373" s="239"/>
      <c r="D373" s="239"/>
      <c r="E373" s="239"/>
      <c r="F373" s="255"/>
      <c r="G373" s="239"/>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row>
    <row r="374">
      <c r="A374" s="239"/>
      <c r="B374" s="239"/>
      <c r="C374" s="239"/>
      <c r="D374" s="239"/>
      <c r="E374" s="239"/>
      <c r="F374" s="255"/>
      <c r="G374" s="239"/>
      <c r="H374" s="239"/>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row>
    <row r="375">
      <c r="A375" s="239"/>
      <c r="B375" s="239"/>
      <c r="C375" s="239"/>
      <c r="D375" s="239"/>
      <c r="E375" s="239"/>
      <c r="F375" s="255"/>
      <c r="G375" s="239"/>
      <c r="H375" s="239"/>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row>
    <row r="376">
      <c r="A376" s="239"/>
      <c r="B376" s="239"/>
      <c r="C376" s="239"/>
      <c r="D376" s="239"/>
      <c r="E376" s="239"/>
      <c r="F376" s="255"/>
      <c r="G376" s="239"/>
      <c r="H376" s="239"/>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row>
    <row r="377">
      <c r="A377" s="239"/>
      <c r="B377" s="239"/>
      <c r="C377" s="239"/>
      <c r="D377" s="239"/>
      <c r="E377" s="239"/>
      <c r="F377" s="255"/>
      <c r="G377" s="239"/>
      <c r="H377" s="239"/>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row>
    <row r="378">
      <c r="A378" s="239"/>
      <c r="B378" s="239"/>
      <c r="C378" s="239"/>
      <c r="D378" s="239"/>
      <c r="E378" s="239"/>
      <c r="F378" s="255"/>
      <c r="G378" s="239"/>
      <c r="H378" s="239"/>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row>
    <row r="379">
      <c r="A379" s="239"/>
      <c r="B379" s="239"/>
      <c r="C379" s="239"/>
      <c r="D379" s="239"/>
      <c r="E379" s="239"/>
      <c r="F379" s="255"/>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row>
    <row r="380">
      <c r="A380" s="239"/>
      <c r="B380" s="239"/>
      <c r="C380" s="239"/>
      <c r="D380" s="239"/>
      <c r="E380" s="239"/>
      <c r="F380" s="255"/>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c r="AK380" s="239"/>
      <c r="AL380" s="239"/>
      <c r="AM380" s="239"/>
      <c r="AN380" s="239"/>
      <c r="AO380" s="239"/>
      <c r="AP380" s="239"/>
      <c r="AQ380" s="239"/>
      <c r="AR380" s="239"/>
      <c r="AS380" s="239"/>
      <c r="AT380" s="239"/>
      <c r="AU380" s="239"/>
      <c r="AV380" s="239"/>
      <c r="AW380" s="239"/>
      <c r="AX380" s="239"/>
      <c r="AY380" s="239"/>
      <c r="AZ380" s="239"/>
      <c r="BA380" s="239"/>
      <c r="BB380" s="239"/>
      <c r="BC380" s="239"/>
    </row>
    <row r="381">
      <c r="A381" s="239"/>
      <c r="B381" s="239"/>
      <c r="C381" s="239"/>
      <c r="D381" s="239"/>
      <c r="E381" s="239"/>
      <c r="F381" s="255"/>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row>
    <row r="382">
      <c r="A382" s="239"/>
      <c r="B382" s="239"/>
      <c r="C382" s="239"/>
      <c r="D382" s="239"/>
      <c r="E382" s="239"/>
      <c r="F382" s="255"/>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c r="AK382" s="239"/>
      <c r="AL382" s="239"/>
      <c r="AM382" s="239"/>
      <c r="AN382" s="239"/>
      <c r="AO382" s="239"/>
      <c r="AP382" s="239"/>
      <c r="AQ382" s="239"/>
      <c r="AR382" s="239"/>
      <c r="AS382" s="239"/>
      <c r="AT382" s="239"/>
      <c r="AU382" s="239"/>
      <c r="AV382" s="239"/>
      <c r="AW382" s="239"/>
      <c r="AX382" s="239"/>
      <c r="AY382" s="239"/>
      <c r="AZ382" s="239"/>
      <c r="BA382" s="239"/>
      <c r="BB382" s="239"/>
      <c r="BC382" s="239"/>
    </row>
    <row r="383">
      <c r="A383" s="239"/>
      <c r="B383" s="239"/>
      <c r="C383" s="239"/>
      <c r="D383" s="239"/>
      <c r="E383" s="239"/>
      <c r="F383" s="255"/>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row>
    <row r="384">
      <c r="A384" s="239"/>
      <c r="B384" s="239"/>
      <c r="C384" s="239"/>
      <c r="D384" s="239"/>
      <c r="E384" s="239"/>
      <c r="F384" s="255"/>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row>
    <row r="385">
      <c r="A385" s="239"/>
      <c r="B385" s="239"/>
      <c r="C385" s="239"/>
      <c r="D385" s="239"/>
      <c r="E385" s="239"/>
      <c r="F385" s="255"/>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row>
    <row r="386">
      <c r="A386" s="239"/>
      <c r="B386" s="239"/>
      <c r="C386" s="239"/>
      <c r="D386" s="239"/>
      <c r="E386" s="239"/>
      <c r="F386" s="255"/>
      <c r="G386" s="239"/>
      <c r="H386" s="239"/>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row>
    <row r="387">
      <c r="A387" s="239"/>
      <c r="B387" s="239"/>
      <c r="C387" s="239"/>
      <c r="D387" s="239"/>
      <c r="E387" s="239"/>
      <c r="F387" s="255"/>
      <c r="G387" s="239"/>
      <c r="H387" s="239"/>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row>
    <row r="388">
      <c r="A388" s="239"/>
      <c r="B388" s="239"/>
      <c r="C388" s="239"/>
      <c r="D388" s="239"/>
      <c r="E388" s="239"/>
      <c r="F388" s="255"/>
      <c r="G388" s="239"/>
      <c r="H388" s="239"/>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row>
    <row r="389">
      <c r="A389" s="239"/>
      <c r="B389" s="239"/>
      <c r="C389" s="239"/>
      <c r="D389" s="239"/>
      <c r="E389" s="239"/>
      <c r="F389" s="255"/>
      <c r="G389" s="239"/>
      <c r="H389" s="239"/>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row>
    <row r="390">
      <c r="A390" s="239"/>
      <c r="B390" s="239"/>
      <c r="C390" s="239"/>
      <c r="D390" s="239"/>
      <c r="E390" s="239"/>
      <c r="F390" s="255"/>
      <c r="G390" s="239"/>
      <c r="H390" s="239"/>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row>
    <row r="391">
      <c r="A391" s="239"/>
      <c r="B391" s="239"/>
      <c r="C391" s="239"/>
      <c r="D391" s="239"/>
      <c r="E391" s="239"/>
      <c r="F391" s="255"/>
      <c r="G391" s="239"/>
      <c r="H391" s="239"/>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row>
    <row r="392">
      <c r="A392" s="239"/>
      <c r="B392" s="239"/>
      <c r="C392" s="239"/>
      <c r="D392" s="239"/>
      <c r="E392" s="239"/>
      <c r="F392" s="255"/>
      <c r="G392" s="239"/>
      <c r="H392" s="239"/>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row>
    <row r="393">
      <c r="A393" s="239"/>
      <c r="B393" s="239"/>
      <c r="C393" s="239"/>
      <c r="D393" s="239"/>
      <c r="E393" s="239"/>
      <c r="F393" s="255"/>
      <c r="G393" s="239"/>
      <c r="H393" s="239"/>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row>
    <row r="394">
      <c r="A394" s="239"/>
      <c r="B394" s="239"/>
      <c r="C394" s="239"/>
      <c r="D394" s="239"/>
      <c r="E394" s="239"/>
      <c r="F394" s="255"/>
      <c r="G394" s="239"/>
      <c r="H394" s="239"/>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row>
    <row r="395">
      <c r="A395" s="239"/>
      <c r="B395" s="239"/>
      <c r="C395" s="239"/>
      <c r="D395" s="239"/>
      <c r="E395" s="239"/>
      <c r="F395" s="255"/>
      <c r="G395" s="239"/>
      <c r="H395" s="239"/>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row>
    <row r="396">
      <c r="A396" s="239"/>
      <c r="B396" s="239"/>
      <c r="C396" s="239"/>
      <c r="D396" s="239"/>
      <c r="E396" s="239"/>
      <c r="F396" s="255"/>
      <c r="G396" s="239"/>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row>
    <row r="397">
      <c r="A397" s="239"/>
      <c r="B397" s="239"/>
      <c r="C397" s="239"/>
      <c r="D397" s="239"/>
      <c r="E397" s="239"/>
      <c r="F397" s="255"/>
      <c r="G397" s="239"/>
      <c r="H397" s="239"/>
      <c r="I397" s="239"/>
      <c r="J397" s="239"/>
      <c r="K397" s="239"/>
      <c r="L397" s="239"/>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c r="AK397" s="239"/>
      <c r="AL397" s="239"/>
      <c r="AM397" s="239"/>
      <c r="AN397" s="239"/>
      <c r="AO397" s="239"/>
      <c r="AP397" s="239"/>
      <c r="AQ397" s="239"/>
      <c r="AR397" s="239"/>
      <c r="AS397" s="239"/>
      <c r="AT397" s="239"/>
      <c r="AU397" s="239"/>
      <c r="AV397" s="239"/>
      <c r="AW397" s="239"/>
      <c r="AX397" s="239"/>
      <c r="AY397" s="239"/>
      <c r="AZ397" s="239"/>
      <c r="BA397" s="239"/>
      <c r="BB397" s="239"/>
      <c r="BC397" s="239"/>
    </row>
    <row r="398">
      <c r="A398" s="239"/>
      <c r="B398" s="239"/>
      <c r="C398" s="239"/>
      <c r="D398" s="239"/>
      <c r="E398" s="239"/>
      <c r="F398" s="255"/>
      <c r="G398" s="239"/>
      <c r="H398" s="239"/>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row>
    <row r="399">
      <c r="A399" s="239"/>
      <c r="B399" s="239"/>
      <c r="C399" s="239"/>
      <c r="D399" s="239"/>
      <c r="E399" s="239"/>
      <c r="F399" s="255"/>
      <c r="G399" s="239"/>
      <c r="H399" s="239"/>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row>
    <row r="400">
      <c r="A400" s="239"/>
      <c r="B400" s="239"/>
      <c r="C400" s="239"/>
      <c r="D400" s="239"/>
      <c r="E400" s="239"/>
      <c r="F400" s="255"/>
      <c r="G400" s="239"/>
      <c r="H400" s="239"/>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row>
    <row r="401">
      <c r="A401" s="239"/>
      <c r="B401" s="239"/>
      <c r="C401" s="239"/>
      <c r="D401" s="239"/>
      <c r="E401" s="239"/>
      <c r="F401" s="255"/>
      <c r="G401" s="239"/>
      <c r="H401" s="239"/>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row>
    <row r="402">
      <c r="A402" s="239"/>
      <c r="B402" s="239"/>
      <c r="C402" s="239"/>
      <c r="D402" s="239"/>
      <c r="E402" s="239"/>
      <c r="F402" s="255"/>
      <c r="G402" s="239"/>
      <c r="H402" s="239"/>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row>
    <row r="403">
      <c r="A403" s="239"/>
      <c r="B403" s="239"/>
      <c r="C403" s="239"/>
      <c r="D403" s="239"/>
      <c r="E403" s="239"/>
      <c r="F403" s="255"/>
      <c r="G403" s="239"/>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row>
    <row r="404">
      <c r="A404" s="239"/>
      <c r="B404" s="239"/>
      <c r="C404" s="239"/>
      <c r="D404" s="239"/>
      <c r="E404" s="239"/>
      <c r="F404" s="255"/>
      <c r="G404" s="239"/>
      <c r="H404" s="239"/>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row>
    <row r="405">
      <c r="A405" s="239"/>
      <c r="B405" s="239"/>
      <c r="C405" s="239"/>
      <c r="D405" s="239"/>
      <c r="E405" s="239"/>
      <c r="F405" s="255"/>
      <c r="G405" s="239"/>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row>
    <row r="406">
      <c r="A406" s="239"/>
      <c r="B406" s="239"/>
      <c r="C406" s="239"/>
      <c r="D406" s="239"/>
      <c r="E406" s="239"/>
      <c r="F406" s="255"/>
      <c r="G406" s="239"/>
      <c r="H406" s="239"/>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row>
    <row r="407">
      <c r="A407" s="239"/>
      <c r="B407" s="239"/>
      <c r="C407" s="239"/>
      <c r="D407" s="239"/>
      <c r="E407" s="239"/>
      <c r="F407" s="255"/>
      <c r="G407" s="239"/>
      <c r="H407" s="239"/>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row>
    <row r="408">
      <c r="A408" s="239"/>
      <c r="B408" s="239"/>
      <c r="C408" s="239"/>
      <c r="D408" s="239"/>
      <c r="E408" s="239"/>
      <c r="F408" s="255"/>
      <c r="G408" s="239"/>
      <c r="H408" s="239"/>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row>
    <row r="409">
      <c r="A409" s="239"/>
      <c r="B409" s="239"/>
      <c r="C409" s="239"/>
      <c r="D409" s="239"/>
      <c r="E409" s="239"/>
      <c r="F409" s="255"/>
      <c r="G409" s="239"/>
      <c r="H409" s="239"/>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row>
    <row r="410">
      <c r="A410" s="239"/>
      <c r="B410" s="239"/>
      <c r="C410" s="239"/>
      <c r="D410" s="239"/>
      <c r="E410" s="239"/>
      <c r="F410" s="255"/>
      <c r="G410" s="239"/>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row>
    <row r="411">
      <c r="A411" s="239"/>
      <c r="B411" s="239"/>
      <c r="C411" s="239"/>
      <c r="D411" s="239"/>
      <c r="E411" s="239"/>
      <c r="F411" s="255"/>
      <c r="G411" s="239"/>
      <c r="H411" s="239"/>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row>
    <row r="412">
      <c r="A412" s="239"/>
      <c r="B412" s="239"/>
      <c r="C412" s="239"/>
      <c r="D412" s="239"/>
      <c r="E412" s="239"/>
      <c r="F412" s="255"/>
      <c r="G412" s="239"/>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row>
    <row r="413">
      <c r="A413" s="239"/>
      <c r="B413" s="239"/>
      <c r="C413" s="239"/>
      <c r="D413" s="239"/>
      <c r="E413" s="239"/>
      <c r="F413" s="255"/>
      <c r="G413" s="239"/>
      <c r="H413" s="239"/>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row>
    <row r="414">
      <c r="A414" s="239"/>
      <c r="B414" s="239"/>
      <c r="C414" s="239"/>
      <c r="D414" s="239"/>
      <c r="E414" s="239"/>
      <c r="F414" s="255"/>
      <c r="G414" s="239"/>
      <c r="H414" s="239"/>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row>
    <row r="415">
      <c r="A415" s="239"/>
      <c r="B415" s="239"/>
      <c r="C415" s="239"/>
      <c r="D415" s="239"/>
      <c r="E415" s="239"/>
      <c r="F415" s="255"/>
      <c r="G415" s="239"/>
      <c r="H415" s="239"/>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row>
    <row r="416">
      <c r="A416" s="239"/>
      <c r="B416" s="239"/>
      <c r="C416" s="239"/>
      <c r="D416" s="239"/>
      <c r="E416" s="239"/>
      <c r="F416" s="255"/>
      <c r="G416" s="239"/>
      <c r="H416" s="239"/>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row>
    <row r="417">
      <c r="A417" s="239"/>
      <c r="B417" s="239"/>
      <c r="C417" s="239"/>
      <c r="D417" s="239"/>
      <c r="E417" s="239"/>
      <c r="F417" s="255"/>
      <c r="G417" s="239"/>
      <c r="H417" s="239"/>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row>
    <row r="418">
      <c r="A418" s="239"/>
      <c r="B418" s="239"/>
      <c r="C418" s="239"/>
      <c r="D418" s="239"/>
      <c r="E418" s="239"/>
      <c r="F418" s="255"/>
      <c r="G418" s="239"/>
      <c r="H418" s="239"/>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row>
    <row r="419">
      <c r="A419" s="239"/>
      <c r="B419" s="239"/>
      <c r="C419" s="239"/>
      <c r="D419" s="239"/>
      <c r="E419" s="239"/>
      <c r="F419" s="255"/>
      <c r="G419" s="239"/>
      <c r="H419" s="239"/>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row>
    <row r="420">
      <c r="A420" s="239"/>
      <c r="B420" s="239"/>
      <c r="C420" s="239"/>
      <c r="D420" s="239"/>
      <c r="E420" s="239"/>
      <c r="F420" s="255"/>
      <c r="G420" s="239"/>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row>
    <row r="421">
      <c r="A421" s="239"/>
      <c r="B421" s="239"/>
      <c r="C421" s="239"/>
      <c r="D421" s="239"/>
      <c r="E421" s="239"/>
      <c r="F421" s="255"/>
      <c r="G421" s="239"/>
      <c r="H421" s="239"/>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row>
    <row r="422">
      <c r="A422" s="239"/>
      <c r="B422" s="239"/>
      <c r="C422" s="239"/>
      <c r="D422" s="239"/>
      <c r="E422" s="239"/>
      <c r="F422" s="255"/>
      <c r="G422" s="239"/>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row>
    <row r="423">
      <c r="A423" s="239"/>
      <c r="B423" s="239"/>
      <c r="C423" s="239"/>
      <c r="D423" s="239"/>
      <c r="E423" s="239"/>
      <c r="F423" s="255"/>
      <c r="G423" s="239"/>
      <c r="H423" s="239"/>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row>
    <row r="424">
      <c r="A424" s="239"/>
      <c r="B424" s="239"/>
      <c r="C424" s="239"/>
      <c r="D424" s="239"/>
      <c r="E424" s="239"/>
      <c r="F424" s="255"/>
      <c r="G424" s="239"/>
      <c r="H424" s="239"/>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row>
    <row r="425">
      <c r="A425" s="239"/>
      <c r="B425" s="239"/>
      <c r="C425" s="239"/>
      <c r="D425" s="239"/>
      <c r="E425" s="239"/>
      <c r="F425" s="255"/>
      <c r="G425" s="239"/>
      <c r="H425" s="239"/>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row>
    <row r="426">
      <c r="A426" s="239"/>
      <c r="B426" s="239"/>
      <c r="C426" s="239"/>
      <c r="D426" s="239"/>
      <c r="E426" s="239"/>
      <c r="F426" s="255"/>
      <c r="G426" s="239"/>
      <c r="H426" s="239"/>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row>
    <row r="427">
      <c r="A427" s="239"/>
      <c r="B427" s="239"/>
      <c r="C427" s="239"/>
      <c r="D427" s="239"/>
      <c r="E427" s="239"/>
      <c r="F427" s="255"/>
      <c r="G427" s="239"/>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row>
    <row r="428">
      <c r="A428" s="239"/>
      <c r="B428" s="239"/>
      <c r="C428" s="239"/>
      <c r="D428" s="239"/>
      <c r="E428" s="239"/>
      <c r="F428" s="255"/>
      <c r="G428" s="239"/>
      <c r="H428" s="239"/>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row>
    <row r="429">
      <c r="A429" s="239"/>
      <c r="B429" s="239"/>
      <c r="C429" s="239"/>
      <c r="D429" s="239"/>
      <c r="E429" s="239"/>
      <c r="F429" s="255"/>
      <c r="G429" s="239"/>
      <c r="H429" s="239"/>
      <c r="I429" s="239"/>
      <c r="J429" s="239"/>
      <c r="K429" s="239"/>
      <c r="L429" s="239"/>
      <c r="M429" s="239"/>
      <c r="N429" s="239"/>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row>
    <row r="430">
      <c r="A430" s="239"/>
      <c r="B430" s="239"/>
      <c r="C430" s="239"/>
      <c r="D430" s="239"/>
      <c r="E430" s="239"/>
      <c r="F430" s="255"/>
      <c r="G430" s="239"/>
      <c r="H430" s="239"/>
      <c r="I430" s="239"/>
      <c r="J430" s="239"/>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row>
    <row r="431">
      <c r="A431" s="239"/>
      <c r="B431" s="239"/>
      <c r="C431" s="239"/>
      <c r="D431" s="239"/>
      <c r="E431" s="239"/>
      <c r="F431" s="255"/>
      <c r="G431" s="239"/>
      <c r="H431" s="239"/>
      <c r="I431" s="239"/>
      <c r="J431" s="239"/>
      <c r="K431" s="239"/>
      <c r="L431" s="239"/>
      <c r="M431" s="239"/>
      <c r="N431" s="239"/>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row>
    <row r="432">
      <c r="A432" s="239"/>
      <c r="B432" s="239"/>
      <c r="C432" s="239"/>
      <c r="D432" s="239"/>
      <c r="E432" s="239"/>
      <c r="F432" s="255"/>
      <c r="G432" s="239"/>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row>
    <row r="433">
      <c r="A433" s="239"/>
      <c r="B433" s="239"/>
      <c r="C433" s="239"/>
      <c r="D433" s="239"/>
      <c r="E433" s="239"/>
      <c r="F433" s="255"/>
      <c r="G433" s="239"/>
      <c r="H433" s="239"/>
      <c r="I433" s="239"/>
      <c r="J433" s="239"/>
      <c r="K433" s="239"/>
      <c r="L433" s="239"/>
      <c r="M433" s="239"/>
      <c r="N433" s="239"/>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row>
    <row r="434">
      <c r="A434" s="239"/>
      <c r="B434" s="239"/>
      <c r="C434" s="239"/>
      <c r="D434" s="239"/>
      <c r="E434" s="239"/>
      <c r="F434" s="255"/>
      <c r="G434" s="239"/>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row>
    <row r="435">
      <c r="A435" s="239"/>
      <c r="B435" s="239"/>
      <c r="C435" s="239"/>
      <c r="D435" s="239"/>
      <c r="E435" s="239"/>
      <c r="F435" s="255"/>
      <c r="G435" s="239"/>
      <c r="H435" s="239"/>
      <c r="I435" s="239"/>
      <c r="J435" s="239"/>
      <c r="K435" s="239"/>
      <c r="L435" s="239"/>
      <c r="M435" s="239"/>
      <c r="N435" s="239"/>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row>
    <row r="436">
      <c r="A436" s="239"/>
      <c r="B436" s="239"/>
      <c r="C436" s="239"/>
      <c r="D436" s="239"/>
      <c r="E436" s="239"/>
      <c r="F436" s="255"/>
      <c r="G436" s="239"/>
      <c r="H436" s="239"/>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row>
    <row r="437">
      <c r="A437" s="239"/>
      <c r="B437" s="239"/>
      <c r="C437" s="239"/>
      <c r="D437" s="239"/>
      <c r="E437" s="239"/>
      <c r="F437" s="255"/>
      <c r="G437" s="239"/>
      <c r="H437" s="239"/>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row>
    <row r="438">
      <c r="A438" s="239"/>
      <c r="B438" s="239"/>
      <c r="C438" s="239"/>
      <c r="D438" s="239"/>
      <c r="E438" s="239"/>
      <c r="F438" s="255"/>
      <c r="G438" s="239"/>
      <c r="H438" s="239"/>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row>
    <row r="439">
      <c r="A439" s="239"/>
      <c r="B439" s="239"/>
      <c r="C439" s="239"/>
      <c r="D439" s="239"/>
      <c r="E439" s="239"/>
      <c r="F439" s="255"/>
      <c r="G439" s="239"/>
      <c r="H439" s="239"/>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row>
    <row r="440">
      <c r="A440" s="239"/>
      <c r="B440" s="239"/>
      <c r="C440" s="239"/>
      <c r="D440" s="239"/>
      <c r="E440" s="239"/>
      <c r="F440" s="255"/>
      <c r="G440" s="239"/>
      <c r="H440" s="239"/>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row>
    <row r="441">
      <c r="A441" s="239"/>
      <c r="B441" s="239"/>
      <c r="C441" s="239"/>
      <c r="D441" s="239"/>
      <c r="E441" s="239"/>
      <c r="F441" s="255"/>
      <c r="G441" s="239"/>
      <c r="H441" s="239"/>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row>
    <row r="442">
      <c r="A442" s="239"/>
      <c r="B442" s="239"/>
      <c r="C442" s="239"/>
      <c r="D442" s="239"/>
      <c r="E442" s="239"/>
      <c r="F442" s="255"/>
      <c r="G442" s="239"/>
      <c r="H442" s="239"/>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row>
    <row r="443">
      <c r="A443" s="239"/>
      <c r="B443" s="239"/>
      <c r="C443" s="239"/>
      <c r="D443" s="239"/>
      <c r="E443" s="239"/>
      <c r="F443" s="255"/>
      <c r="G443" s="239"/>
      <c r="H443" s="239"/>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row>
    <row r="444">
      <c r="A444" s="239"/>
      <c r="B444" s="239"/>
      <c r="C444" s="239"/>
      <c r="D444" s="239"/>
      <c r="E444" s="239"/>
      <c r="F444" s="255"/>
      <c r="G444" s="239"/>
      <c r="H444" s="239"/>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row>
    <row r="445">
      <c r="A445" s="239"/>
      <c r="B445" s="239"/>
      <c r="C445" s="239"/>
      <c r="D445" s="239"/>
      <c r="E445" s="239"/>
      <c r="F445" s="255"/>
      <c r="G445" s="239"/>
      <c r="H445" s="239"/>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row>
    <row r="446">
      <c r="A446" s="239"/>
      <c r="B446" s="239"/>
      <c r="C446" s="239"/>
      <c r="D446" s="239"/>
      <c r="E446" s="239"/>
      <c r="F446" s="255"/>
      <c r="G446" s="239"/>
      <c r="H446" s="239"/>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row>
    <row r="447">
      <c r="A447" s="239"/>
      <c r="B447" s="239"/>
      <c r="C447" s="239"/>
      <c r="D447" s="239"/>
      <c r="E447" s="239"/>
      <c r="F447" s="255"/>
      <c r="G447" s="239"/>
      <c r="H447" s="239"/>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row>
    <row r="448">
      <c r="A448" s="239"/>
      <c r="B448" s="239"/>
      <c r="C448" s="239"/>
      <c r="D448" s="239"/>
      <c r="E448" s="239"/>
      <c r="F448" s="255"/>
      <c r="G448" s="239"/>
      <c r="H448" s="239"/>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row>
    <row r="449">
      <c r="A449" s="239"/>
      <c r="B449" s="239"/>
      <c r="C449" s="239"/>
      <c r="D449" s="239"/>
      <c r="E449" s="239"/>
      <c r="F449" s="255"/>
      <c r="G449" s="239"/>
      <c r="H449" s="239"/>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row>
    <row r="450">
      <c r="A450" s="239"/>
      <c r="B450" s="239"/>
      <c r="C450" s="239"/>
      <c r="D450" s="239"/>
      <c r="E450" s="239"/>
      <c r="F450" s="255"/>
      <c r="G450" s="239"/>
      <c r="H450" s="239"/>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row>
    <row r="451">
      <c r="A451" s="239"/>
      <c r="B451" s="239"/>
      <c r="C451" s="239"/>
      <c r="D451" s="239"/>
      <c r="E451" s="239"/>
      <c r="F451" s="255"/>
      <c r="G451" s="239"/>
      <c r="H451" s="239"/>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row>
    <row r="452">
      <c r="A452" s="239"/>
      <c r="B452" s="239"/>
      <c r="C452" s="239"/>
      <c r="D452" s="239"/>
      <c r="E452" s="239"/>
      <c r="F452" s="255"/>
      <c r="G452" s="239"/>
      <c r="H452" s="239"/>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row>
    <row r="453">
      <c r="A453" s="239"/>
      <c r="B453" s="239"/>
      <c r="C453" s="239"/>
      <c r="D453" s="239"/>
      <c r="E453" s="239"/>
      <c r="F453" s="255"/>
      <c r="G453" s="239"/>
      <c r="H453" s="239"/>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row>
    <row r="454">
      <c r="A454" s="239"/>
      <c r="B454" s="239"/>
      <c r="C454" s="239"/>
      <c r="D454" s="239"/>
      <c r="E454" s="239"/>
      <c r="F454" s="255"/>
      <c r="G454" s="239"/>
      <c r="H454" s="239"/>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row>
    <row r="455">
      <c r="A455" s="239"/>
      <c r="B455" s="239"/>
      <c r="C455" s="239"/>
      <c r="D455" s="239"/>
      <c r="E455" s="239"/>
      <c r="F455" s="255"/>
      <c r="G455" s="239"/>
      <c r="H455" s="239"/>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row>
    <row r="456">
      <c r="A456" s="239"/>
      <c r="B456" s="239"/>
      <c r="C456" s="239"/>
      <c r="D456" s="239"/>
      <c r="E456" s="239"/>
      <c r="F456" s="255"/>
      <c r="G456" s="239"/>
      <c r="H456" s="239"/>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row>
    <row r="457">
      <c r="A457" s="239"/>
      <c r="B457" s="239"/>
      <c r="C457" s="239"/>
      <c r="D457" s="239"/>
      <c r="E457" s="239"/>
      <c r="F457" s="255"/>
      <c r="G457" s="239"/>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row>
    <row r="458">
      <c r="A458" s="239"/>
      <c r="B458" s="239"/>
      <c r="C458" s="239"/>
      <c r="D458" s="239"/>
      <c r="E458" s="239"/>
      <c r="F458" s="255"/>
      <c r="G458" s="239"/>
      <c r="H458" s="239"/>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row>
    <row r="459">
      <c r="A459" s="239"/>
      <c r="B459" s="239"/>
      <c r="C459" s="239"/>
      <c r="D459" s="239"/>
      <c r="E459" s="239"/>
      <c r="F459" s="255"/>
      <c r="G459" s="239"/>
      <c r="H459" s="239"/>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row>
    <row r="460">
      <c r="A460" s="239"/>
      <c r="B460" s="239"/>
      <c r="C460" s="239"/>
      <c r="D460" s="239"/>
      <c r="E460" s="239"/>
      <c r="F460" s="255"/>
      <c r="G460" s="239"/>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row>
    <row r="461">
      <c r="A461" s="239"/>
      <c r="B461" s="239"/>
      <c r="C461" s="239"/>
      <c r="D461" s="239"/>
      <c r="E461" s="239"/>
      <c r="F461" s="255"/>
      <c r="G461" s="239"/>
      <c r="H461" s="239"/>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row>
    <row r="462">
      <c r="A462" s="239"/>
      <c r="B462" s="239"/>
      <c r="C462" s="239"/>
      <c r="D462" s="239"/>
      <c r="E462" s="239"/>
      <c r="F462" s="255"/>
      <c r="G462" s="239"/>
      <c r="H462" s="239"/>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row>
    <row r="463">
      <c r="A463" s="239"/>
      <c r="B463" s="239"/>
      <c r="C463" s="239"/>
      <c r="D463" s="239"/>
      <c r="E463" s="239"/>
      <c r="F463" s="255"/>
      <c r="G463" s="239"/>
      <c r="H463" s="239"/>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row>
    <row r="464">
      <c r="A464" s="239"/>
      <c r="B464" s="239"/>
      <c r="C464" s="239"/>
      <c r="D464" s="239"/>
      <c r="E464" s="239"/>
      <c r="F464" s="255"/>
      <c r="G464" s="239"/>
      <c r="H464" s="239"/>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row>
    <row r="465">
      <c r="A465" s="239"/>
      <c r="B465" s="239"/>
      <c r="C465" s="239"/>
      <c r="D465" s="239"/>
      <c r="E465" s="239"/>
      <c r="F465" s="255"/>
      <c r="G465" s="239"/>
      <c r="H465" s="239"/>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row>
    <row r="466">
      <c r="A466" s="239"/>
      <c r="B466" s="239"/>
      <c r="C466" s="239"/>
      <c r="D466" s="239"/>
      <c r="E466" s="239"/>
      <c r="F466" s="255"/>
      <c r="G466" s="239"/>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row>
    <row r="467">
      <c r="A467" s="239"/>
      <c r="B467" s="239"/>
      <c r="C467" s="239"/>
      <c r="D467" s="239"/>
      <c r="E467" s="239"/>
      <c r="F467" s="255"/>
      <c r="G467" s="239"/>
      <c r="H467" s="239"/>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row>
    <row r="468">
      <c r="A468" s="239"/>
      <c r="B468" s="239"/>
      <c r="C468" s="239"/>
      <c r="D468" s="239"/>
      <c r="E468" s="239"/>
      <c r="F468" s="255"/>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row>
    <row r="469">
      <c r="A469" s="239"/>
      <c r="B469" s="239"/>
      <c r="C469" s="239"/>
      <c r="D469" s="239"/>
      <c r="E469" s="239"/>
      <c r="F469" s="255"/>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row>
    <row r="470">
      <c r="A470" s="239"/>
      <c r="B470" s="239"/>
      <c r="C470" s="239"/>
      <c r="D470" s="239"/>
      <c r="E470" s="239"/>
      <c r="F470" s="255"/>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row>
    <row r="471">
      <c r="A471" s="239"/>
      <c r="B471" s="239"/>
      <c r="C471" s="239"/>
      <c r="D471" s="239"/>
      <c r="E471" s="239"/>
      <c r="F471" s="255"/>
      <c r="G471" s="239"/>
      <c r="H471" s="239"/>
      <c r="I471" s="239"/>
      <c r="J471" s="239"/>
      <c r="K471" s="239"/>
      <c r="L471" s="239"/>
      <c r="M471" s="239"/>
      <c r="N471" s="239"/>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c r="AK471" s="239"/>
      <c r="AL471" s="239"/>
      <c r="AM471" s="239"/>
      <c r="AN471" s="239"/>
      <c r="AO471" s="239"/>
      <c r="AP471" s="239"/>
      <c r="AQ471" s="239"/>
      <c r="AR471" s="239"/>
      <c r="AS471" s="239"/>
      <c r="AT471" s="239"/>
      <c r="AU471" s="239"/>
      <c r="AV471" s="239"/>
      <c r="AW471" s="239"/>
      <c r="AX471" s="239"/>
      <c r="AY471" s="239"/>
      <c r="AZ471" s="239"/>
      <c r="BA471" s="239"/>
      <c r="BB471" s="239"/>
      <c r="BC471" s="239"/>
    </row>
    <row r="472">
      <c r="A472" s="239"/>
      <c r="B472" s="239"/>
      <c r="C472" s="239"/>
      <c r="D472" s="239"/>
      <c r="E472" s="239"/>
      <c r="F472" s="255"/>
      <c r="G472" s="239"/>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row>
    <row r="473">
      <c r="A473" s="239"/>
      <c r="B473" s="239"/>
      <c r="C473" s="239"/>
      <c r="D473" s="239"/>
      <c r="E473" s="239"/>
      <c r="F473" s="255"/>
      <c r="G473" s="239"/>
      <c r="H473" s="239"/>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row>
    <row r="474">
      <c r="A474" s="239"/>
      <c r="B474" s="239"/>
      <c r="C474" s="239"/>
      <c r="D474" s="239"/>
      <c r="E474" s="239"/>
      <c r="F474" s="255"/>
      <c r="G474" s="239"/>
      <c r="H474" s="239"/>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row>
    <row r="475">
      <c r="A475" s="239"/>
      <c r="B475" s="239"/>
      <c r="C475" s="239"/>
      <c r="D475" s="239"/>
      <c r="E475" s="239"/>
      <c r="F475" s="255"/>
      <c r="G475" s="239"/>
      <c r="H475" s="239"/>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row>
    <row r="476">
      <c r="A476" s="239"/>
      <c r="B476" s="239"/>
      <c r="C476" s="239"/>
      <c r="D476" s="239"/>
      <c r="E476" s="239"/>
      <c r="F476" s="255"/>
      <c r="G476" s="239"/>
      <c r="H476" s="239"/>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row>
    <row r="477">
      <c r="A477" s="239"/>
      <c r="B477" s="239"/>
      <c r="C477" s="239"/>
      <c r="D477" s="239"/>
      <c r="E477" s="239"/>
      <c r="F477" s="255"/>
      <c r="G477" s="239"/>
      <c r="H477" s="239"/>
      <c r="I477" s="239"/>
      <c r="J477" s="239"/>
      <c r="K477" s="239"/>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row>
    <row r="478">
      <c r="A478" s="239"/>
      <c r="B478" s="239"/>
      <c r="C478" s="239"/>
      <c r="D478" s="239"/>
      <c r="E478" s="239"/>
      <c r="F478" s="255"/>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row>
    <row r="479">
      <c r="A479" s="239"/>
      <c r="B479" s="239"/>
      <c r="C479" s="239"/>
      <c r="D479" s="239"/>
      <c r="E479" s="239"/>
      <c r="F479" s="255"/>
      <c r="G479" s="239"/>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row>
    <row r="480">
      <c r="A480" s="239"/>
      <c r="B480" s="239"/>
      <c r="C480" s="239"/>
      <c r="D480" s="239"/>
      <c r="E480" s="239"/>
      <c r="F480" s="255"/>
      <c r="G480" s="239"/>
      <c r="H480" s="239"/>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row>
    <row r="481">
      <c r="A481" s="239"/>
      <c r="B481" s="239"/>
      <c r="C481" s="239"/>
      <c r="D481" s="239"/>
      <c r="E481" s="239"/>
      <c r="F481" s="255"/>
      <c r="G481" s="239"/>
      <c r="H481" s="239"/>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row>
    <row r="482">
      <c r="A482" s="239"/>
      <c r="B482" s="239"/>
      <c r="C482" s="239"/>
      <c r="D482" s="239"/>
      <c r="E482" s="239"/>
      <c r="F482" s="255"/>
      <c r="G482" s="239"/>
      <c r="H482" s="239"/>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row>
    <row r="483">
      <c r="A483" s="239"/>
      <c r="B483" s="239"/>
      <c r="C483" s="239"/>
      <c r="D483" s="239"/>
      <c r="E483" s="239"/>
      <c r="F483" s="255"/>
      <c r="G483" s="239"/>
      <c r="H483" s="239"/>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row>
    <row r="484">
      <c r="A484" s="239"/>
      <c r="B484" s="239"/>
      <c r="C484" s="239"/>
      <c r="D484" s="239"/>
      <c r="E484" s="239"/>
      <c r="F484" s="255"/>
      <c r="G484" s="239"/>
      <c r="H484" s="239"/>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row>
    <row r="485">
      <c r="A485" s="239"/>
      <c r="B485" s="239"/>
      <c r="C485" s="239"/>
      <c r="D485" s="239"/>
      <c r="E485" s="239"/>
      <c r="F485" s="255"/>
      <c r="G485" s="239"/>
      <c r="H485" s="239"/>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row>
    <row r="486">
      <c r="A486" s="239"/>
      <c r="B486" s="239"/>
      <c r="C486" s="239"/>
      <c r="D486" s="239"/>
      <c r="E486" s="239"/>
      <c r="F486" s="255"/>
      <c r="G486" s="239"/>
      <c r="H486" s="239"/>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row>
    <row r="487">
      <c r="A487" s="239"/>
      <c r="B487" s="239"/>
      <c r="C487" s="239"/>
      <c r="D487" s="239"/>
      <c r="E487" s="239"/>
      <c r="F487" s="255"/>
      <c r="G487" s="239"/>
      <c r="H487" s="239"/>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row>
    <row r="488">
      <c r="A488" s="239"/>
      <c r="B488" s="239"/>
      <c r="C488" s="239"/>
      <c r="D488" s="239"/>
      <c r="E488" s="239"/>
      <c r="F488" s="255"/>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row>
    <row r="489">
      <c r="A489" s="239"/>
      <c r="B489" s="239"/>
      <c r="C489" s="239"/>
      <c r="D489" s="239"/>
      <c r="E489" s="239"/>
      <c r="F489" s="255"/>
      <c r="G489" s="239"/>
      <c r="H489" s="239"/>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row>
    <row r="490">
      <c r="A490" s="239"/>
      <c r="B490" s="239"/>
      <c r="C490" s="239"/>
      <c r="D490" s="239"/>
      <c r="E490" s="239"/>
      <c r="F490" s="255"/>
      <c r="G490" s="239"/>
      <c r="H490" s="239"/>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row>
    <row r="491">
      <c r="A491" s="239"/>
      <c r="B491" s="239"/>
      <c r="C491" s="239"/>
      <c r="D491" s="239"/>
      <c r="E491" s="239"/>
      <c r="F491" s="255"/>
      <c r="G491" s="239"/>
      <c r="H491" s="239"/>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row>
    <row r="492">
      <c r="A492" s="239"/>
      <c r="B492" s="239"/>
      <c r="C492" s="239"/>
      <c r="D492" s="239"/>
      <c r="E492" s="239"/>
      <c r="F492" s="255"/>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row>
    <row r="493">
      <c r="A493" s="239"/>
      <c r="B493" s="239"/>
      <c r="C493" s="239"/>
      <c r="D493" s="239"/>
      <c r="E493" s="239"/>
      <c r="F493" s="255"/>
      <c r="G493" s="239"/>
      <c r="H493" s="239"/>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row>
    <row r="494">
      <c r="A494" s="239"/>
      <c r="B494" s="239"/>
      <c r="C494" s="239"/>
      <c r="D494" s="239"/>
      <c r="E494" s="239"/>
      <c r="F494" s="255"/>
      <c r="G494" s="239"/>
      <c r="H494" s="239"/>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row>
    <row r="495">
      <c r="A495" s="239"/>
      <c r="B495" s="239"/>
      <c r="C495" s="239"/>
      <c r="D495" s="239"/>
      <c r="E495" s="239"/>
      <c r="F495" s="255"/>
      <c r="G495" s="239"/>
      <c r="H495" s="239"/>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row>
    <row r="496">
      <c r="A496" s="239"/>
      <c r="B496" s="239"/>
      <c r="C496" s="239"/>
      <c r="D496" s="239"/>
      <c r="E496" s="239"/>
      <c r="F496" s="255"/>
      <c r="G496" s="239"/>
      <c r="H496" s="239"/>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row>
    <row r="497">
      <c r="A497" s="239"/>
      <c r="B497" s="239"/>
      <c r="C497" s="239"/>
      <c r="D497" s="239"/>
      <c r="E497" s="239"/>
      <c r="F497" s="255"/>
      <c r="G497" s="239"/>
      <c r="H497" s="239"/>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row>
    <row r="498">
      <c r="A498" s="239"/>
      <c r="B498" s="239"/>
      <c r="C498" s="239"/>
      <c r="D498" s="239"/>
      <c r="E498" s="239"/>
      <c r="F498" s="255"/>
      <c r="G498" s="239"/>
      <c r="H498" s="239"/>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row>
    <row r="499">
      <c r="A499" s="239"/>
      <c r="B499" s="239"/>
      <c r="C499" s="239"/>
      <c r="D499" s="239"/>
      <c r="E499" s="239"/>
      <c r="F499" s="255"/>
      <c r="G499" s="239"/>
      <c r="H499" s="239"/>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row>
    <row r="500">
      <c r="A500" s="239"/>
      <c r="B500" s="239"/>
      <c r="C500" s="239"/>
      <c r="D500" s="239"/>
      <c r="E500" s="239"/>
      <c r="F500" s="255"/>
      <c r="G500" s="239"/>
      <c r="H500" s="239"/>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row>
    <row r="501">
      <c r="A501" s="239"/>
      <c r="B501" s="239"/>
      <c r="C501" s="239"/>
      <c r="D501" s="239"/>
      <c r="E501" s="239"/>
      <c r="F501" s="255"/>
      <c r="G501" s="239"/>
      <c r="H501" s="239"/>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row>
    <row r="502">
      <c r="A502" s="239"/>
      <c r="B502" s="239"/>
      <c r="C502" s="239"/>
      <c r="D502" s="239"/>
      <c r="E502" s="239"/>
      <c r="F502" s="255"/>
      <c r="G502" s="239"/>
      <c r="H502" s="239"/>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row>
    <row r="503">
      <c r="A503" s="239"/>
      <c r="B503" s="239"/>
      <c r="C503" s="239"/>
      <c r="D503" s="239"/>
      <c r="E503" s="239"/>
      <c r="F503" s="255"/>
      <c r="G503" s="239"/>
      <c r="H503" s="239"/>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row>
    <row r="504">
      <c r="A504" s="239"/>
      <c r="B504" s="239"/>
      <c r="C504" s="239"/>
      <c r="D504" s="239"/>
      <c r="E504" s="239"/>
      <c r="F504" s="255"/>
      <c r="G504" s="239"/>
      <c r="H504" s="239"/>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row>
    <row r="505">
      <c r="A505" s="239"/>
      <c r="B505" s="239"/>
      <c r="C505" s="239"/>
      <c r="D505" s="239"/>
      <c r="E505" s="239"/>
      <c r="F505" s="255"/>
      <c r="G505" s="239"/>
      <c r="H505" s="239"/>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row>
    <row r="506">
      <c r="A506" s="239"/>
      <c r="B506" s="239"/>
      <c r="C506" s="239"/>
      <c r="D506" s="239"/>
      <c r="E506" s="239"/>
      <c r="F506" s="255"/>
      <c r="G506" s="239"/>
      <c r="H506" s="239"/>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row>
    <row r="507">
      <c r="A507" s="239"/>
      <c r="B507" s="239"/>
      <c r="C507" s="239"/>
      <c r="D507" s="239"/>
      <c r="E507" s="239"/>
      <c r="F507" s="255"/>
      <c r="G507" s="239"/>
      <c r="H507" s="239"/>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row>
    <row r="508">
      <c r="A508" s="239"/>
      <c r="B508" s="239"/>
      <c r="C508" s="239"/>
      <c r="D508" s="239"/>
      <c r="E508" s="239"/>
      <c r="F508" s="255"/>
      <c r="G508" s="239"/>
      <c r="H508" s="239"/>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row>
    <row r="509">
      <c r="A509" s="239"/>
      <c r="B509" s="239"/>
      <c r="C509" s="239"/>
      <c r="D509" s="239"/>
      <c r="E509" s="239"/>
      <c r="F509" s="255"/>
      <c r="G509" s="239"/>
      <c r="H509" s="239"/>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row>
    <row r="510">
      <c r="A510" s="239"/>
      <c r="B510" s="239"/>
      <c r="C510" s="239"/>
      <c r="D510" s="239"/>
      <c r="E510" s="239"/>
      <c r="F510" s="255"/>
      <c r="G510" s="239"/>
      <c r="H510" s="239"/>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row>
    <row r="511">
      <c r="A511" s="239"/>
      <c r="B511" s="239"/>
      <c r="C511" s="239"/>
      <c r="D511" s="239"/>
      <c r="E511" s="239"/>
      <c r="F511" s="255"/>
      <c r="G511" s="239"/>
      <c r="H511" s="239"/>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row>
    <row r="512">
      <c r="A512" s="239"/>
      <c r="B512" s="239"/>
      <c r="C512" s="239"/>
      <c r="D512" s="239"/>
      <c r="E512" s="239"/>
      <c r="F512" s="255"/>
      <c r="G512" s="239"/>
      <c r="H512" s="239"/>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row>
    <row r="513">
      <c r="A513" s="239"/>
      <c r="B513" s="239"/>
      <c r="C513" s="239"/>
      <c r="D513" s="239"/>
      <c r="E513" s="239"/>
      <c r="F513" s="255"/>
      <c r="G513" s="239"/>
      <c r="H513" s="239"/>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row>
    <row r="514">
      <c r="A514" s="239"/>
      <c r="B514" s="239"/>
      <c r="C514" s="239"/>
      <c r="D514" s="239"/>
      <c r="E514" s="239"/>
      <c r="F514" s="255"/>
      <c r="G514" s="239"/>
      <c r="H514" s="239"/>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row>
    <row r="515">
      <c r="A515" s="239"/>
      <c r="B515" s="239"/>
      <c r="C515" s="239"/>
      <c r="D515" s="239"/>
      <c r="E515" s="239"/>
      <c r="F515" s="255"/>
      <c r="G515" s="239"/>
      <c r="H515" s="239"/>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row>
    <row r="516">
      <c r="A516" s="239"/>
      <c r="B516" s="239"/>
      <c r="C516" s="239"/>
      <c r="D516" s="239"/>
      <c r="E516" s="239"/>
      <c r="F516" s="255"/>
      <c r="G516" s="239"/>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row>
    <row r="517">
      <c r="A517" s="239"/>
      <c r="B517" s="239"/>
      <c r="C517" s="239"/>
      <c r="D517" s="239"/>
      <c r="E517" s="239"/>
      <c r="F517" s="255"/>
      <c r="G517" s="239"/>
      <c r="H517" s="239"/>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row>
    <row r="518">
      <c r="A518" s="239"/>
      <c r="B518" s="239"/>
      <c r="C518" s="239"/>
      <c r="D518" s="239"/>
      <c r="E518" s="239"/>
      <c r="F518" s="255"/>
      <c r="G518" s="239"/>
      <c r="H518" s="239"/>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row>
    <row r="519">
      <c r="A519" s="239"/>
      <c r="B519" s="239"/>
      <c r="C519" s="239"/>
      <c r="D519" s="239"/>
      <c r="E519" s="239"/>
      <c r="F519" s="255"/>
      <c r="G519" s="239"/>
      <c r="H519" s="239"/>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row>
    <row r="520">
      <c r="A520" s="239"/>
      <c r="B520" s="239"/>
      <c r="C520" s="239"/>
      <c r="D520" s="239"/>
      <c r="E520" s="239"/>
      <c r="F520" s="255"/>
      <c r="G520" s="239"/>
      <c r="H520" s="239"/>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row>
    <row r="521">
      <c r="A521" s="239"/>
      <c r="B521" s="239"/>
      <c r="C521" s="239"/>
      <c r="D521" s="239"/>
      <c r="E521" s="239"/>
      <c r="F521" s="255"/>
      <c r="G521" s="239"/>
      <c r="H521" s="239"/>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row>
    <row r="522">
      <c r="A522" s="239"/>
      <c r="B522" s="239"/>
      <c r="C522" s="239"/>
      <c r="D522" s="239"/>
      <c r="E522" s="239"/>
      <c r="F522" s="255"/>
      <c r="G522" s="239"/>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row>
    <row r="523">
      <c r="A523" s="239"/>
      <c r="B523" s="239"/>
      <c r="C523" s="239"/>
      <c r="D523" s="239"/>
      <c r="E523" s="239"/>
      <c r="F523" s="255"/>
      <c r="G523" s="239"/>
      <c r="H523" s="239"/>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row>
    <row r="524">
      <c r="A524" s="239"/>
      <c r="B524" s="239"/>
      <c r="C524" s="239"/>
      <c r="D524" s="239"/>
      <c r="E524" s="239"/>
      <c r="F524" s="255"/>
      <c r="G524" s="239"/>
      <c r="H524" s="239"/>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row>
    <row r="525">
      <c r="A525" s="239"/>
      <c r="B525" s="239"/>
      <c r="C525" s="239"/>
      <c r="D525" s="239"/>
      <c r="E525" s="239"/>
      <c r="F525" s="255"/>
      <c r="G525" s="239"/>
      <c r="H525" s="239"/>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row>
    <row r="526">
      <c r="A526" s="239"/>
      <c r="B526" s="239"/>
      <c r="C526" s="239"/>
      <c r="D526" s="239"/>
      <c r="E526" s="239"/>
      <c r="F526" s="255"/>
      <c r="G526" s="239"/>
      <c r="H526" s="239"/>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row>
    <row r="527">
      <c r="A527" s="239"/>
      <c r="B527" s="239"/>
      <c r="C527" s="239"/>
      <c r="D527" s="239"/>
      <c r="E527" s="239"/>
      <c r="F527" s="255"/>
      <c r="G527" s="239"/>
      <c r="H527" s="239"/>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row>
    <row r="528">
      <c r="A528" s="239"/>
      <c r="B528" s="239"/>
      <c r="C528" s="239"/>
      <c r="D528" s="239"/>
      <c r="E528" s="239"/>
      <c r="F528" s="255"/>
      <c r="G528" s="239"/>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row>
    <row r="529">
      <c r="A529" s="239"/>
      <c r="B529" s="239"/>
      <c r="C529" s="239"/>
      <c r="D529" s="239"/>
      <c r="E529" s="239"/>
      <c r="F529" s="255"/>
      <c r="G529" s="239"/>
      <c r="H529" s="239"/>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row>
    <row r="530">
      <c r="A530" s="239"/>
      <c r="B530" s="239"/>
      <c r="C530" s="239"/>
      <c r="D530" s="239"/>
      <c r="E530" s="239"/>
      <c r="F530" s="255"/>
      <c r="G530" s="239"/>
      <c r="H530" s="239"/>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row>
    <row r="531">
      <c r="A531" s="239"/>
      <c r="B531" s="239"/>
      <c r="C531" s="239"/>
      <c r="D531" s="239"/>
      <c r="E531" s="239"/>
      <c r="F531" s="255"/>
      <c r="G531" s="239"/>
      <c r="H531" s="239"/>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row>
    <row r="532">
      <c r="A532" s="239"/>
      <c r="B532" s="239"/>
      <c r="C532" s="239"/>
      <c r="D532" s="239"/>
      <c r="E532" s="239"/>
      <c r="F532" s="255"/>
      <c r="G532" s="239"/>
      <c r="H532" s="239"/>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row>
    <row r="533">
      <c r="A533" s="239"/>
      <c r="B533" s="239"/>
      <c r="C533" s="239"/>
      <c r="D533" s="239"/>
      <c r="E533" s="239"/>
      <c r="F533" s="255"/>
      <c r="G533" s="239"/>
      <c r="H533" s="239"/>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row>
    <row r="534">
      <c r="A534" s="239"/>
      <c r="B534" s="239"/>
      <c r="C534" s="239"/>
      <c r="D534" s="239"/>
      <c r="E534" s="239"/>
      <c r="F534" s="255"/>
      <c r="G534" s="239"/>
      <c r="H534" s="239"/>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row>
    <row r="535">
      <c r="A535" s="239"/>
      <c r="B535" s="239"/>
      <c r="C535" s="239"/>
      <c r="D535" s="239"/>
      <c r="E535" s="239"/>
      <c r="F535" s="255"/>
      <c r="G535" s="239"/>
      <c r="H535" s="239"/>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row>
    <row r="536">
      <c r="A536" s="239"/>
      <c r="B536" s="239"/>
      <c r="C536" s="239"/>
      <c r="D536" s="239"/>
      <c r="E536" s="239"/>
      <c r="F536" s="255"/>
      <c r="G536" s="239"/>
      <c r="H536" s="239"/>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row>
    <row r="537">
      <c r="A537" s="239"/>
      <c r="B537" s="239"/>
      <c r="C537" s="239"/>
      <c r="D537" s="239"/>
      <c r="E537" s="239"/>
      <c r="F537" s="255"/>
      <c r="G537" s="239"/>
      <c r="H537" s="239"/>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row>
    <row r="538">
      <c r="A538" s="239"/>
      <c r="B538" s="239"/>
      <c r="C538" s="239"/>
      <c r="D538" s="239"/>
      <c r="E538" s="239"/>
      <c r="F538" s="255"/>
      <c r="G538" s="239"/>
      <c r="H538" s="239"/>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row>
    <row r="539">
      <c r="A539" s="239"/>
      <c r="B539" s="239"/>
      <c r="C539" s="239"/>
      <c r="D539" s="239"/>
      <c r="E539" s="239"/>
      <c r="F539" s="255"/>
      <c r="G539" s="239"/>
      <c r="H539" s="239"/>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row>
    <row r="540">
      <c r="A540" s="239"/>
      <c r="B540" s="239"/>
      <c r="C540" s="239"/>
      <c r="D540" s="239"/>
      <c r="E540" s="239"/>
      <c r="F540" s="255"/>
      <c r="G540" s="239"/>
      <c r="H540" s="239"/>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row>
    <row r="541">
      <c r="A541" s="239"/>
      <c r="B541" s="239"/>
      <c r="C541" s="239"/>
      <c r="D541" s="239"/>
      <c r="E541" s="239"/>
      <c r="F541" s="255"/>
      <c r="G541" s="239"/>
      <c r="H541" s="239"/>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row>
    <row r="542">
      <c r="A542" s="239"/>
      <c r="B542" s="239"/>
      <c r="C542" s="239"/>
      <c r="D542" s="239"/>
      <c r="E542" s="239"/>
      <c r="F542" s="255"/>
      <c r="G542" s="239"/>
      <c r="H542" s="239"/>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row>
    <row r="543">
      <c r="A543" s="239"/>
      <c r="B543" s="239"/>
      <c r="C543" s="239"/>
      <c r="D543" s="239"/>
      <c r="E543" s="239"/>
      <c r="F543" s="255"/>
      <c r="G543" s="239"/>
      <c r="H543" s="239"/>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row>
    <row r="544">
      <c r="A544" s="239"/>
      <c r="B544" s="239"/>
      <c r="C544" s="239"/>
      <c r="D544" s="239"/>
      <c r="E544" s="239"/>
      <c r="F544" s="255"/>
      <c r="G544" s="239"/>
      <c r="H544" s="239"/>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row>
    <row r="545">
      <c r="A545" s="239"/>
      <c r="B545" s="239"/>
      <c r="C545" s="239"/>
      <c r="D545" s="239"/>
      <c r="E545" s="239"/>
      <c r="F545" s="255"/>
      <c r="G545" s="239"/>
      <c r="H545" s="239"/>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row>
    <row r="546">
      <c r="A546" s="239"/>
      <c r="B546" s="239"/>
      <c r="C546" s="239"/>
      <c r="D546" s="239"/>
      <c r="E546" s="239"/>
      <c r="F546" s="255"/>
      <c r="G546" s="239"/>
      <c r="H546" s="239"/>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row>
    <row r="547">
      <c r="A547" s="239"/>
      <c r="B547" s="239"/>
      <c r="C547" s="239"/>
      <c r="D547" s="239"/>
      <c r="E547" s="239"/>
      <c r="F547" s="255"/>
      <c r="G547" s="239"/>
      <c r="H547" s="239"/>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row>
    <row r="548">
      <c r="A548" s="239"/>
      <c r="B548" s="239"/>
      <c r="C548" s="239"/>
      <c r="D548" s="239"/>
      <c r="E548" s="239"/>
      <c r="F548" s="255"/>
      <c r="G548" s="239"/>
      <c r="H548" s="239"/>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row>
    <row r="549">
      <c r="A549" s="239"/>
      <c r="B549" s="239"/>
      <c r="C549" s="239"/>
      <c r="D549" s="239"/>
      <c r="E549" s="239"/>
      <c r="F549" s="255"/>
      <c r="G549" s="239"/>
      <c r="H549" s="239"/>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row>
    <row r="550">
      <c r="A550" s="239"/>
      <c r="B550" s="239"/>
      <c r="C550" s="239"/>
      <c r="D550" s="239"/>
      <c r="E550" s="239"/>
      <c r="F550" s="255"/>
      <c r="G550" s="239"/>
      <c r="H550" s="239"/>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row>
    <row r="551">
      <c r="A551" s="239"/>
      <c r="B551" s="239"/>
      <c r="C551" s="239"/>
      <c r="D551" s="239"/>
      <c r="E551" s="239"/>
      <c r="F551" s="255"/>
      <c r="G551" s="239"/>
      <c r="H551" s="239"/>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row>
    <row r="552">
      <c r="A552" s="239"/>
      <c r="B552" s="239"/>
      <c r="C552" s="239"/>
      <c r="D552" s="239"/>
      <c r="E552" s="239"/>
      <c r="F552" s="255"/>
      <c r="G552" s="239"/>
      <c r="H552" s="239"/>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row>
    <row r="553">
      <c r="A553" s="239"/>
      <c r="B553" s="239"/>
      <c r="C553" s="239"/>
      <c r="D553" s="239"/>
      <c r="E553" s="239"/>
      <c r="F553" s="255"/>
      <c r="G553" s="239"/>
      <c r="H553" s="239"/>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row>
    <row r="554">
      <c r="A554" s="239"/>
      <c r="B554" s="239"/>
      <c r="C554" s="239"/>
      <c r="D554" s="239"/>
      <c r="E554" s="239"/>
      <c r="F554" s="255"/>
      <c r="G554" s="239"/>
      <c r="H554" s="239"/>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row>
    <row r="555">
      <c r="A555" s="239"/>
      <c r="B555" s="239"/>
      <c r="C555" s="239"/>
      <c r="D555" s="239"/>
      <c r="E555" s="239"/>
      <c r="F555" s="255"/>
      <c r="G555" s="239"/>
      <c r="H555" s="239"/>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row>
    <row r="556">
      <c r="A556" s="239"/>
      <c r="B556" s="239"/>
      <c r="C556" s="239"/>
      <c r="D556" s="239"/>
      <c r="E556" s="239"/>
      <c r="F556" s="255"/>
      <c r="G556" s="239"/>
      <c r="H556" s="239"/>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row>
    <row r="557">
      <c r="A557" s="239"/>
      <c r="B557" s="239"/>
      <c r="C557" s="239"/>
      <c r="D557" s="239"/>
      <c r="E557" s="239"/>
      <c r="F557" s="255"/>
      <c r="G557" s="239"/>
      <c r="H557" s="239"/>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row>
    <row r="558">
      <c r="A558" s="239"/>
      <c r="B558" s="239"/>
      <c r="C558" s="239"/>
      <c r="D558" s="239"/>
      <c r="E558" s="239"/>
      <c r="F558" s="255"/>
      <c r="G558" s="239"/>
      <c r="H558" s="239"/>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row>
    <row r="559">
      <c r="A559" s="239"/>
      <c r="B559" s="239"/>
      <c r="C559" s="239"/>
      <c r="D559" s="239"/>
      <c r="E559" s="239"/>
      <c r="F559" s="255"/>
      <c r="G559" s="239"/>
      <c r="H559" s="239"/>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row>
    <row r="560">
      <c r="A560" s="239"/>
      <c r="B560" s="239"/>
      <c r="C560" s="239"/>
      <c r="D560" s="239"/>
      <c r="E560" s="239"/>
      <c r="F560" s="255"/>
      <c r="G560" s="239"/>
      <c r="H560" s="239"/>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row>
    <row r="561">
      <c r="A561" s="239"/>
      <c r="B561" s="239"/>
      <c r="C561" s="239"/>
      <c r="D561" s="239"/>
      <c r="E561" s="239"/>
      <c r="F561" s="255"/>
      <c r="G561" s="239"/>
      <c r="H561" s="239"/>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row>
    <row r="562">
      <c r="A562" s="239"/>
      <c r="B562" s="239"/>
      <c r="C562" s="239"/>
      <c r="D562" s="239"/>
      <c r="E562" s="239"/>
      <c r="F562" s="255"/>
      <c r="G562" s="239"/>
      <c r="H562" s="239"/>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row>
    <row r="563">
      <c r="A563" s="239"/>
      <c r="B563" s="239"/>
      <c r="C563" s="239"/>
      <c r="D563" s="239"/>
      <c r="E563" s="239"/>
      <c r="F563" s="255"/>
      <c r="G563" s="239"/>
      <c r="H563" s="239"/>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row>
    <row r="564">
      <c r="A564" s="239"/>
      <c r="B564" s="239"/>
      <c r="C564" s="239"/>
      <c r="D564" s="239"/>
      <c r="E564" s="239"/>
      <c r="F564" s="255"/>
      <c r="G564" s="239"/>
      <c r="H564" s="239"/>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row>
    <row r="565">
      <c r="A565" s="239"/>
      <c r="B565" s="239"/>
      <c r="C565" s="239"/>
      <c r="D565" s="239"/>
      <c r="E565" s="239"/>
      <c r="F565" s="255"/>
      <c r="G565" s="239"/>
      <c r="H565" s="239"/>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row>
    <row r="566">
      <c r="A566" s="239"/>
      <c r="B566" s="239"/>
      <c r="C566" s="239"/>
      <c r="D566" s="239"/>
      <c r="E566" s="239"/>
      <c r="F566" s="255"/>
      <c r="G566" s="239"/>
      <c r="H566" s="239"/>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row>
    <row r="567">
      <c r="A567" s="239"/>
      <c r="B567" s="239"/>
      <c r="C567" s="239"/>
      <c r="D567" s="239"/>
      <c r="E567" s="239"/>
      <c r="F567" s="255"/>
      <c r="G567" s="239"/>
      <c r="H567" s="239"/>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row>
    <row r="568">
      <c r="A568" s="239"/>
      <c r="B568" s="239"/>
      <c r="C568" s="239"/>
      <c r="D568" s="239"/>
      <c r="E568" s="239"/>
      <c r="F568" s="255"/>
      <c r="G568" s="239"/>
      <c r="H568" s="239"/>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row>
    <row r="569">
      <c r="A569" s="239"/>
      <c r="B569" s="239"/>
      <c r="C569" s="239"/>
      <c r="D569" s="239"/>
      <c r="E569" s="239"/>
      <c r="F569" s="255"/>
      <c r="G569" s="239"/>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row>
    <row r="570">
      <c r="A570" s="239"/>
      <c r="B570" s="239"/>
      <c r="C570" s="239"/>
      <c r="D570" s="239"/>
      <c r="E570" s="239"/>
      <c r="F570" s="255"/>
      <c r="G570" s="239"/>
      <c r="H570" s="239"/>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row>
    <row r="571">
      <c r="A571" s="239"/>
      <c r="B571" s="239"/>
      <c r="C571" s="239"/>
      <c r="D571" s="239"/>
      <c r="E571" s="239"/>
      <c r="F571" s="255"/>
      <c r="G571" s="239"/>
      <c r="H571" s="239"/>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row>
    <row r="572">
      <c r="A572" s="239"/>
      <c r="B572" s="239"/>
      <c r="C572" s="239"/>
      <c r="D572" s="239"/>
      <c r="E572" s="239"/>
      <c r="F572" s="255"/>
      <c r="G572" s="239"/>
      <c r="H572" s="239"/>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row>
    <row r="573">
      <c r="A573" s="239"/>
      <c r="B573" s="239"/>
      <c r="C573" s="239"/>
      <c r="D573" s="239"/>
      <c r="E573" s="239"/>
      <c r="F573" s="255"/>
      <c r="G573" s="239"/>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row>
    <row r="574">
      <c r="A574" s="239"/>
      <c r="B574" s="239"/>
      <c r="C574" s="239"/>
      <c r="D574" s="239"/>
      <c r="E574" s="239"/>
      <c r="F574" s="255"/>
      <c r="G574" s="239"/>
      <c r="H574" s="239"/>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row>
    <row r="575">
      <c r="A575" s="239"/>
      <c r="B575" s="239"/>
      <c r="C575" s="239"/>
      <c r="D575" s="239"/>
      <c r="E575" s="239"/>
      <c r="F575" s="255"/>
      <c r="G575" s="239"/>
      <c r="H575" s="239"/>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row>
    <row r="576">
      <c r="A576" s="239"/>
      <c r="B576" s="239"/>
      <c r="C576" s="239"/>
      <c r="D576" s="239"/>
      <c r="E576" s="239"/>
      <c r="F576" s="255"/>
      <c r="G576" s="239"/>
      <c r="H576" s="239"/>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row>
    <row r="577">
      <c r="A577" s="239"/>
      <c r="B577" s="239"/>
      <c r="C577" s="239"/>
      <c r="D577" s="239"/>
      <c r="E577" s="239"/>
      <c r="F577" s="255"/>
      <c r="G577" s="239"/>
      <c r="H577" s="239"/>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row>
    <row r="578">
      <c r="A578" s="239"/>
      <c r="B578" s="239"/>
      <c r="C578" s="239"/>
      <c r="D578" s="239"/>
      <c r="E578" s="239"/>
      <c r="F578" s="255"/>
      <c r="G578" s="239"/>
      <c r="H578" s="239"/>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row>
    <row r="579">
      <c r="A579" s="239"/>
      <c r="B579" s="239"/>
      <c r="C579" s="239"/>
      <c r="D579" s="239"/>
      <c r="E579" s="239"/>
      <c r="F579" s="255"/>
      <c r="G579" s="239"/>
      <c r="H579" s="239"/>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row>
    <row r="580">
      <c r="A580" s="239"/>
      <c r="B580" s="239"/>
      <c r="C580" s="239"/>
      <c r="D580" s="239"/>
      <c r="E580" s="239"/>
      <c r="F580" s="255"/>
      <c r="G580" s="239"/>
      <c r="H580" s="239"/>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row>
    <row r="581">
      <c r="A581" s="239"/>
      <c r="B581" s="239"/>
      <c r="C581" s="239"/>
      <c r="D581" s="239"/>
      <c r="E581" s="239"/>
      <c r="F581" s="255"/>
      <c r="G581" s="239"/>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row>
    <row r="582">
      <c r="A582" s="239"/>
      <c r="B582" s="239"/>
      <c r="C582" s="239"/>
      <c r="D582" s="239"/>
      <c r="E582" s="239"/>
      <c r="F582" s="255"/>
      <c r="G582" s="239"/>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row>
    <row r="583">
      <c r="A583" s="239"/>
      <c r="B583" s="239"/>
      <c r="C583" s="239"/>
      <c r="D583" s="239"/>
      <c r="E583" s="239"/>
      <c r="F583" s="255"/>
      <c r="G583" s="239"/>
      <c r="H583" s="239"/>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row>
    <row r="584">
      <c r="A584" s="239"/>
      <c r="B584" s="239"/>
      <c r="C584" s="239"/>
      <c r="D584" s="239"/>
      <c r="E584" s="239"/>
      <c r="F584" s="255"/>
      <c r="G584" s="239"/>
      <c r="H584" s="239"/>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row>
    <row r="585">
      <c r="A585" s="239"/>
      <c r="B585" s="239"/>
      <c r="C585" s="239"/>
      <c r="D585" s="239"/>
      <c r="E585" s="239"/>
      <c r="F585" s="255"/>
      <c r="G585" s="239"/>
      <c r="H585" s="239"/>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row>
    <row r="586">
      <c r="A586" s="239"/>
      <c r="B586" s="239"/>
      <c r="C586" s="239"/>
      <c r="D586" s="239"/>
      <c r="E586" s="239"/>
      <c r="F586" s="255"/>
      <c r="G586" s="239"/>
      <c r="H586" s="239"/>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row>
    <row r="587">
      <c r="A587" s="239"/>
      <c r="B587" s="239"/>
      <c r="C587" s="239"/>
      <c r="D587" s="239"/>
      <c r="E587" s="239"/>
      <c r="F587" s="255"/>
      <c r="G587" s="239"/>
      <c r="H587" s="239"/>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row>
    <row r="588">
      <c r="A588" s="239"/>
      <c r="B588" s="239"/>
      <c r="C588" s="239"/>
      <c r="D588" s="239"/>
      <c r="E588" s="239"/>
      <c r="F588" s="255"/>
      <c r="G588" s="239"/>
      <c r="H588" s="239"/>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row>
    <row r="589">
      <c r="A589" s="239"/>
      <c r="B589" s="239"/>
      <c r="C589" s="239"/>
      <c r="D589" s="239"/>
      <c r="E589" s="239"/>
      <c r="F589" s="255"/>
      <c r="G589" s="239"/>
      <c r="H589" s="239"/>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row>
    <row r="590">
      <c r="A590" s="239"/>
      <c r="B590" s="239"/>
      <c r="C590" s="239"/>
      <c r="D590" s="239"/>
      <c r="E590" s="239"/>
      <c r="F590" s="255"/>
      <c r="G590" s="239"/>
      <c r="H590" s="239"/>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row>
    <row r="591">
      <c r="A591" s="239"/>
      <c r="B591" s="239"/>
      <c r="C591" s="239"/>
      <c r="D591" s="239"/>
      <c r="E591" s="239"/>
      <c r="F591" s="255"/>
      <c r="G591" s="239"/>
      <c r="H591" s="239"/>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row>
    <row r="592">
      <c r="A592" s="239"/>
      <c r="B592" s="239"/>
      <c r="C592" s="239"/>
      <c r="D592" s="239"/>
      <c r="E592" s="239"/>
      <c r="F592" s="255"/>
      <c r="G592" s="239"/>
      <c r="H592" s="239"/>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row>
    <row r="593">
      <c r="A593" s="239"/>
      <c r="B593" s="239"/>
      <c r="C593" s="239"/>
      <c r="D593" s="239"/>
      <c r="E593" s="239"/>
      <c r="F593" s="255"/>
      <c r="G593" s="239"/>
      <c r="H593" s="239"/>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row>
    <row r="594">
      <c r="A594" s="239"/>
      <c r="B594" s="239"/>
      <c r="C594" s="239"/>
      <c r="D594" s="239"/>
      <c r="E594" s="239"/>
      <c r="F594" s="255"/>
      <c r="G594" s="239"/>
      <c r="H594" s="239"/>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row>
    <row r="595">
      <c r="A595" s="239"/>
      <c r="B595" s="239"/>
      <c r="C595" s="239"/>
      <c r="D595" s="239"/>
      <c r="E595" s="239"/>
      <c r="F595" s="255"/>
      <c r="G595" s="239"/>
      <c r="H595" s="239"/>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row>
    <row r="596">
      <c r="A596" s="239"/>
      <c r="B596" s="239"/>
      <c r="C596" s="239"/>
      <c r="D596" s="239"/>
      <c r="E596" s="239"/>
      <c r="F596" s="255"/>
      <c r="G596" s="239"/>
      <c r="H596" s="239"/>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row>
    <row r="597">
      <c r="A597" s="239"/>
      <c r="B597" s="239"/>
      <c r="C597" s="239"/>
      <c r="D597" s="239"/>
      <c r="E597" s="239"/>
      <c r="F597" s="255"/>
      <c r="G597" s="239"/>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row>
    <row r="598">
      <c r="A598" s="239"/>
      <c r="B598" s="239"/>
      <c r="C598" s="239"/>
      <c r="D598" s="239"/>
      <c r="E598" s="239"/>
      <c r="F598" s="255"/>
      <c r="G598" s="239"/>
      <c r="H598" s="239"/>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row>
    <row r="599">
      <c r="A599" s="239"/>
      <c r="B599" s="239"/>
      <c r="C599" s="239"/>
      <c r="D599" s="239"/>
      <c r="E599" s="239"/>
      <c r="F599" s="255"/>
      <c r="G599" s="239"/>
      <c r="H599" s="239"/>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row>
    <row r="600">
      <c r="A600" s="239"/>
      <c r="B600" s="239"/>
      <c r="C600" s="239"/>
      <c r="D600" s="239"/>
      <c r="E600" s="239"/>
      <c r="F600" s="255"/>
      <c r="G600" s="239"/>
      <c r="H600" s="239"/>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row>
    <row r="601">
      <c r="A601" s="239"/>
      <c r="B601" s="239"/>
      <c r="C601" s="239"/>
      <c r="D601" s="239"/>
      <c r="E601" s="239"/>
      <c r="F601" s="255"/>
      <c r="G601" s="239"/>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row>
    <row r="602">
      <c r="A602" s="239"/>
      <c r="B602" s="239"/>
      <c r="C602" s="239"/>
      <c r="D602" s="239"/>
      <c r="E602" s="239"/>
      <c r="F602" s="255"/>
      <c r="G602" s="239"/>
      <c r="H602" s="239"/>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row>
    <row r="603">
      <c r="A603" s="239"/>
      <c r="B603" s="239"/>
      <c r="C603" s="239"/>
      <c r="D603" s="239"/>
      <c r="E603" s="239"/>
      <c r="F603" s="255"/>
      <c r="G603" s="239"/>
      <c r="H603" s="239"/>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row>
    <row r="604">
      <c r="A604" s="239"/>
      <c r="B604" s="239"/>
      <c r="C604" s="239"/>
      <c r="D604" s="239"/>
      <c r="E604" s="239"/>
      <c r="F604" s="255"/>
      <c r="G604" s="239"/>
      <c r="H604" s="239"/>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row>
    <row r="605">
      <c r="A605" s="239"/>
      <c r="B605" s="239"/>
      <c r="C605" s="239"/>
      <c r="D605" s="239"/>
      <c r="E605" s="239"/>
      <c r="F605" s="255"/>
      <c r="G605" s="239"/>
      <c r="H605" s="239"/>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row>
    <row r="606">
      <c r="A606" s="239"/>
      <c r="B606" s="239"/>
      <c r="C606" s="239"/>
      <c r="D606" s="239"/>
      <c r="E606" s="239"/>
      <c r="F606" s="255"/>
      <c r="G606" s="239"/>
      <c r="H606" s="239"/>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row>
    <row r="607">
      <c r="A607" s="239"/>
      <c r="B607" s="239"/>
      <c r="C607" s="239"/>
      <c r="D607" s="239"/>
      <c r="E607" s="239"/>
      <c r="F607" s="255"/>
      <c r="G607" s="239"/>
      <c r="H607" s="239"/>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row>
    <row r="608">
      <c r="A608" s="239"/>
      <c r="B608" s="239"/>
      <c r="C608" s="239"/>
      <c r="D608" s="239"/>
      <c r="E608" s="239"/>
      <c r="F608" s="255"/>
      <c r="G608" s="239"/>
      <c r="H608" s="239"/>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row>
    <row r="609">
      <c r="A609" s="239"/>
      <c r="B609" s="239"/>
      <c r="C609" s="239"/>
      <c r="D609" s="239"/>
      <c r="E609" s="239"/>
      <c r="F609" s="255"/>
      <c r="G609" s="239"/>
      <c r="H609" s="239"/>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row>
    <row r="610">
      <c r="A610" s="239"/>
      <c r="B610" s="239"/>
      <c r="C610" s="239"/>
      <c r="D610" s="239"/>
      <c r="E610" s="239"/>
      <c r="F610" s="255"/>
      <c r="G610" s="239"/>
      <c r="H610" s="239"/>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row>
    <row r="611">
      <c r="A611" s="239"/>
      <c r="B611" s="239"/>
      <c r="C611" s="239"/>
      <c r="D611" s="239"/>
      <c r="E611" s="239"/>
      <c r="F611" s="255"/>
      <c r="G611" s="239"/>
      <c r="H611" s="239"/>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row>
    <row r="612">
      <c r="A612" s="239"/>
      <c r="B612" s="239"/>
      <c r="C612" s="239"/>
      <c r="D612" s="239"/>
      <c r="E612" s="239"/>
      <c r="F612" s="255"/>
      <c r="G612" s="239"/>
      <c r="H612" s="239"/>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row>
    <row r="613">
      <c r="A613" s="239"/>
      <c r="B613" s="239"/>
      <c r="C613" s="239"/>
      <c r="D613" s="239"/>
      <c r="E613" s="239"/>
      <c r="F613" s="255"/>
      <c r="G613" s="239"/>
      <c r="H613" s="239"/>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row>
    <row r="614">
      <c r="A614" s="239"/>
      <c r="B614" s="239"/>
      <c r="C614" s="239"/>
      <c r="D614" s="239"/>
      <c r="E614" s="239"/>
      <c r="F614" s="255"/>
      <c r="G614" s="239"/>
      <c r="H614" s="239"/>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row>
    <row r="615">
      <c r="A615" s="239"/>
      <c r="B615" s="239"/>
      <c r="C615" s="239"/>
      <c r="D615" s="239"/>
      <c r="E615" s="239"/>
      <c r="F615" s="255"/>
      <c r="G615" s="239"/>
      <c r="H615" s="239"/>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row>
    <row r="616">
      <c r="A616" s="239"/>
      <c r="B616" s="239"/>
      <c r="C616" s="239"/>
      <c r="D616" s="239"/>
      <c r="E616" s="239"/>
      <c r="F616" s="255"/>
      <c r="G616" s="239"/>
      <c r="H616" s="239"/>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row>
    <row r="617">
      <c r="A617" s="239"/>
      <c r="B617" s="239"/>
      <c r="C617" s="239"/>
      <c r="D617" s="239"/>
      <c r="E617" s="239"/>
      <c r="F617" s="255"/>
      <c r="G617" s="239"/>
      <c r="H617" s="239"/>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row>
    <row r="618">
      <c r="A618" s="239"/>
      <c r="B618" s="239"/>
      <c r="C618" s="239"/>
      <c r="D618" s="239"/>
      <c r="E618" s="239"/>
      <c r="F618" s="255"/>
      <c r="G618" s="239"/>
      <c r="H618" s="239"/>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row>
    <row r="619">
      <c r="A619" s="239"/>
      <c r="B619" s="239"/>
      <c r="C619" s="239"/>
      <c r="D619" s="239"/>
      <c r="E619" s="239"/>
      <c r="F619" s="255"/>
      <c r="G619" s="239"/>
      <c r="H619" s="239"/>
      <c r="I619" s="239"/>
      <c r="J619" s="239"/>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row>
    <row r="620">
      <c r="A620" s="239"/>
      <c r="B620" s="239"/>
      <c r="C620" s="239"/>
      <c r="D620" s="239"/>
      <c r="E620" s="239"/>
      <c r="F620" s="255"/>
      <c r="G620" s="239"/>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row>
    <row r="621">
      <c r="A621" s="239"/>
      <c r="B621" s="239"/>
      <c r="C621" s="239"/>
      <c r="D621" s="239"/>
      <c r="E621" s="239"/>
      <c r="F621" s="255"/>
      <c r="G621" s="239"/>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row>
    <row r="622">
      <c r="A622" s="239"/>
      <c r="B622" s="239"/>
      <c r="C622" s="239"/>
      <c r="D622" s="239"/>
      <c r="E622" s="239"/>
      <c r="F622" s="255"/>
      <c r="G622" s="239"/>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row>
    <row r="623">
      <c r="A623" s="239"/>
      <c r="B623" s="239"/>
      <c r="C623" s="239"/>
      <c r="D623" s="239"/>
      <c r="E623" s="239"/>
      <c r="F623" s="255"/>
      <c r="G623" s="239"/>
      <c r="H623" s="239"/>
      <c r="I623" s="239"/>
      <c r="J623" s="239"/>
      <c r="K623" s="239"/>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row>
    <row r="624">
      <c r="A624" s="239"/>
      <c r="B624" s="239"/>
      <c r="C624" s="239"/>
      <c r="D624" s="239"/>
      <c r="E624" s="239"/>
      <c r="F624" s="255"/>
      <c r="G624" s="239"/>
      <c r="H624" s="239"/>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row>
    <row r="625">
      <c r="A625" s="239"/>
      <c r="B625" s="239"/>
      <c r="C625" s="239"/>
      <c r="D625" s="239"/>
      <c r="E625" s="239"/>
      <c r="F625" s="255"/>
      <c r="G625" s="239"/>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row>
    <row r="626">
      <c r="A626" s="239"/>
      <c r="B626" s="239"/>
      <c r="C626" s="239"/>
      <c r="D626" s="239"/>
      <c r="E626" s="239"/>
      <c r="F626" s="255"/>
      <c r="G626" s="239"/>
      <c r="H626" s="239"/>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row>
    <row r="627">
      <c r="A627" s="239"/>
      <c r="B627" s="239"/>
      <c r="C627" s="239"/>
      <c r="D627" s="239"/>
      <c r="E627" s="239"/>
      <c r="F627" s="255"/>
      <c r="G627" s="239"/>
      <c r="H627" s="239"/>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row>
    <row r="628">
      <c r="A628" s="239"/>
      <c r="B628" s="239"/>
      <c r="C628" s="239"/>
      <c r="D628" s="239"/>
      <c r="E628" s="239"/>
      <c r="F628" s="255"/>
      <c r="G628" s="239"/>
      <c r="H628" s="239"/>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row>
    <row r="629">
      <c r="A629" s="239"/>
      <c r="B629" s="239"/>
      <c r="C629" s="239"/>
      <c r="D629" s="239"/>
      <c r="E629" s="239"/>
      <c r="F629" s="255"/>
      <c r="G629" s="239"/>
      <c r="H629" s="239"/>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row>
    <row r="630">
      <c r="A630" s="239"/>
      <c r="B630" s="239"/>
      <c r="C630" s="239"/>
      <c r="D630" s="239"/>
      <c r="E630" s="239"/>
      <c r="F630" s="255"/>
      <c r="G630" s="239"/>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row>
    <row r="631">
      <c r="A631" s="239"/>
      <c r="B631" s="239"/>
      <c r="C631" s="239"/>
      <c r="D631" s="239"/>
      <c r="E631" s="239"/>
      <c r="F631" s="255"/>
      <c r="G631" s="239"/>
      <c r="H631" s="239"/>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row>
    <row r="632">
      <c r="A632" s="239"/>
      <c r="B632" s="239"/>
      <c r="C632" s="239"/>
      <c r="D632" s="239"/>
      <c r="E632" s="239"/>
      <c r="F632" s="255"/>
      <c r="G632" s="239"/>
      <c r="H632" s="239"/>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row>
    <row r="633">
      <c r="A633" s="239"/>
      <c r="B633" s="239"/>
      <c r="C633" s="239"/>
      <c r="D633" s="239"/>
      <c r="E633" s="239"/>
      <c r="F633" s="255"/>
      <c r="G633" s="239"/>
      <c r="H633" s="239"/>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row>
    <row r="634">
      <c r="A634" s="239"/>
      <c r="B634" s="239"/>
      <c r="C634" s="239"/>
      <c r="D634" s="239"/>
      <c r="E634" s="239"/>
      <c r="F634" s="255"/>
      <c r="G634" s="239"/>
      <c r="H634" s="239"/>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row>
    <row r="635">
      <c r="A635" s="239"/>
      <c r="B635" s="239"/>
      <c r="C635" s="239"/>
      <c r="D635" s="239"/>
      <c r="E635" s="239"/>
      <c r="F635" s="255"/>
      <c r="G635" s="239"/>
      <c r="H635" s="239"/>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row>
    <row r="636">
      <c r="A636" s="239"/>
      <c r="B636" s="239"/>
      <c r="C636" s="239"/>
      <c r="D636" s="239"/>
      <c r="E636" s="239"/>
      <c r="F636" s="255"/>
      <c r="G636" s="239"/>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row>
    <row r="637">
      <c r="A637" s="239"/>
      <c r="B637" s="239"/>
      <c r="C637" s="239"/>
      <c r="D637" s="239"/>
      <c r="E637" s="239"/>
      <c r="F637" s="255"/>
      <c r="G637" s="239"/>
      <c r="H637" s="239"/>
      <c r="I637" s="239"/>
      <c r="J637" s="239"/>
      <c r="K637" s="239"/>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row>
    <row r="638">
      <c r="A638" s="239"/>
      <c r="B638" s="239"/>
      <c r="C638" s="239"/>
      <c r="D638" s="239"/>
      <c r="E638" s="239"/>
      <c r="F638" s="255"/>
      <c r="G638" s="239"/>
      <c r="H638" s="239"/>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row>
    <row r="639">
      <c r="A639" s="239"/>
      <c r="B639" s="239"/>
      <c r="C639" s="239"/>
      <c r="D639" s="239"/>
      <c r="E639" s="239"/>
      <c r="F639" s="255"/>
      <c r="G639" s="239"/>
      <c r="H639" s="239"/>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row>
    <row r="640">
      <c r="A640" s="239"/>
      <c r="B640" s="239"/>
      <c r="C640" s="239"/>
      <c r="D640" s="239"/>
      <c r="E640" s="239"/>
      <c r="F640" s="255"/>
      <c r="G640" s="239"/>
      <c r="H640" s="239"/>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row>
    <row r="641">
      <c r="A641" s="239"/>
      <c r="B641" s="239"/>
      <c r="C641" s="239"/>
      <c r="D641" s="239"/>
      <c r="E641" s="239"/>
      <c r="F641" s="255"/>
      <c r="G641" s="239"/>
      <c r="H641" s="239"/>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row>
    <row r="642">
      <c r="A642" s="239"/>
      <c r="B642" s="239"/>
      <c r="C642" s="239"/>
      <c r="D642" s="239"/>
      <c r="E642" s="239"/>
      <c r="F642" s="255"/>
      <c r="G642" s="239"/>
      <c r="H642" s="239"/>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row>
    <row r="643">
      <c r="A643" s="239"/>
      <c r="B643" s="239"/>
      <c r="C643" s="239"/>
      <c r="D643" s="239"/>
      <c r="E643" s="239"/>
      <c r="F643" s="255"/>
      <c r="G643" s="239"/>
      <c r="H643" s="239"/>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row>
    <row r="644">
      <c r="A644" s="239"/>
      <c r="B644" s="239"/>
      <c r="C644" s="239"/>
      <c r="D644" s="239"/>
      <c r="E644" s="239"/>
      <c r="F644" s="255"/>
      <c r="G644" s="239"/>
      <c r="H644" s="239"/>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row>
    <row r="645">
      <c r="A645" s="239"/>
      <c r="B645" s="239"/>
      <c r="C645" s="239"/>
      <c r="D645" s="239"/>
      <c r="E645" s="239"/>
      <c r="F645" s="255"/>
      <c r="G645" s="239"/>
      <c r="H645" s="239"/>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row>
    <row r="646">
      <c r="A646" s="239"/>
      <c r="B646" s="239"/>
      <c r="C646" s="239"/>
      <c r="D646" s="239"/>
      <c r="E646" s="239"/>
      <c r="F646" s="255"/>
      <c r="G646" s="239"/>
      <c r="H646" s="239"/>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row>
    <row r="647">
      <c r="A647" s="239"/>
      <c r="B647" s="239"/>
      <c r="C647" s="239"/>
      <c r="D647" s="239"/>
      <c r="E647" s="239"/>
      <c r="F647" s="255"/>
      <c r="G647" s="239"/>
      <c r="H647" s="239"/>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row>
    <row r="648">
      <c r="A648" s="239"/>
      <c r="B648" s="239"/>
      <c r="C648" s="239"/>
      <c r="D648" s="239"/>
      <c r="E648" s="239"/>
      <c r="F648" s="255"/>
      <c r="G648" s="239"/>
      <c r="H648" s="239"/>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row>
    <row r="649">
      <c r="A649" s="239"/>
      <c r="B649" s="239"/>
      <c r="C649" s="239"/>
      <c r="D649" s="239"/>
      <c r="E649" s="239"/>
      <c r="F649" s="255"/>
      <c r="G649" s="239"/>
      <c r="H649" s="239"/>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row>
    <row r="650">
      <c r="A650" s="239"/>
      <c r="B650" s="239"/>
      <c r="C650" s="239"/>
      <c r="D650" s="239"/>
      <c r="E650" s="239"/>
      <c r="F650" s="255"/>
      <c r="G650" s="239"/>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row>
    <row r="651">
      <c r="A651" s="239"/>
      <c r="B651" s="239"/>
      <c r="C651" s="239"/>
      <c r="D651" s="239"/>
      <c r="E651" s="239"/>
      <c r="F651" s="255"/>
      <c r="G651" s="239"/>
      <c r="H651" s="239"/>
      <c r="I651" s="239"/>
      <c r="J651" s="239"/>
      <c r="K651" s="239"/>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row>
    <row r="652">
      <c r="A652" s="239"/>
      <c r="B652" s="239"/>
      <c r="C652" s="239"/>
      <c r="D652" s="239"/>
      <c r="E652" s="239"/>
      <c r="F652" s="255"/>
      <c r="G652" s="239"/>
      <c r="H652" s="239"/>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row>
    <row r="653">
      <c r="A653" s="239"/>
      <c r="B653" s="239"/>
      <c r="C653" s="239"/>
      <c r="D653" s="239"/>
      <c r="E653" s="239"/>
      <c r="F653" s="255"/>
      <c r="G653" s="239"/>
      <c r="H653" s="239"/>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row>
    <row r="654">
      <c r="A654" s="239"/>
      <c r="B654" s="239"/>
      <c r="C654" s="239"/>
      <c r="D654" s="239"/>
      <c r="E654" s="239"/>
      <c r="F654" s="255"/>
      <c r="G654" s="239"/>
      <c r="H654" s="239"/>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row>
    <row r="655">
      <c r="A655" s="239"/>
      <c r="B655" s="239"/>
      <c r="C655" s="239"/>
      <c r="D655" s="239"/>
      <c r="E655" s="239"/>
      <c r="F655" s="255"/>
      <c r="G655" s="239"/>
      <c r="H655" s="239"/>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row>
    <row r="656">
      <c r="A656" s="239"/>
      <c r="B656" s="239"/>
      <c r="C656" s="239"/>
      <c r="D656" s="239"/>
      <c r="E656" s="239"/>
      <c r="F656" s="255"/>
      <c r="G656" s="239"/>
      <c r="H656" s="239"/>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row>
    <row r="657">
      <c r="A657" s="239"/>
      <c r="B657" s="239"/>
      <c r="C657" s="239"/>
      <c r="D657" s="239"/>
      <c r="E657" s="239"/>
      <c r="F657" s="255"/>
      <c r="G657" s="239"/>
      <c r="H657" s="239"/>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row>
    <row r="658">
      <c r="A658" s="239"/>
      <c r="B658" s="239"/>
      <c r="C658" s="239"/>
      <c r="D658" s="239"/>
      <c r="E658" s="239"/>
      <c r="F658" s="255"/>
      <c r="G658" s="239"/>
      <c r="H658" s="239"/>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row>
    <row r="659">
      <c r="A659" s="239"/>
      <c r="B659" s="239"/>
      <c r="C659" s="239"/>
      <c r="D659" s="239"/>
      <c r="E659" s="239"/>
      <c r="F659" s="255"/>
      <c r="G659" s="239"/>
      <c r="H659" s="239"/>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row>
    <row r="660">
      <c r="A660" s="239"/>
      <c r="B660" s="239"/>
      <c r="C660" s="239"/>
      <c r="D660" s="239"/>
      <c r="E660" s="239"/>
      <c r="F660" s="255"/>
      <c r="G660" s="239"/>
      <c r="H660" s="239"/>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row>
    <row r="661">
      <c r="A661" s="239"/>
      <c r="B661" s="239"/>
      <c r="C661" s="239"/>
      <c r="D661" s="239"/>
      <c r="E661" s="239"/>
      <c r="F661" s="255"/>
      <c r="G661" s="239"/>
      <c r="H661" s="239"/>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row>
    <row r="662">
      <c r="A662" s="239"/>
      <c r="B662" s="239"/>
      <c r="C662" s="239"/>
      <c r="D662" s="239"/>
      <c r="E662" s="239"/>
      <c r="F662" s="255"/>
      <c r="G662" s="239"/>
      <c r="H662" s="239"/>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row>
    <row r="663">
      <c r="A663" s="239"/>
      <c r="B663" s="239"/>
      <c r="C663" s="239"/>
      <c r="D663" s="239"/>
      <c r="E663" s="239"/>
      <c r="F663" s="255"/>
      <c r="G663" s="239"/>
      <c r="H663" s="239"/>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row>
    <row r="664">
      <c r="A664" s="239"/>
      <c r="B664" s="239"/>
      <c r="C664" s="239"/>
      <c r="D664" s="239"/>
      <c r="E664" s="239"/>
      <c r="F664" s="255"/>
      <c r="G664" s="239"/>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row>
    <row r="665">
      <c r="A665" s="239"/>
      <c r="B665" s="239"/>
      <c r="C665" s="239"/>
      <c r="D665" s="239"/>
      <c r="E665" s="239"/>
      <c r="F665" s="255"/>
      <c r="G665" s="239"/>
      <c r="H665" s="239"/>
      <c r="I665" s="239"/>
      <c r="J665" s="239"/>
      <c r="K665" s="239"/>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row>
    <row r="666">
      <c r="A666" s="239"/>
      <c r="B666" s="239"/>
      <c r="C666" s="239"/>
      <c r="D666" s="239"/>
      <c r="E666" s="239"/>
      <c r="F666" s="255"/>
      <c r="G666" s="239"/>
      <c r="H666" s="239"/>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row>
    <row r="667">
      <c r="A667" s="239"/>
      <c r="B667" s="239"/>
      <c r="C667" s="239"/>
      <c r="D667" s="239"/>
      <c r="E667" s="239"/>
      <c r="F667" s="255"/>
      <c r="G667" s="239"/>
      <c r="H667" s="239"/>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row>
    <row r="668">
      <c r="A668" s="239"/>
      <c r="B668" s="239"/>
      <c r="C668" s="239"/>
      <c r="D668" s="239"/>
      <c r="E668" s="239"/>
      <c r="F668" s="255"/>
      <c r="G668" s="239"/>
      <c r="H668" s="239"/>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row>
    <row r="669">
      <c r="A669" s="239"/>
      <c r="B669" s="239"/>
      <c r="C669" s="239"/>
      <c r="D669" s="239"/>
      <c r="E669" s="239"/>
      <c r="F669" s="255"/>
      <c r="G669" s="239"/>
      <c r="H669" s="239"/>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row>
    <row r="670">
      <c r="A670" s="239"/>
      <c r="B670" s="239"/>
      <c r="C670" s="239"/>
      <c r="D670" s="239"/>
      <c r="E670" s="239"/>
      <c r="F670" s="255"/>
      <c r="G670" s="239"/>
      <c r="H670" s="239"/>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row>
    <row r="671">
      <c r="A671" s="239"/>
      <c r="B671" s="239"/>
      <c r="C671" s="239"/>
      <c r="D671" s="239"/>
      <c r="E671" s="239"/>
      <c r="F671" s="255"/>
      <c r="G671" s="239"/>
      <c r="H671" s="239"/>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row>
    <row r="672">
      <c r="A672" s="239"/>
      <c r="B672" s="239"/>
      <c r="C672" s="239"/>
      <c r="D672" s="239"/>
      <c r="E672" s="239"/>
      <c r="F672" s="255"/>
      <c r="G672" s="239"/>
      <c r="H672" s="239"/>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row>
    <row r="673">
      <c r="A673" s="239"/>
      <c r="B673" s="239"/>
      <c r="C673" s="239"/>
      <c r="D673" s="239"/>
      <c r="E673" s="239"/>
      <c r="F673" s="255"/>
      <c r="G673" s="239"/>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row>
    <row r="674">
      <c r="A674" s="239"/>
      <c r="B674" s="239"/>
      <c r="C674" s="239"/>
      <c r="D674" s="239"/>
      <c r="E674" s="239"/>
      <c r="F674" s="255"/>
      <c r="G674" s="239"/>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row>
    <row r="675">
      <c r="A675" s="239"/>
      <c r="B675" s="239"/>
      <c r="C675" s="239"/>
      <c r="D675" s="239"/>
      <c r="E675" s="239"/>
      <c r="F675" s="255"/>
      <c r="G675" s="239"/>
      <c r="H675" s="239"/>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row>
    <row r="676">
      <c r="A676" s="239"/>
      <c r="B676" s="239"/>
      <c r="C676" s="239"/>
      <c r="D676" s="239"/>
      <c r="E676" s="239"/>
      <c r="F676" s="255"/>
      <c r="G676" s="239"/>
      <c r="H676" s="239"/>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row>
    <row r="677">
      <c r="A677" s="239"/>
      <c r="B677" s="239"/>
      <c r="C677" s="239"/>
      <c r="D677" s="239"/>
      <c r="E677" s="239"/>
      <c r="F677" s="255"/>
      <c r="G677" s="239"/>
      <c r="H677" s="239"/>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row>
    <row r="678">
      <c r="A678" s="239"/>
      <c r="B678" s="239"/>
      <c r="C678" s="239"/>
      <c r="D678" s="239"/>
      <c r="E678" s="239"/>
      <c r="F678" s="255"/>
      <c r="G678" s="239"/>
      <c r="H678" s="239"/>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row>
    <row r="679">
      <c r="A679" s="239"/>
      <c r="B679" s="239"/>
      <c r="C679" s="239"/>
      <c r="D679" s="239"/>
      <c r="E679" s="239"/>
      <c r="F679" s="255"/>
      <c r="G679" s="239"/>
      <c r="H679" s="239"/>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row>
    <row r="680">
      <c r="A680" s="239"/>
      <c r="B680" s="239"/>
      <c r="C680" s="239"/>
      <c r="D680" s="239"/>
      <c r="E680" s="239"/>
      <c r="F680" s="255"/>
      <c r="G680" s="239"/>
      <c r="H680" s="239"/>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row>
    <row r="681">
      <c r="A681" s="239"/>
      <c r="B681" s="239"/>
      <c r="C681" s="239"/>
      <c r="D681" s="239"/>
      <c r="E681" s="239"/>
      <c r="F681" s="255"/>
      <c r="G681" s="239"/>
      <c r="H681" s="239"/>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row>
    <row r="682">
      <c r="A682" s="239"/>
      <c r="B682" s="239"/>
      <c r="C682" s="239"/>
      <c r="D682" s="239"/>
      <c r="E682" s="239"/>
      <c r="F682" s="255"/>
      <c r="G682" s="239"/>
      <c r="H682" s="239"/>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row>
    <row r="683">
      <c r="A683" s="239"/>
      <c r="B683" s="239"/>
      <c r="C683" s="239"/>
      <c r="D683" s="239"/>
      <c r="E683" s="239"/>
      <c r="F683" s="255"/>
      <c r="G683" s="239"/>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row>
    <row r="684">
      <c r="A684" s="239"/>
      <c r="B684" s="239"/>
      <c r="C684" s="239"/>
      <c r="D684" s="239"/>
      <c r="E684" s="239"/>
      <c r="F684" s="255"/>
      <c r="G684" s="239"/>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row>
    <row r="685">
      <c r="A685" s="239"/>
      <c r="B685" s="239"/>
      <c r="C685" s="239"/>
      <c r="D685" s="239"/>
      <c r="E685" s="239"/>
      <c r="F685" s="255"/>
      <c r="G685" s="239"/>
      <c r="H685" s="239"/>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row>
    <row r="686">
      <c r="A686" s="239"/>
      <c r="B686" s="239"/>
      <c r="C686" s="239"/>
      <c r="D686" s="239"/>
      <c r="E686" s="239"/>
      <c r="F686" s="255"/>
      <c r="G686" s="239"/>
      <c r="H686" s="239"/>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row>
    <row r="687">
      <c r="A687" s="239"/>
      <c r="B687" s="239"/>
      <c r="C687" s="239"/>
      <c r="D687" s="239"/>
      <c r="E687" s="239"/>
      <c r="F687" s="255"/>
      <c r="G687" s="239"/>
      <c r="H687" s="239"/>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row>
    <row r="688">
      <c r="A688" s="239"/>
      <c r="B688" s="239"/>
      <c r="C688" s="239"/>
      <c r="D688" s="239"/>
      <c r="E688" s="239"/>
      <c r="F688" s="255"/>
      <c r="G688" s="239"/>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row>
    <row r="689">
      <c r="A689" s="239"/>
      <c r="B689" s="239"/>
      <c r="C689" s="239"/>
      <c r="D689" s="239"/>
      <c r="E689" s="239"/>
      <c r="F689" s="255"/>
      <c r="G689" s="239"/>
      <c r="H689" s="239"/>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row>
    <row r="690">
      <c r="A690" s="239"/>
      <c r="B690" s="239"/>
      <c r="C690" s="239"/>
      <c r="D690" s="239"/>
      <c r="E690" s="239"/>
      <c r="F690" s="255"/>
      <c r="G690" s="239"/>
      <c r="H690" s="239"/>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row>
    <row r="691">
      <c r="A691" s="239"/>
      <c r="B691" s="239"/>
      <c r="C691" s="239"/>
      <c r="D691" s="239"/>
      <c r="E691" s="239"/>
      <c r="F691" s="255"/>
      <c r="G691" s="239"/>
      <c r="H691" s="239"/>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row>
    <row r="692">
      <c r="A692" s="239"/>
      <c r="B692" s="239"/>
      <c r="C692" s="239"/>
      <c r="D692" s="239"/>
      <c r="E692" s="239"/>
      <c r="F692" s="255"/>
      <c r="G692" s="239"/>
      <c r="H692" s="239"/>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row>
    <row r="693">
      <c r="A693" s="239"/>
      <c r="B693" s="239"/>
      <c r="C693" s="239"/>
      <c r="D693" s="239"/>
      <c r="E693" s="239"/>
      <c r="F693" s="255"/>
      <c r="G693" s="239"/>
      <c r="H693" s="239"/>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row>
    <row r="694">
      <c r="A694" s="239"/>
      <c r="B694" s="239"/>
      <c r="C694" s="239"/>
      <c r="D694" s="239"/>
      <c r="E694" s="239"/>
      <c r="F694" s="255"/>
      <c r="G694" s="239"/>
      <c r="H694" s="239"/>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row>
    <row r="695">
      <c r="A695" s="239"/>
      <c r="B695" s="239"/>
      <c r="C695" s="239"/>
      <c r="D695" s="239"/>
      <c r="E695" s="239"/>
      <c r="F695" s="255"/>
      <c r="G695" s="239"/>
      <c r="H695" s="239"/>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row>
    <row r="696">
      <c r="A696" s="239"/>
      <c r="B696" s="239"/>
      <c r="C696" s="239"/>
      <c r="D696" s="239"/>
      <c r="E696" s="239"/>
      <c r="F696" s="255"/>
      <c r="G696" s="239"/>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row>
    <row r="697">
      <c r="A697" s="239"/>
      <c r="B697" s="239"/>
      <c r="C697" s="239"/>
      <c r="D697" s="239"/>
      <c r="E697" s="239"/>
      <c r="F697" s="255"/>
      <c r="G697" s="239"/>
      <c r="H697" s="239"/>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row>
    <row r="698">
      <c r="A698" s="239"/>
      <c r="B698" s="239"/>
      <c r="C698" s="239"/>
      <c r="D698" s="239"/>
      <c r="E698" s="239"/>
      <c r="F698" s="255"/>
      <c r="G698" s="239"/>
      <c r="H698" s="239"/>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row>
    <row r="699">
      <c r="A699" s="239"/>
      <c r="B699" s="239"/>
      <c r="C699" s="239"/>
      <c r="D699" s="239"/>
      <c r="E699" s="239"/>
      <c r="F699" s="255"/>
      <c r="G699" s="239"/>
      <c r="H699" s="239"/>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row>
    <row r="700">
      <c r="A700" s="239"/>
      <c r="B700" s="239"/>
      <c r="C700" s="239"/>
      <c r="D700" s="239"/>
      <c r="E700" s="239"/>
      <c r="F700" s="255"/>
      <c r="G700" s="239"/>
      <c r="H700" s="239"/>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row>
    <row r="701">
      <c r="A701" s="239"/>
      <c r="B701" s="239"/>
      <c r="C701" s="239"/>
      <c r="D701" s="239"/>
      <c r="E701" s="239"/>
      <c r="F701" s="255"/>
      <c r="G701" s="239"/>
      <c r="H701" s="239"/>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row>
    <row r="702">
      <c r="A702" s="239"/>
      <c r="B702" s="239"/>
      <c r="C702" s="239"/>
      <c r="D702" s="239"/>
      <c r="E702" s="239"/>
      <c r="F702" s="255"/>
      <c r="G702" s="239"/>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row>
    <row r="703">
      <c r="A703" s="239"/>
      <c r="B703" s="239"/>
      <c r="C703" s="239"/>
      <c r="D703" s="239"/>
      <c r="E703" s="239"/>
      <c r="F703" s="255"/>
      <c r="G703" s="239"/>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row>
    <row r="704">
      <c r="A704" s="239"/>
      <c r="B704" s="239"/>
      <c r="C704" s="239"/>
      <c r="D704" s="239"/>
      <c r="E704" s="239"/>
      <c r="F704" s="255"/>
      <c r="G704" s="239"/>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row>
    <row r="705">
      <c r="A705" s="239"/>
      <c r="B705" s="239"/>
      <c r="C705" s="239"/>
      <c r="D705" s="239"/>
      <c r="E705" s="239"/>
      <c r="F705" s="255"/>
      <c r="G705" s="239"/>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row>
    <row r="706">
      <c r="A706" s="239"/>
      <c r="B706" s="239"/>
      <c r="C706" s="239"/>
      <c r="D706" s="239"/>
      <c r="E706" s="239"/>
      <c r="F706" s="255"/>
      <c r="G706" s="239"/>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row>
    <row r="707">
      <c r="A707" s="239"/>
      <c r="B707" s="239"/>
      <c r="C707" s="239"/>
      <c r="D707" s="239"/>
      <c r="E707" s="239"/>
      <c r="F707" s="255"/>
      <c r="G707" s="239"/>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row>
    <row r="708">
      <c r="A708" s="239"/>
      <c r="B708" s="239"/>
      <c r="C708" s="239"/>
      <c r="D708" s="239"/>
      <c r="E708" s="239"/>
      <c r="F708" s="255"/>
      <c r="G708" s="239"/>
      <c r="H708" s="239"/>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row>
    <row r="709">
      <c r="A709" s="239"/>
      <c r="B709" s="239"/>
      <c r="C709" s="239"/>
      <c r="D709" s="239"/>
      <c r="E709" s="239"/>
      <c r="F709" s="255"/>
      <c r="G709" s="239"/>
      <c r="H709" s="239"/>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row>
    <row r="710">
      <c r="A710" s="239"/>
      <c r="B710" s="239"/>
      <c r="C710" s="239"/>
      <c r="D710" s="239"/>
      <c r="E710" s="239"/>
      <c r="F710" s="255"/>
      <c r="G710" s="239"/>
      <c r="H710" s="239"/>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row>
    <row r="711">
      <c r="A711" s="239"/>
      <c r="B711" s="239"/>
      <c r="C711" s="239"/>
      <c r="D711" s="239"/>
      <c r="E711" s="239"/>
      <c r="F711" s="255"/>
      <c r="G711" s="239"/>
      <c r="H711" s="239"/>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row>
    <row r="712">
      <c r="A712" s="239"/>
      <c r="B712" s="239"/>
      <c r="C712" s="239"/>
      <c r="D712" s="239"/>
      <c r="E712" s="239"/>
      <c r="F712" s="255"/>
      <c r="G712" s="239"/>
      <c r="H712" s="239"/>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row>
    <row r="713">
      <c r="A713" s="239"/>
      <c r="B713" s="239"/>
      <c r="C713" s="239"/>
      <c r="D713" s="239"/>
      <c r="E713" s="239"/>
      <c r="F713" s="255"/>
      <c r="G713" s="239"/>
      <c r="H713" s="239"/>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row>
    <row r="714">
      <c r="A714" s="239"/>
      <c r="B714" s="239"/>
      <c r="C714" s="239"/>
      <c r="D714" s="239"/>
      <c r="E714" s="239"/>
      <c r="F714" s="255"/>
      <c r="G714" s="239"/>
      <c r="H714" s="239"/>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row>
    <row r="715">
      <c r="A715" s="239"/>
      <c r="B715" s="239"/>
      <c r="C715" s="239"/>
      <c r="D715" s="239"/>
      <c r="E715" s="239"/>
      <c r="F715" s="255"/>
      <c r="G715" s="239"/>
      <c r="H715" s="239"/>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row>
    <row r="716">
      <c r="A716" s="239"/>
      <c r="B716" s="239"/>
      <c r="C716" s="239"/>
      <c r="D716" s="239"/>
      <c r="E716" s="239"/>
      <c r="F716" s="255"/>
      <c r="G716" s="239"/>
      <c r="H716" s="239"/>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row>
    <row r="717">
      <c r="A717" s="239"/>
      <c r="B717" s="239"/>
      <c r="C717" s="239"/>
      <c r="D717" s="239"/>
      <c r="E717" s="239"/>
      <c r="F717" s="255"/>
      <c r="G717" s="239"/>
      <c r="H717" s="239"/>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row>
    <row r="718">
      <c r="A718" s="239"/>
      <c r="B718" s="239"/>
      <c r="C718" s="239"/>
      <c r="D718" s="239"/>
      <c r="E718" s="239"/>
      <c r="F718" s="255"/>
      <c r="G718" s="239"/>
      <c r="H718" s="239"/>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row>
    <row r="719">
      <c r="A719" s="239"/>
      <c r="B719" s="239"/>
      <c r="C719" s="239"/>
      <c r="D719" s="239"/>
      <c r="E719" s="239"/>
      <c r="F719" s="255"/>
      <c r="G719" s="239"/>
      <c r="H719" s="239"/>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row>
    <row r="720">
      <c r="A720" s="239"/>
      <c r="B720" s="239"/>
      <c r="C720" s="239"/>
      <c r="D720" s="239"/>
      <c r="E720" s="239"/>
      <c r="F720" s="255"/>
      <c r="G720" s="239"/>
      <c r="H720" s="239"/>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row>
    <row r="721">
      <c r="A721" s="239"/>
      <c r="B721" s="239"/>
      <c r="C721" s="239"/>
      <c r="D721" s="239"/>
      <c r="E721" s="239"/>
      <c r="F721" s="255"/>
      <c r="G721" s="239"/>
      <c r="H721" s="239"/>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row>
    <row r="722">
      <c r="A722" s="239"/>
      <c r="B722" s="239"/>
      <c r="C722" s="239"/>
      <c r="D722" s="239"/>
      <c r="E722" s="239"/>
      <c r="F722" s="255"/>
      <c r="G722" s="239"/>
      <c r="H722" s="239"/>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row>
    <row r="723">
      <c r="A723" s="239"/>
      <c r="B723" s="239"/>
      <c r="C723" s="239"/>
      <c r="D723" s="239"/>
      <c r="E723" s="239"/>
      <c r="F723" s="255"/>
      <c r="G723" s="239"/>
      <c r="H723" s="239"/>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row>
    <row r="724">
      <c r="A724" s="239"/>
      <c r="B724" s="239"/>
      <c r="C724" s="239"/>
      <c r="D724" s="239"/>
      <c r="E724" s="239"/>
      <c r="F724" s="255"/>
      <c r="G724" s="239"/>
      <c r="H724" s="239"/>
      <c r="I724" s="239"/>
      <c r="J724" s="239"/>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row>
    <row r="725">
      <c r="A725" s="239"/>
      <c r="B725" s="239"/>
      <c r="C725" s="239"/>
      <c r="D725" s="239"/>
      <c r="E725" s="239"/>
      <c r="F725" s="255"/>
      <c r="G725" s="239"/>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row>
    <row r="726">
      <c r="A726" s="239"/>
      <c r="B726" s="239"/>
      <c r="C726" s="239"/>
      <c r="D726" s="239"/>
      <c r="E726" s="239"/>
      <c r="F726" s="255"/>
      <c r="G726" s="239"/>
      <c r="H726" s="239"/>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row>
    <row r="727">
      <c r="A727" s="239"/>
      <c r="B727" s="239"/>
      <c r="C727" s="239"/>
      <c r="D727" s="239"/>
      <c r="E727" s="239"/>
      <c r="F727" s="255"/>
      <c r="G727" s="239"/>
      <c r="H727" s="239"/>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row>
    <row r="728">
      <c r="A728" s="239"/>
      <c r="B728" s="239"/>
      <c r="C728" s="239"/>
      <c r="D728" s="239"/>
      <c r="E728" s="239"/>
      <c r="F728" s="255"/>
      <c r="G728" s="239"/>
      <c r="H728" s="239"/>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row>
    <row r="729">
      <c r="A729" s="239"/>
      <c r="B729" s="239"/>
      <c r="C729" s="239"/>
      <c r="D729" s="239"/>
      <c r="E729" s="239"/>
      <c r="F729" s="255"/>
      <c r="G729" s="239"/>
      <c r="H729" s="239"/>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row>
    <row r="730">
      <c r="A730" s="239"/>
      <c r="B730" s="239"/>
      <c r="C730" s="239"/>
      <c r="D730" s="239"/>
      <c r="E730" s="239"/>
      <c r="F730" s="255"/>
      <c r="G730" s="239"/>
      <c r="H730" s="239"/>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row>
    <row r="731">
      <c r="A731" s="239"/>
      <c r="B731" s="239"/>
      <c r="C731" s="239"/>
      <c r="D731" s="239"/>
      <c r="E731" s="239"/>
      <c r="F731" s="255"/>
      <c r="G731" s="239"/>
      <c r="H731" s="239"/>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row>
    <row r="732">
      <c r="A732" s="239"/>
      <c r="B732" s="239"/>
      <c r="C732" s="239"/>
      <c r="D732" s="239"/>
      <c r="E732" s="239"/>
      <c r="F732" s="255"/>
      <c r="G732" s="239"/>
      <c r="H732" s="239"/>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row>
    <row r="733">
      <c r="A733" s="239"/>
      <c r="B733" s="239"/>
      <c r="C733" s="239"/>
      <c r="D733" s="239"/>
      <c r="E733" s="239"/>
      <c r="F733" s="255"/>
      <c r="G733" s="239"/>
      <c r="H733" s="239"/>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row>
    <row r="734">
      <c r="A734" s="239"/>
      <c r="B734" s="239"/>
      <c r="C734" s="239"/>
      <c r="D734" s="239"/>
      <c r="E734" s="239"/>
      <c r="F734" s="255"/>
      <c r="G734" s="239"/>
      <c r="H734" s="239"/>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row>
    <row r="735">
      <c r="A735" s="239"/>
      <c r="B735" s="239"/>
      <c r="C735" s="239"/>
      <c r="D735" s="239"/>
      <c r="E735" s="239"/>
      <c r="F735" s="255"/>
      <c r="G735" s="239"/>
      <c r="H735" s="239"/>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row>
    <row r="736">
      <c r="A736" s="239"/>
      <c r="B736" s="239"/>
      <c r="C736" s="239"/>
      <c r="D736" s="239"/>
      <c r="E736" s="239"/>
      <c r="F736" s="255"/>
      <c r="G736" s="239"/>
      <c r="H736" s="239"/>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row>
    <row r="737">
      <c r="A737" s="239"/>
      <c r="B737" s="239"/>
      <c r="C737" s="239"/>
      <c r="D737" s="239"/>
      <c r="E737" s="239"/>
      <c r="F737" s="255"/>
      <c r="G737" s="239"/>
      <c r="H737" s="239"/>
      <c r="I737" s="239"/>
      <c r="J737" s="239"/>
      <c r="K737" s="239"/>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row>
    <row r="738">
      <c r="A738" s="239"/>
      <c r="B738" s="239"/>
      <c r="C738" s="239"/>
      <c r="D738" s="239"/>
      <c r="E738" s="239"/>
      <c r="F738" s="255"/>
      <c r="G738" s="239"/>
      <c r="H738" s="239"/>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row>
    <row r="739">
      <c r="A739" s="239"/>
      <c r="B739" s="239"/>
      <c r="C739" s="239"/>
      <c r="D739" s="239"/>
      <c r="E739" s="239"/>
      <c r="F739" s="255"/>
      <c r="G739" s="239"/>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row>
    <row r="740">
      <c r="A740" s="239"/>
      <c r="B740" s="239"/>
      <c r="C740" s="239"/>
      <c r="D740" s="239"/>
      <c r="E740" s="239"/>
      <c r="F740" s="255"/>
      <c r="G740" s="239"/>
      <c r="H740" s="239"/>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row>
    <row r="741">
      <c r="A741" s="239"/>
      <c r="B741" s="239"/>
      <c r="C741" s="239"/>
      <c r="D741" s="239"/>
      <c r="E741" s="239"/>
      <c r="F741" s="255"/>
      <c r="G741" s="239"/>
      <c r="H741" s="239"/>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row>
    <row r="742">
      <c r="A742" s="239"/>
      <c r="B742" s="239"/>
      <c r="C742" s="239"/>
      <c r="D742" s="239"/>
      <c r="E742" s="239"/>
      <c r="F742" s="255"/>
      <c r="G742" s="239"/>
      <c r="H742" s="239"/>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row>
    <row r="743">
      <c r="A743" s="239"/>
      <c r="B743" s="239"/>
      <c r="C743" s="239"/>
      <c r="D743" s="239"/>
      <c r="E743" s="239"/>
      <c r="F743" s="255"/>
      <c r="G743" s="239"/>
      <c r="H743" s="239"/>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row>
    <row r="744">
      <c r="A744" s="239"/>
      <c r="B744" s="239"/>
      <c r="C744" s="239"/>
      <c r="D744" s="239"/>
      <c r="E744" s="239"/>
      <c r="F744" s="255"/>
      <c r="G744" s="239"/>
      <c r="H744" s="239"/>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row>
    <row r="745">
      <c r="A745" s="239"/>
      <c r="B745" s="239"/>
      <c r="C745" s="239"/>
      <c r="D745" s="239"/>
      <c r="E745" s="239"/>
      <c r="F745" s="255"/>
      <c r="G745" s="239"/>
      <c r="H745" s="239"/>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row>
    <row r="746">
      <c r="A746" s="239"/>
      <c r="B746" s="239"/>
      <c r="C746" s="239"/>
      <c r="D746" s="239"/>
      <c r="E746" s="239"/>
      <c r="F746" s="255"/>
      <c r="G746" s="239"/>
      <c r="H746" s="239"/>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row>
    <row r="747">
      <c r="A747" s="239"/>
      <c r="B747" s="239"/>
      <c r="C747" s="239"/>
      <c r="D747" s="239"/>
      <c r="E747" s="239"/>
      <c r="F747" s="255"/>
      <c r="G747" s="239"/>
      <c r="H747" s="239"/>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row>
    <row r="748">
      <c r="A748" s="239"/>
      <c r="B748" s="239"/>
      <c r="C748" s="239"/>
      <c r="D748" s="239"/>
      <c r="E748" s="239"/>
      <c r="F748" s="255"/>
      <c r="G748" s="239"/>
      <c r="H748" s="239"/>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row>
    <row r="749">
      <c r="A749" s="239"/>
      <c r="B749" s="239"/>
      <c r="C749" s="239"/>
      <c r="D749" s="239"/>
      <c r="E749" s="239"/>
      <c r="F749" s="255"/>
      <c r="G749" s="239"/>
      <c r="H749" s="239"/>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row>
    <row r="750">
      <c r="A750" s="239"/>
      <c r="B750" s="239"/>
      <c r="C750" s="239"/>
      <c r="D750" s="239"/>
      <c r="E750" s="239"/>
      <c r="F750" s="255"/>
      <c r="G750" s="239"/>
      <c r="H750" s="239"/>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row>
    <row r="751">
      <c r="A751" s="239"/>
      <c r="B751" s="239"/>
      <c r="C751" s="239"/>
      <c r="D751" s="239"/>
      <c r="E751" s="239"/>
      <c r="F751" s="255"/>
      <c r="G751" s="239"/>
      <c r="H751" s="239"/>
      <c r="I751" s="239"/>
      <c r="J751" s="239"/>
      <c r="K751" s="239"/>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row>
    <row r="752">
      <c r="A752" s="239"/>
      <c r="B752" s="239"/>
      <c r="C752" s="239"/>
      <c r="D752" s="239"/>
      <c r="E752" s="239"/>
      <c r="F752" s="255"/>
      <c r="G752" s="239"/>
      <c r="H752" s="239"/>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row>
    <row r="753">
      <c r="A753" s="239"/>
      <c r="B753" s="239"/>
      <c r="C753" s="239"/>
      <c r="D753" s="239"/>
      <c r="E753" s="239"/>
      <c r="F753" s="255"/>
      <c r="G753" s="239"/>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row>
    <row r="754">
      <c r="A754" s="239"/>
      <c r="B754" s="239"/>
      <c r="C754" s="239"/>
      <c r="D754" s="239"/>
      <c r="E754" s="239"/>
      <c r="F754" s="255"/>
      <c r="G754" s="239"/>
      <c r="H754" s="239"/>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row>
    <row r="755">
      <c r="A755" s="239"/>
      <c r="B755" s="239"/>
      <c r="C755" s="239"/>
      <c r="D755" s="239"/>
      <c r="E755" s="239"/>
      <c r="F755" s="255"/>
      <c r="G755" s="239"/>
      <c r="H755" s="239"/>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row>
    <row r="756">
      <c r="A756" s="239"/>
      <c r="B756" s="239"/>
      <c r="C756" s="239"/>
      <c r="D756" s="239"/>
      <c r="E756" s="239"/>
      <c r="F756" s="255"/>
      <c r="G756" s="239"/>
      <c r="H756" s="239"/>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row>
    <row r="757">
      <c r="A757" s="239"/>
      <c r="B757" s="239"/>
      <c r="C757" s="239"/>
      <c r="D757" s="239"/>
      <c r="E757" s="239"/>
      <c r="F757" s="255"/>
      <c r="G757" s="239"/>
      <c r="H757" s="239"/>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row>
    <row r="758">
      <c r="A758" s="239"/>
      <c r="B758" s="239"/>
      <c r="C758" s="239"/>
      <c r="D758" s="239"/>
      <c r="E758" s="239"/>
      <c r="F758" s="255"/>
      <c r="G758" s="239"/>
      <c r="H758" s="239"/>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row>
    <row r="759">
      <c r="A759" s="239"/>
      <c r="B759" s="239"/>
      <c r="C759" s="239"/>
      <c r="D759" s="239"/>
      <c r="E759" s="239"/>
      <c r="F759" s="255"/>
      <c r="G759" s="239"/>
      <c r="H759" s="239"/>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row>
    <row r="760">
      <c r="A760" s="239"/>
      <c r="B760" s="239"/>
      <c r="C760" s="239"/>
      <c r="D760" s="239"/>
      <c r="E760" s="239"/>
      <c r="F760" s="255"/>
      <c r="G760" s="239"/>
      <c r="H760" s="239"/>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row>
    <row r="761">
      <c r="A761" s="239"/>
      <c r="B761" s="239"/>
      <c r="C761" s="239"/>
      <c r="D761" s="239"/>
      <c r="E761" s="239"/>
      <c r="F761" s="255"/>
      <c r="G761" s="239"/>
      <c r="H761" s="239"/>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row>
    <row r="762">
      <c r="A762" s="239"/>
      <c r="B762" s="239"/>
      <c r="C762" s="239"/>
      <c r="D762" s="239"/>
      <c r="E762" s="239"/>
      <c r="F762" s="255"/>
      <c r="G762" s="239"/>
      <c r="H762" s="239"/>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row>
    <row r="763">
      <c r="A763" s="239"/>
      <c r="B763" s="239"/>
      <c r="C763" s="239"/>
      <c r="D763" s="239"/>
      <c r="E763" s="239"/>
      <c r="F763" s="255"/>
      <c r="G763" s="239"/>
      <c r="H763" s="239"/>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row>
    <row r="764">
      <c r="A764" s="239"/>
      <c r="B764" s="239"/>
      <c r="C764" s="239"/>
      <c r="D764" s="239"/>
      <c r="E764" s="239"/>
      <c r="F764" s="255"/>
      <c r="G764" s="239"/>
      <c r="H764" s="239"/>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row>
    <row r="765">
      <c r="A765" s="239"/>
      <c r="B765" s="239"/>
      <c r="C765" s="239"/>
      <c r="D765" s="239"/>
      <c r="E765" s="239"/>
      <c r="F765" s="255"/>
      <c r="G765" s="239"/>
      <c r="H765" s="239"/>
      <c r="I765" s="239"/>
      <c r="J765" s="239"/>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row>
    <row r="766">
      <c r="A766" s="239"/>
      <c r="B766" s="239"/>
      <c r="C766" s="239"/>
      <c r="D766" s="239"/>
      <c r="E766" s="239"/>
      <c r="F766" s="255"/>
      <c r="G766" s="239"/>
      <c r="H766" s="239"/>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row>
    <row r="767">
      <c r="A767" s="239"/>
      <c r="B767" s="239"/>
      <c r="C767" s="239"/>
      <c r="D767" s="239"/>
      <c r="E767" s="239"/>
      <c r="F767" s="255"/>
      <c r="G767" s="239"/>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row>
    <row r="768">
      <c r="A768" s="239"/>
      <c r="B768" s="239"/>
      <c r="C768" s="239"/>
      <c r="D768" s="239"/>
      <c r="E768" s="239"/>
      <c r="F768" s="255"/>
      <c r="G768" s="239"/>
      <c r="H768" s="239"/>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row>
    <row r="769">
      <c r="A769" s="239"/>
      <c r="B769" s="239"/>
      <c r="C769" s="239"/>
      <c r="D769" s="239"/>
      <c r="E769" s="239"/>
      <c r="F769" s="255"/>
      <c r="G769" s="239"/>
      <c r="H769" s="239"/>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row>
    <row r="770">
      <c r="A770" s="239"/>
      <c r="B770" s="239"/>
      <c r="C770" s="239"/>
      <c r="D770" s="239"/>
      <c r="E770" s="239"/>
      <c r="F770" s="255"/>
      <c r="G770" s="239"/>
      <c r="H770" s="239"/>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row>
    <row r="771">
      <c r="A771" s="239"/>
      <c r="B771" s="239"/>
      <c r="C771" s="239"/>
      <c r="D771" s="239"/>
      <c r="E771" s="239"/>
      <c r="F771" s="255"/>
      <c r="G771" s="239"/>
      <c r="H771" s="239"/>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row>
    <row r="772">
      <c r="A772" s="239"/>
      <c r="B772" s="239"/>
      <c r="C772" s="239"/>
      <c r="D772" s="239"/>
      <c r="E772" s="239"/>
      <c r="F772" s="255"/>
      <c r="G772" s="239"/>
      <c r="H772" s="239"/>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row>
    <row r="773">
      <c r="A773" s="239"/>
      <c r="B773" s="239"/>
      <c r="C773" s="239"/>
      <c r="D773" s="239"/>
      <c r="E773" s="239"/>
      <c r="F773" s="255"/>
      <c r="G773" s="239"/>
      <c r="H773" s="239"/>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row>
    <row r="774">
      <c r="A774" s="239"/>
      <c r="B774" s="239"/>
      <c r="C774" s="239"/>
      <c r="D774" s="239"/>
      <c r="E774" s="239"/>
      <c r="F774" s="255"/>
      <c r="G774" s="239"/>
      <c r="H774" s="239"/>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row>
    <row r="775">
      <c r="A775" s="239"/>
      <c r="B775" s="239"/>
      <c r="C775" s="239"/>
      <c r="D775" s="239"/>
      <c r="E775" s="239"/>
      <c r="F775" s="255"/>
      <c r="G775" s="239"/>
      <c r="H775" s="239"/>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row>
    <row r="776">
      <c r="A776" s="239"/>
      <c r="B776" s="239"/>
      <c r="C776" s="239"/>
      <c r="D776" s="239"/>
      <c r="E776" s="239"/>
      <c r="F776" s="255"/>
      <c r="G776" s="239"/>
      <c r="H776" s="239"/>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row>
    <row r="777">
      <c r="A777" s="239"/>
      <c r="B777" s="239"/>
      <c r="C777" s="239"/>
      <c r="D777" s="239"/>
      <c r="E777" s="239"/>
      <c r="F777" s="255"/>
      <c r="G777" s="239"/>
      <c r="H777" s="239"/>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row>
    <row r="778">
      <c r="A778" s="239"/>
      <c r="B778" s="239"/>
      <c r="C778" s="239"/>
      <c r="D778" s="239"/>
      <c r="E778" s="239"/>
      <c r="F778" s="255"/>
      <c r="G778" s="239"/>
      <c r="H778" s="239"/>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row>
    <row r="779">
      <c r="A779" s="239"/>
      <c r="B779" s="239"/>
      <c r="C779" s="239"/>
      <c r="D779" s="239"/>
      <c r="E779" s="239"/>
      <c r="F779" s="255"/>
      <c r="G779" s="239"/>
      <c r="H779" s="239"/>
      <c r="I779" s="239"/>
      <c r="J779" s="239"/>
      <c r="K779" s="239"/>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row>
    <row r="780">
      <c r="A780" s="239"/>
      <c r="B780" s="239"/>
      <c r="C780" s="239"/>
      <c r="D780" s="239"/>
      <c r="E780" s="239"/>
      <c r="F780" s="255"/>
      <c r="G780" s="239"/>
      <c r="H780" s="239"/>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row>
    <row r="781">
      <c r="A781" s="239"/>
      <c r="B781" s="239"/>
      <c r="C781" s="239"/>
      <c r="D781" s="239"/>
      <c r="E781" s="239"/>
      <c r="F781" s="255"/>
      <c r="G781" s="239"/>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row>
    <row r="782">
      <c r="A782" s="239"/>
      <c r="B782" s="239"/>
      <c r="C782" s="239"/>
      <c r="D782" s="239"/>
      <c r="E782" s="239"/>
      <c r="F782" s="255"/>
      <c r="G782" s="239"/>
      <c r="H782" s="239"/>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row>
    <row r="783">
      <c r="A783" s="239"/>
      <c r="B783" s="239"/>
      <c r="C783" s="239"/>
      <c r="D783" s="239"/>
      <c r="E783" s="239"/>
      <c r="F783" s="255"/>
      <c r="G783" s="239"/>
      <c r="H783" s="239"/>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row>
    <row r="784">
      <c r="A784" s="239"/>
      <c r="B784" s="239"/>
      <c r="C784" s="239"/>
      <c r="D784" s="239"/>
      <c r="E784" s="239"/>
      <c r="F784" s="255"/>
      <c r="G784" s="239"/>
      <c r="H784" s="239"/>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row>
    <row r="785">
      <c r="A785" s="239"/>
      <c r="B785" s="239"/>
      <c r="C785" s="239"/>
      <c r="D785" s="239"/>
      <c r="E785" s="239"/>
      <c r="F785" s="255"/>
      <c r="G785" s="239"/>
      <c r="H785" s="239"/>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row>
    <row r="786">
      <c r="A786" s="239"/>
      <c r="B786" s="239"/>
      <c r="C786" s="239"/>
      <c r="D786" s="239"/>
      <c r="E786" s="239"/>
      <c r="F786" s="255"/>
      <c r="G786" s="239"/>
      <c r="H786" s="239"/>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row>
    <row r="787">
      <c r="A787" s="239"/>
      <c r="B787" s="239"/>
      <c r="C787" s="239"/>
      <c r="D787" s="239"/>
      <c r="E787" s="239"/>
      <c r="F787" s="255"/>
      <c r="G787" s="239"/>
      <c r="H787" s="239"/>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row>
    <row r="788">
      <c r="A788" s="239"/>
      <c r="B788" s="239"/>
      <c r="C788" s="239"/>
      <c r="D788" s="239"/>
      <c r="E788" s="239"/>
      <c r="F788" s="255"/>
      <c r="G788" s="239"/>
      <c r="H788" s="239"/>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row>
    <row r="789">
      <c r="A789" s="239"/>
      <c r="B789" s="239"/>
      <c r="C789" s="239"/>
      <c r="D789" s="239"/>
      <c r="E789" s="239"/>
      <c r="F789" s="255"/>
      <c r="G789" s="239"/>
      <c r="H789" s="239"/>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row>
    <row r="790">
      <c r="A790" s="239"/>
      <c r="B790" s="239"/>
      <c r="C790" s="239"/>
      <c r="D790" s="239"/>
      <c r="E790" s="239"/>
      <c r="F790" s="255"/>
      <c r="G790" s="239"/>
      <c r="H790" s="239"/>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row>
    <row r="791">
      <c r="A791" s="239"/>
      <c r="B791" s="239"/>
      <c r="C791" s="239"/>
      <c r="D791" s="239"/>
      <c r="E791" s="239"/>
      <c r="F791" s="255"/>
      <c r="G791" s="239"/>
      <c r="H791" s="239"/>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row>
    <row r="792">
      <c r="A792" s="239"/>
      <c r="B792" s="239"/>
      <c r="C792" s="239"/>
      <c r="D792" s="239"/>
      <c r="E792" s="239"/>
      <c r="F792" s="255"/>
      <c r="G792" s="239"/>
      <c r="H792" s="239"/>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row>
    <row r="793">
      <c r="A793" s="239"/>
      <c r="B793" s="239"/>
      <c r="C793" s="239"/>
      <c r="D793" s="239"/>
      <c r="E793" s="239"/>
      <c r="F793" s="255"/>
      <c r="G793" s="239"/>
      <c r="H793" s="239"/>
      <c r="I793" s="239"/>
      <c r="J793" s="239"/>
      <c r="K793" s="239"/>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row>
    <row r="794">
      <c r="A794" s="239"/>
      <c r="B794" s="239"/>
      <c r="C794" s="239"/>
      <c r="D794" s="239"/>
      <c r="E794" s="239"/>
      <c r="F794" s="255"/>
      <c r="G794" s="239"/>
      <c r="H794" s="239"/>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row>
    <row r="795">
      <c r="A795" s="239"/>
      <c r="B795" s="239"/>
      <c r="C795" s="239"/>
      <c r="D795" s="239"/>
      <c r="E795" s="239"/>
      <c r="F795" s="255"/>
      <c r="G795" s="239"/>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row>
    <row r="796">
      <c r="A796" s="239"/>
      <c r="B796" s="239"/>
      <c r="C796" s="239"/>
      <c r="D796" s="239"/>
      <c r="E796" s="239"/>
      <c r="F796" s="255"/>
      <c r="G796" s="239"/>
      <c r="H796" s="239"/>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row>
    <row r="797">
      <c r="A797" s="239"/>
      <c r="B797" s="239"/>
      <c r="C797" s="239"/>
      <c r="D797" s="239"/>
      <c r="E797" s="239"/>
      <c r="F797" s="255"/>
      <c r="G797" s="239"/>
      <c r="H797" s="239"/>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row>
    <row r="798">
      <c r="A798" s="239"/>
      <c r="B798" s="239"/>
      <c r="C798" s="239"/>
      <c r="D798" s="239"/>
      <c r="E798" s="239"/>
      <c r="F798" s="255"/>
      <c r="G798" s="239"/>
      <c r="H798" s="239"/>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row>
    <row r="799">
      <c r="A799" s="239"/>
      <c r="B799" s="239"/>
      <c r="C799" s="239"/>
      <c r="D799" s="239"/>
      <c r="E799" s="239"/>
      <c r="F799" s="255"/>
      <c r="G799" s="239"/>
      <c r="H799" s="239"/>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row>
    <row r="800">
      <c r="A800" s="239"/>
      <c r="B800" s="239"/>
      <c r="C800" s="239"/>
      <c r="D800" s="239"/>
      <c r="E800" s="239"/>
      <c r="F800" s="255"/>
      <c r="G800" s="239"/>
      <c r="H800" s="239"/>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row>
    <row r="801">
      <c r="A801" s="239"/>
      <c r="B801" s="239"/>
      <c r="C801" s="239"/>
      <c r="D801" s="239"/>
      <c r="E801" s="239"/>
      <c r="F801" s="255"/>
      <c r="G801" s="239"/>
      <c r="H801" s="239"/>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row>
    <row r="802">
      <c r="A802" s="239"/>
      <c r="B802" s="239"/>
      <c r="C802" s="239"/>
      <c r="D802" s="239"/>
      <c r="E802" s="239"/>
      <c r="F802" s="255"/>
      <c r="G802" s="239"/>
      <c r="H802" s="239"/>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row>
    <row r="803">
      <c r="A803" s="239"/>
      <c r="B803" s="239"/>
      <c r="C803" s="239"/>
      <c r="D803" s="239"/>
      <c r="E803" s="239"/>
      <c r="F803" s="255"/>
      <c r="G803" s="239"/>
      <c r="H803" s="239"/>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row>
    <row r="804">
      <c r="A804" s="239"/>
      <c r="B804" s="239"/>
      <c r="C804" s="239"/>
      <c r="D804" s="239"/>
      <c r="E804" s="239"/>
      <c r="F804" s="255"/>
      <c r="G804" s="239"/>
      <c r="H804" s="239"/>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row>
    <row r="805">
      <c r="A805" s="239"/>
      <c r="B805" s="239"/>
      <c r="C805" s="239"/>
      <c r="D805" s="239"/>
      <c r="E805" s="239"/>
      <c r="F805" s="255"/>
      <c r="G805" s="239"/>
      <c r="H805" s="239"/>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row>
    <row r="806">
      <c r="A806" s="239"/>
      <c r="B806" s="239"/>
      <c r="C806" s="239"/>
      <c r="D806" s="239"/>
      <c r="E806" s="239"/>
      <c r="F806" s="255"/>
      <c r="G806" s="239"/>
      <c r="H806" s="239"/>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row>
    <row r="807">
      <c r="A807" s="239"/>
      <c r="B807" s="239"/>
      <c r="C807" s="239"/>
      <c r="D807" s="239"/>
      <c r="E807" s="239"/>
      <c r="F807" s="255"/>
      <c r="G807" s="239"/>
      <c r="H807" s="239"/>
      <c r="I807" s="239"/>
      <c r="J807" s="239"/>
      <c r="K807" s="239"/>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row>
    <row r="808">
      <c r="A808" s="239"/>
      <c r="B808" s="239"/>
      <c r="C808" s="239"/>
      <c r="D808" s="239"/>
      <c r="E808" s="239"/>
      <c r="F808" s="255"/>
      <c r="G808" s="239"/>
      <c r="H808" s="239"/>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row>
    <row r="809">
      <c r="A809" s="239"/>
      <c r="B809" s="239"/>
      <c r="C809" s="239"/>
      <c r="D809" s="239"/>
      <c r="E809" s="239"/>
      <c r="F809" s="255"/>
      <c r="G809" s="239"/>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row>
    <row r="810">
      <c r="A810" s="239"/>
      <c r="B810" s="239"/>
      <c r="C810" s="239"/>
      <c r="D810" s="239"/>
      <c r="E810" s="239"/>
      <c r="F810" s="255"/>
      <c r="G810" s="239"/>
      <c r="H810" s="239"/>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row>
    <row r="811">
      <c r="A811" s="239"/>
      <c r="B811" s="239"/>
      <c r="C811" s="239"/>
      <c r="D811" s="239"/>
      <c r="E811" s="239"/>
      <c r="F811" s="255"/>
      <c r="G811" s="239"/>
      <c r="H811" s="239"/>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row>
    <row r="812">
      <c r="A812" s="239"/>
      <c r="B812" s="239"/>
      <c r="C812" s="239"/>
      <c r="D812" s="239"/>
      <c r="E812" s="239"/>
      <c r="F812" s="255"/>
      <c r="G812" s="239"/>
      <c r="H812" s="239"/>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row>
    <row r="813">
      <c r="A813" s="239"/>
      <c r="B813" s="239"/>
      <c r="C813" s="239"/>
      <c r="D813" s="239"/>
      <c r="E813" s="239"/>
      <c r="F813" s="255"/>
      <c r="G813" s="239"/>
      <c r="H813" s="239"/>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row>
    <row r="814">
      <c r="A814" s="239"/>
      <c r="B814" s="239"/>
      <c r="C814" s="239"/>
      <c r="D814" s="239"/>
      <c r="E814" s="239"/>
      <c r="F814" s="255"/>
      <c r="G814" s="239"/>
      <c r="H814" s="239"/>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row>
    <row r="815">
      <c r="A815" s="239"/>
      <c r="B815" s="239"/>
      <c r="C815" s="239"/>
      <c r="D815" s="239"/>
      <c r="E815" s="239"/>
      <c r="F815" s="255"/>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row>
    <row r="816">
      <c r="A816" s="239"/>
      <c r="B816" s="239"/>
      <c r="C816" s="239"/>
      <c r="D816" s="239"/>
      <c r="E816" s="239"/>
      <c r="F816" s="255"/>
      <c r="G816" s="239"/>
      <c r="H816" s="239"/>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row>
    <row r="817">
      <c r="A817" s="239"/>
      <c r="B817" s="239"/>
      <c r="C817" s="239"/>
      <c r="D817" s="239"/>
      <c r="E817" s="239"/>
      <c r="F817" s="255"/>
      <c r="G817" s="239"/>
      <c r="H817" s="239"/>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row>
    <row r="818">
      <c r="A818" s="239"/>
      <c r="B818" s="239"/>
      <c r="C818" s="239"/>
      <c r="D818" s="239"/>
      <c r="E818" s="239"/>
      <c r="F818" s="255"/>
      <c r="G818" s="239"/>
      <c r="H818" s="239"/>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row>
    <row r="819">
      <c r="A819" s="239"/>
      <c r="B819" s="239"/>
      <c r="C819" s="239"/>
      <c r="D819" s="239"/>
      <c r="E819" s="239"/>
      <c r="F819" s="255"/>
      <c r="G819" s="239"/>
      <c r="H819" s="239"/>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row>
    <row r="820">
      <c r="A820" s="239"/>
      <c r="B820" s="239"/>
      <c r="C820" s="239"/>
      <c r="D820" s="239"/>
      <c r="E820" s="239"/>
      <c r="F820" s="255"/>
      <c r="G820" s="239"/>
      <c r="H820" s="239"/>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row>
    <row r="821">
      <c r="A821" s="239"/>
      <c r="B821" s="239"/>
      <c r="C821" s="239"/>
      <c r="D821" s="239"/>
      <c r="E821" s="239"/>
      <c r="F821" s="255"/>
      <c r="G821" s="239"/>
      <c r="H821" s="239"/>
      <c r="I821" s="239"/>
      <c r="J821" s="239"/>
      <c r="K821" s="239"/>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row>
    <row r="822">
      <c r="A822" s="239"/>
      <c r="B822" s="239"/>
      <c r="C822" s="239"/>
      <c r="D822" s="239"/>
      <c r="E822" s="239"/>
      <c r="F822" s="255"/>
      <c r="G822" s="239"/>
      <c r="H822" s="239"/>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row>
    <row r="823">
      <c r="A823" s="239"/>
      <c r="B823" s="239"/>
      <c r="C823" s="239"/>
      <c r="D823" s="239"/>
      <c r="E823" s="239"/>
      <c r="F823" s="255"/>
      <c r="G823" s="239"/>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row>
    <row r="824">
      <c r="A824" s="239"/>
      <c r="B824" s="239"/>
      <c r="C824" s="239"/>
      <c r="D824" s="239"/>
      <c r="E824" s="239"/>
      <c r="F824" s="255"/>
      <c r="G824" s="239"/>
      <c r="H824" s="239"/>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row>
    <row r="825">
      <c r="A825" s="239"/>
      <c r="B825" s="239"/>
      <c r="C825" s="239"/>
      <c r="D825" s="239"/>
      <c r="E825" s="239"/>
      <c r="F825" s="255"/>
      <c r="G825" s="239"/>
      <c r="H825" s="239"/>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row>
    <row r="826">
      <c r="A826" s="239"/>
      <c r="B826" s="239"/>
      <c r="C826" s="239"/>
      <c r="D826" s="239"/>
      <c r="E826" s="239"/>
      <c r="F826" s="255"/>
      <c r="G826" s="239"/>
      <c r="H826" s="239"/>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row>
    <row r="827">
      <c r="A827" s="239"/>
      <c r="B827" s="239"/>
      <c r="C827" s="239"/>
      <c r="D827" s="239"/>
      <c r="E827" s="239"/>
      <c r="F827" s="255"/>
      <c r="G827" s="239"/>
      <c r="H827" s="239"/>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row>
    <row r="828">
      <c r="A828" s="239"/>
      <c r="B828" s="239"/>
      <c r="C828" s="239"/>
      <c r="D828" s="239"/>
      <c r="E828" s="239"/>
      <c r="F828" s="255"/>
      <c r="G828" s="239"/>
      <c r="H828" s="239"/>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row>
    <row r="829">
      <c r="A829" s="239"/>
      <c r="B829" s="239"/>
      <c r="C829" s="239"/>
      <c r="D829" s="239"/>
      <c r="E829" s="239"/>
      <c r="F829" s="255"/>
      <c r="G829" s="239"/>
      <c r="H829" s="239"/>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row>
    <row r="830">
      <c r="A830" s="239"/>
      <c r="B830" s="239"/>
      <c r="C830" s="239"/>
      <c r="D830" s="239"/>
      <c r="E830" s="239"/>
      <c r="F830" s="255"/>
      <c r="G830" s="239"/>
      <c r="H830" s="239"/>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row>
    <row r="831">
      <c r="A831" s="239"/>
      <c r="B831" s="239"/>
      <c r="C831" s="239"/>
      <c r="D831" s="239"/>
      <c r="E831" s="239"/>
      <c r="F831" s="255"/>
      <c r="G831" s="239"/>
      <c r="H831" s="239"/>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row>
    <row r="832">
      <c r="A832" s="239"/>
      <c r="B832" s="239"/>
      <c r="C832" s="239"/>
      <c r="D832" s="239"/>
      <c r="E832" s="239"/>
      <c r="F832" s="255"/>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row>
    <row r="833">
      <c r="A833" s="239"/>
      <c r="B833" s="239"/>
      <c r="C833" s="239"/>
      <c r="D833" s="239"/>
      <c r="E833" s="239"/>
      <c r="F833" s="255"/>
      <c r="G833" s="239"/>
      <c r="H833" s="239"/>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row>
    <row r="834">
      <c r="A834" s="239"/>
      <c r="B834" s="239"/>
      <c r="C834" s="239"/>
      <c r="D834" s="239"/>
      <c r="E834" s="239"/>
      <c r="F834" s="255"/>
      <c r="G834" s="239"/>
      <c r="H834" s="239"/>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row>
    <row r="835">
      <c r="A835" s="239"/>
      <c r="B835" s="239"/>
      <c r="C835" s="239"/>
      <c r="D835" s="239"/>
      <c r="E835" s="239"/>
      <c r="F835" s="255"/>
      <c r="G835" s="239"/>
      <c r="H835" s="239"/>
      <c r="I835" s="239"/>
      <c r="J835" s="239"/>
      <c r="K835" s="239"/>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row>
    <row r="836">
      <c r="A836" s="239"/>
      <c r="B836" s="239"/>
      <c r="C836" s="239"/>
      <c r="D836" s="239"/>
      <c r="E836" s="239"/>
      <c r="F836" s="255"/>
      <c r="G836" s="239"/>
      <c r="H836" s="239"/>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row>
    <row r="837">
      <c r="A837" s="239"/>
      <c r="B837" s="239"/>
      <c r="C837" s="239"/>
      <c r="D837" s="239"/>
      <c r="E837" s="239"/>
      <c r="F837" s="255"/>
      <c r="G837" s="239"/>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row>
    <row r="838">
      <c r="A838" s="239"/>
      <c r="B838" s="239"/>
      <c r="C838" s="239"/>
      <c r="D838" s="239"/>
      <c r="E838" s="239"/>
      <c r="F838" s="255"/>
      <c r="G838" s="239"/>
      <c r="H838" s="239"/>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row>
    <row r="839">
      <c r="A839" s="239"/>
      <c r="B839" s="239"/>
      <c r="C839" s="239"/>
      <c r="D839" s="239"/>
      <c r="E839" s="239"/>
      <c r="F839" s="255"/>
      <c r="G839" s="239"/>
      <c r="H839" s="239"/>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row>
    <row r="840">
      <c r="A840" s="239"/>
      <c r="B840" s="239"/>
      <c r="C840" s="239"/>
      <c r="D840" s="239"/>
      <c r="E840" s="239"/>
      <c r="F840" s="255"/>
      <c r="G840" s="239"/>
      <c r="H840" s="239"/>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row>
    <row r="841">
      <c r="A841" s="239"/>
      <c r="B841" s="239"/>
      <c r="C841" s="239"/>
      <c r="D841" s="239"/>
      <c r="E841" s="239"/>
      <c r="F841" s="255"/>
      <c r="G841" s="239"/>
      <c r="H841" s="239"/>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row>
    <row r="842">
      <c r="A842" s="239"/>
      <c r="B842" s="239"/>
      <c r="C842" s="239"/>
      <c r="D842" s="239"/>
      <c r="E842" s="239"/>
      <c r="F842" s="255"/>
      <c r="G842" s="239"/>
      <c r="H842" s="239"/>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row>
    <row r="843">
      <c r="A843" s="239"/>
      <c r="B843" s="239"/>
      <c r="C843" s="239"/>
      <c r="D843" s="239"/>
      <c r="E843" s="239"/>
      <c r="F843" s="255"/>
      <c r="G843" s="239"/>
      <c r="H843" s="239"/>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row>
    <row r="844">
      <c r="A844" s="239"/>
      <c r="B844" s="239"/>
      <c r="C844" s="239"/>
      <c r="D844" s="239"/>
      <c r="E844" s="239"/>
      <c r="F844" s="255"/>
      <c r="G844" s="239"/>
      <c r="H844" s="239"/>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row>
    <row r="845">
      <c r="A845" s="239"/>
      <c r="B845" s="239"/>
      <c r="C845" s="239"/>
      <c r="D845" s="239"/>
      <c r="E845" s="239"/>
      <c r="F845" s="255"/>
      <c r="G845" s="239"/>
      <c r="H845" s="239"/>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row>
    <row r="846">
      <c r="A846" s="239"/>
      <c r="B846" s="239"/>
      <c r="C846" s="239"/>
      <c r="D846" s="239"/>
      <c r="E846" s="239"/>
      <c r="F846" s="255"/>
      <c r="G846" s="239"/>
      <c r="H846" s="239"/>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row>
    <row r="847">
      <c r="A847" s="239"/>
      <c r="B847" s="239"/>
      <c r="C847" s="239"/>
      <c r="D847" s="239"/>
      <c r="E847" s="239"/>
      <c r="F847" s="255"/>
      <c r="G847" s="239"/>
      <c r="H847" s="239"/>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row>
    <row r="848">
      <c r="A848" s="239"/>
      <c r="B848" s="239"/>
      <c r="C848" s="239"/>
      <c r="D848" s="239"/>
      <c r="E848" s="239"/>
      <c r="F848" s="255"/>
      <c r="G848" s="239"/>
      <c r="H848" s="239"/>
      <c r="I848" s="239"/>
      <c r="J848" s="239"/>
      <c r="K848" s="239"/>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row>
    <row r="849">
      <c r="A849" s="239"/>
      <c r="B849" s="239"/>
      <c r="C849" s="239"/>
      <c r="D849" s="239"/>
      <c r="E849" s="239"/>
      <c r="F849" s="255"/>
      <c r="G849" s="239"/>
      <c r="H849" s="239"/>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row>
    <row r="850">
      <c r="A850" s="239"/>
      <c r="B850" s="239"/>
      <c r="C850" s="239"/>
      <c r="D850" s="239"/>
      <c r="E850" s="239"/>
      <c r="F850" s="255"/>
      <c r="G850" s="239"/>
      <c r="H850" s="239"/>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row>
    <row r="851">
      <c r="A851" s="239"/>
      <c r="B851" s="239"/>
      <c r="C851" s="239"/>
      <c r="D851" s="239"/>
      <c r="E851" s="239"/>
      <c r="F851" s="255"/>
      <c r="G851" s="239"/>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row>
    <row r="852">
      <c r="A852" s="239"/>
      <c r="B852" s="239"/>
      <c r="C852" s="239"/>
      <c r="D852" s="239"/>
      <c r="E852" s="239"/>
      <c r="F852" s="255"/>
      <c r="G852" s="239"/>
      <c r="H852" s="239"/>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row>
    <row r="853">
      <c r="A853" s="239"/>
      <c r="B853" s="239"/>
      <c r="C853" s="239"/>
      <c r="D853" s="239"/>
      <c r="E853" s="239"/>
      <c r="F853" s="255"/>
      <c r="G853" s="239"/>
      <c r="H853" s="239"/>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row>
    <row r="854">
      <c r="A854" s="239"/>
      <c r="B854" s="239"/>
      <c r="C854" s="239"/>
      <c r="D854" s="239"/>
      <c r="E854" s="239"/>
      <c r="F854" s="255"/>
      <c r="G854" s="239"/>
      <c r="H854" s="239"/>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row>
    <row r="855">
      <c r="A855" s="239"/>
      <c r="B855" s="239"/>
      <c r="C855" s="239"/>
      <c r="D855" s="239"/>
      <c r="E855" s="239"/>
      <c r="F855" s="255"/>
      <c r="G855" s="239"/>
      <c r="H855" s="239"/>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row>
    <row r="856">
      <c r="A856" s="239"/>
      <c r="B856" s="239"/>
      <c r="C856" s="239"/>
      <c r="D856" s="239"/>
      <c r="E856" s="239"/>
      <c r="F856" s="255"/>
      <c r="G856" s="239"/>
      <c r="H856" s="239"/>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row>
    <row r="857">
      <c r="A857" s="239"/>
      <c r="B857" s="239"/>
      <c r="C857" s="239"/>
      <c r="D857" s="239"/>
      <c r="E857" s="239"/>
      <c r="F857" s="255"/>
      <c r="G857" s="239"/>
      <c r="H857" s="239"/>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row>
    <row r="858">
      <c r="A858" s="239"/>
      <c r="B858" s="239"/>
      <c r="C858" s="239"/>
      <c r="D858" s="239"/>
      <c r="E858" s="239"/>
      <c r="F858" s="255"/>
      <c r="G858" s="239"/>
      <c r="H858" s="239"/>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row>
    <row r="859">
      <c r="A859" s="239"/>
      <c r="B859" s="239"/>
      <c r="C859" s="239"/>
      <c r="D859" s="239"/>
      <c r="E859" s="239"/>
      <c r="F859" s="255"/>
      <c r="G859" s="239"/>
      <c r="H859" s="239"/>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row>
    <row r="860">
      <c r="A860" s="239"/>
      <c r="B860" s="239"/>
      <c r="C860" s="239"/>
      <c r="D860" s="239"/>
      <c r="E860" s="239"/>
      <c r="F860" s="255"/>
      <c r="G860" s="239"/>
      <c r="H860" s="239"/>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row>
    <row r="861">
      <c r="A861" s="239"/>
      <c r="B861" s="239"/>
      <c r="C861" s="239"/>
      <c r="D861" s="239"/>
      <c r="E861" s="239"/>
      <c r="F861" s="255"/>
      <c r="G861" s="239"/>
      <c r="H861" s="239"/>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row>
    <row r="862">
      <c r="A862" s="239"/>
      <c r="B862" s="239"/>
      <c r="C862" s="239"/>
      <c r="D862" s="239"/>
      <c r="E862" s="239"/>
      <c r="F862" s="255"/>
      <c r="G862" s="239"/>
      <c r="H862" s="239"/>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row>
    <row r="863">
      <c r="A863" s="239"/>
      <c r="B863" s="239"/>
      <c r="C863" s="239"/>
      <c r="D863" s="239"/>
      <c r="E863" s="239"/>
      <c r="F863" s="255"/>
      <c r="G863" s="239"/>
      <c r="H863" s="239"/>
      <c r="I863" s="239"/>
      <c r="J863" s="239"/>
      <c r="K863" s="239"/>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row>
    <row r="864">
      <c r="A864" s="239"/>
      <c r="B864" s="239"/>
      <c r="C864" s="239"/>
      <c r="D864" s="239"/>
      <c r="E864" s="239"/>
      <c r="F864" s="255"/>
      <c r="G864" s="239"/>
      <c r="H864" s="239"/>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row>
    <row r="865">
      <c r="A865" s="239"/>
      <c r="B865" s="239"/>
      <c r="C865" s="239"/>
      <c r="D865" s="239"/>
      <c r="E865" s="239"/>
      <c r="F865" s="255"/>
      <c r="G865" s="239"/>
      <c r="H865" s="239"/>
      <c r="I865" s="239"/>
      <c r="J865" s="239"/>
      <c r="K865" s="239"/>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row>
    <row r="866">
      <c r="A866" s="239"/>
      <c r="B866" s="239"/>
      <c r="C866" s="239"/>
      <c r="D866" s="239"/>
      <c r="E866" s="239"/>
      <c r="F866" s="255"/>
      <c r="G866" s="239"/>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row>
    <row r="867">
      <c r="A867" s="239"/>
      <c r="B867" s="239"/>
      <c r="C867" s="239"/>
      <c r="D867" s="239"/>
      <c r="E867" s="239"/>
      <c r="F867" s="255"/>
      <c r="G867" s="239"/>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row>
    <row r="868">
      <c r="A868" s="239"/>
      <c r="B868" s="239"/>
      <c r="C868" s="239"/>
      <c r="D868" s="239"/>
      <c r="E868" s="239"/>
      <c r="F868" s="255"/>
      <c r="G868" s="239"/>
      <c r="H868" s="239"/>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row>
    <row r="869">
      <c r="A869" s="239"/>
      <c r="B869" s="239"/>
      <c r="C869" s="239"/>
      <c r="D869" s="239"/>
      <c r="E869" s="239"/>
      <c r="F869" s="255"/>
      <c r="G869" s="239"/>
      <c r="H869" s="239"/>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row>
    <row r="870">
      <c r="A870" s="239"/>
      <c r="B870" s="239"/>
      <c r="C870" s="239"/>
      <c r="D870" s="239"/>
      <c r="E870" s="239"/>
      <c r="F870" s="255"/>
      <c r="G870" s="239"/>
      <c r="H870" s="239"/>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row>
    <row r="871">
      <c r="A871" s="239"/>
      <c r="B871" s="239"/>
      <c r="C871" s="239"/>
      <c r="D871" s="239"/>
      <c r="E871" s="239"/>
      <c r="F871" s="255"/>
      <c r="G871" s="239"/>
      <c r="H871" s="239"/>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row>
    <row r="872">
      <c r="A872" s="239"/>
      <c r="B872" s="239"/>
      <c r="C872" s="239"/>
      <c r="D872" s="239"/>
      <c r="E872" s="239"/>
      <c r="F872" s="255"/>
      <c r="G872" s="239"/>
      <c r="H872" s="239"/>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row>
    <row r="873">
      <c r="A873" s="239"/>
      <c r="B873" s="239"/>
      <c r="C873" s="239"/>
      <c r="D873" s="239"/>
      <c r="E873" s="239"/>
      <c r="F873" s="255"/>
      <c r="G873" s="239"/>
      <c r="H873" s="239"/>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row>
    <row r="874">
      <c r="A874" s="239"/>
      <c r="B874" s="239"/>
      <c r="C874" s="239"/>
      <c r="D874" s="239"/>
      <c r="E874" s="239"/>
      <c r="F874" s="255"/>
      <c r="G874" s="239"/>
      <c r="H874" s="239"/>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row>
    <row r="875">
      <c r="A875" s="239"/>
      <c r="B875" s="239"/>
      <c r="C875" s="239"/>
      <c r="D875" s="239"/>
      <c r="E875" s="239"/>
      <c r="F875" s="255"/>
      <c r="G875" s="239"/>
      <c r="H875" s="239"/>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row>
    <row r="876">
      <c r="A876" s="239"/>
      <c r="B876" s="239"/>
      <c r="C876" s="239"/>
      <c r="D876" s="239"/>
      <c r="E876" s="239"/>
      <c r="F876" s="255"/>
      <c r="G876" s="239"/>
      <c r="H876" s="239"/>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row>
    <row r="877">
      <c r="A877" s="239"/>
      <c r="B877" s="239"/>
      <c r="C877" s="239"/>
      <c r="D877" s="239"/>
      <c r="E877" s="239"/>
      <c r="F877" s="255"/>
      <c r="G877" s="239"/>
      <c r="H877" s="239"/>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row>
    <row r="878">
      <c r="A878" s="239"/>
      <c r="B878" s="239"/>
      <c r="C878" s="239"/>
      <c r="D878" s="239"/>
      <c r="E878" s="239"/>
      <c r="F878" s="255"/>
      <c r="G878" s="239"/>
      <c r="H878" s="239"/>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row>
    <row r="879">
      <c r="A879" s="239"/>
      <c r="B879" s="239"/>
      <c r="C879" s="239"/>
      <c r="D879" s="239"/>
      <c r="E879" s="239"/>
      <c r="F879" s="255"/>
      <c r="G879" s="239"/>
      <c r="H879" s="239"/>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row>
    <row r="880">
      <c r="A880" s="239"/>
      <c r="B880" s="239"/>
      <c r="C880" s="239"/>
      <c r="D880" s="239"/>
      <c r="E880" s="239"/>
      <c r="F880" s="255"/>
      <c r="G880" s="239"/>
      <c r="H880" s="239"/>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row>
    <row r="881">
      <c r="A881" s="239"/>
      <c r="B881" s="239"/>
      <c r="C881" s="239"/>
      <c r="D881" s="239"/>
      <c r="E881" s="239"/>
      <c r="F881" s="255"/>
      <c r="G881" s="239"/>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row>
    <row r="882">
      <c r="A882" s="239"/>
      <c r="B882" s="239"/>
      <c r="C882" s="239"/>
      <c r="D882" s="239"/>
      <c r="E882" s="239"/>
      <c r="F882" s="255"/>
      <c r="G882" s="239"/>
      <c r="H882" s="239"/>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row>
    <row r="883">
      <c r="A883" s="239"/>
      <c r="B883" s="239"/>
      <c r="C883" s="239"/>
      <c r="D883" s="239"/>
      <c r="E883" s="239"/>
      <c r="F883" s="255"/>
      <c r="G883" s="239"/>
      <c r="H883" s="239"/>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row>
    <row r="884">
      <c r="A884" s="239"/>
      <c r="B884" s="239"/>
      <c r="C884" s="239"/>
      <c r="D884" s="239"/>
      <c r="E884" s="239"/>
      <c r="F884" s="255"/>
      <c r="G884" s="239"/>
      <c r="H884" s="239"/>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row>
    <row r="885">
      <c r="A885" s="239"/>
      <c r="B885" s="239"/>
      <c r="C885" s="239"/>
      <c r="D885" s="239"/>
      <c r="E885" s="239"/>
      <c r="F885" s="255"/>
      <c r="G885" s="239"/>
      <c r="H885" s="239"/>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row>
    <row r="886">
      <c r="A886" s="239"/>
      <c r="B886" s="239"/>
      <c r="C886" s="239"/>
      <c r="D886" s="239"/>
      <c r="E886" s="239"/>
      <c r="F886" s="255"/>
      <c r="G886" s="239"/>
      <c r="H886" s="239"/>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row>
    <row r="887">
      <c r="A887" s="239"/>
      <c r="B887" s="239"/>
      <c r="C887" s="239"/>
      <c r="D887" s="239"/>
      <c r="E887" s="239"/>
      <c r="F887" s="255"/>
      <c r="G887" s="239"/>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row>
    <row r="888">
      <c r="A888" s="239"/>
      <c r="B888" s="239"/>
      <c r="C888" s="239"/>
      <c r="D888" s="239"/>
      <c r="E888" s="239"/>
      <c r="F888" s="255"/>
      <c r="G888" s="239"/>
      <c r="H888" s="239"/>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row>
    <row r="889">
      <c r="A889" s="239"/>
      <c r="B889" s="239"/>
      <c r="C889" s="239"/>
      <c r="D889" s="239"/>
      <c r="E889" s="239"/>
      <c r="F889" s="255"/>
      <c r="G889" s="239"/>
      <c r="H889" s="239"/>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row>
    <row r="890">
      <c r="A890" s="239"/>
      <c r="B890" s="239"/>
      <c r="C890" s="239"/>
      <c r="D890" s="239"/>
      <c r="E890" s="239"/>
      <c r="F890" s="255"/>
      <c r="G890" s="239"/>
      <c r="H890" s="239"/>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row>
    <row r="891">
      <c r="A891" s="239"/>
      <c r="B891" s="239"/>
      <c r="C891" s="239"/>
      <c r="D891" s="239"/>
      <c r="E891" s="239"/>
      <c r="F891" s="255"/>
      <c r="G891" s="239"/>
      <c r="H891" s="239"/>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row>
    <row r="892">
      <c r="A892" s="239"/>
      <c r="B892" s="239"/>
      <c r="C892" s="239"/>
      <c r="D892" s="239"/>
      <c r="E892" s="239"/>
      <c r="F892" s="255"/>
      <c r="G892" s="239"/>
      <c r="H892" s="239"/>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row>
    <row r="893">
      <c r="A893" s="239"/>
      <c r="B893" s="239"/>
      <c r="C893" s="239"/>
      <c r="D893" s="239"/>
      <c r="E893" s="239"/>
      <c r="F893" s="255"/>
      <c r="G893" s="239"/>
      <c r="H893" s="239"/>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row>
    <row r="894">
      <c r="A894" s="239"/>
      <c r="B894" s="239"/>
      <c r="C894" s="239"/>
      <c r="D894" s="239"/>
      <c r="E894" s="239"/>
      <c r="F894" s="255"/>
      <c r="G894" s="239"/>
      <c r="H894" s="239"/>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row>
    <row r="895">
      <c r="A895" s="239"/>
      <c r="B895" s="239"/>
      <c r="C895" s="239"/>
      <c r="D895" s="239"/>
      <c r="E895" s="239"/>
      <c r="F895" s="255"/>
      <c r="G895" s="239"/>
      <c r="H895" s="239"/>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row>
    <row r="896">
      <c r="A896" s="239"/>
      <c r="B896" s="239"/>
      <c r="C896" s="239"/>
      <c r="D896" s="239"/>
      <c r="E896" s="239"/>
      <c r="F896" s="255"/>
      <c r="G896" s="239"/>
      <c r="H896" s="239"/>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row>
    <row r="897">
      <c r="A897" s="239"/>
      <c r="B897" s="239"/>
      <c r="C897" s="239"/>
      <c r="D897" s="239"/>
      <c r="E897" s="239"/>
      <c r="F897" s="255"/>
      <c r="G897" s="239"/>
      <c r="H897" s="239"/>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row>
    <row r="898">
      <c r="A898" s="239"/>
      <c r="B898" s="239"/>
      <c r="C898" s="239"/>
      <c r="D898" s="239"/>
      <c r="E898" s="239"/>
      <c r="F898" s="255"/>
      <c r="G898" s="239"/>
      <c r="H898" s="239"/>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row>
    <row r="899">
      <c r="A899" s="239"/>
      <c r="B899" s="239"/>
      <c r="C899" s="239"/>
      <c r="D899" s="239"/>
      <c r="E899" s="239"/>
      <c r="F899" s="255"/>
      <c r="G899" s="239"/>
      <c r="H899" s="239"/>
      <c r="I899" s="239"/>
      <c r="J899" s="239"/>
      <c r="K899" s="239"/>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row>
    <row r="900">
      <c r="A900" s="239"/>
      <c r="B900" s="239"/>
      <c r="C900" s="239"/>
      <c r="D900" s="239"/>
      <c r="E900" s="239"/>
      <c r="F900" s="255"/>
      <c r="G900" s="239"/>
      <c r="H900" s="239"/>
      <c r="I900" s="239"/>
      <c r="J900" s="239"/>
      <c r="K900" s="239"/>
      <c r="L900" s="239"/>
      <c r="M900" s="239"/>
      <c r="N900" s="239"/>
      <c r="O900" s="239"/>
      <c r="P900" s="239"/>
      <c r="Q900" s="239"/>
      <c r="R900" s="239"/>
      <c r="S900" s="239"/>
      <c r="T900" s="239"/>
      <c r="U900" s="239"/>
      <c r="V900" s="239"/>
      <c r="W900" s="239"/>
      <c r="X900" s="239"/>
      <c r="Y900" s="239"/>
      <c r="Z900" s="239"/>
      <c r="AA900" s="239"/>
      <c r="AB900" s="239"/>
      <c r="AC900" s="239"/>
      <c r="AD900" s="239"/>
      <c r="AE900" s="239"/>
      <c r="AF900" s="239"/>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row>
    <row r="901">
      <c r="A901" s="239"/>
      <c r="B901" s="239"/>
      <c r="C901" s="239"/>
      <c r="D901" s="239"/>
      <c r="E901" s="239"/>
      <c r="F901" s="255"/>
      <c r="G901" s="239"/>
      <c r="H901" s="239"/>
      <c r="I901" s="239"/>
      <c r="J901" s="239"/>
      <c r="K901" s="239"/>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row>
    <row r="902">
      <c r="A902" s="239"/>
      <c r="B902" s="239"/>
      <c r="C902" s="239"/>
      <c r="D902" s="239"/>
      <c r="E902" s="239"/>
      <c r="F902" s="255"/>
      <c r="G902" s="239"/>
      <c r="H902" s="239"/>
      <c r="I902" s="239"/>
      <c r="J902" s="239"/>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row>
    <row r="903">
      <c r="A903" s="239"/>
      <c r="B903" s="239"/>
      <c r="C903" s="239"/>
      <c r="D903" s="239"/>
      <c r="E903" s="239"/>
      <c r="F903" s="255"/>
      <c r="G903" s="239"/>
      <c r="H903" s="239"/>
      <c r="I903" s="239"/>
      <c r="J903" s="239"/>
      <c r="K903" s="239"/>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row>
    <row r="904">
      <c r="A904" s="239"/>
      <c r="B904" s="239"/>
      <c r="C904" s="239"/>
      <c r="D904" s="239"/>
      <c r="E904" s="239"/>
      <c r="F904" s="255"/>
      <c r="G904" s="239"/>
      <c r="H904" s="239"/>
      <c r="I904" s="239"/>
      <c r="J904" s="239"/>
      <c r="K904" s="239"/>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row>
    <row r="905">
      <c r="A905" s="239"/>
      <c r="B905" s="239"/>
      <c r="C905" s="239"/>
      <c r="D905" s="239"/>
      <c r="E905" s="239"/>
      <c r="F905" s="255"/>
      <c r="G905" s="239"/>
      <c r="H905" s="239"/>
      <c r="I905" s="239"/>
      <c r="J905" s="239"/>
      <c r="K905" s="239"/>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row>
    <row r="906">
      <c r="A906" s="239"/>
      <c r="B906" s="239"/>
      <c r="C906" s="239"/>
      <c r="D906" s="239"/>
      <c r="E906" s="239"/>
      <c r="F906" s="255"/>
      <c r="G906" s="239"/>
      <c r="H906" s="239"/>
      <c r="I906" s="239"/>
      <c r="J906" s="239"/>
      <c r="K906" s="239"/>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row>
    <row r="907">
      <c r="A907" s="239"/>
      <c r="B907" s="239"/>
      <c r="C907" s="239"/>
      <c r="D907" s="239"/>
      <c r="E907" s="239"/>
      <c r="F907" s="255"/>
      <c r="G907" s="239"/>
      <c r="H907" s="239"/>
      <c r="I907" s="239"/>
      <c r="J907" s="239"/>
      <c r="K907" s="239"/>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row>
    <row r="908">
      <c r="A908" s="239"/>
      <c r="B908" s="239"/>
      <c r="C908" s="239"/>
      <c r="D908" s="239"/>
      <c r="E908" s="239"/>
      <c r="F908" s="255"/>
      <c r="G908" s="239"/>
      <c r="H908" s="239"/>
      <c r="I908" s="239"/>
      <c r="J908" s="239"/>
      <c r="K908" s="239"/>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row>
    <row r="909">
      <c r="A909" s="239"/>
      <c r="B909" s="239"/>
      <c r="C909" s="239"/>
      <c r="D909" s="239"/>
      <c r="E909" s="239"/>
      <c r="F909" s="255"/>
      <c r="G909" s="239"/>
      <c r="H909" s="239"/>
      <c r="I909" s="239"/>
      <c r="J909" s="239"/>
      <c r="K909" s="239"/>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row>
    <row r="910">
      <c r="A910" s="239"/>
      <c r="B910" s="239"/>
      <c r="C910" s="239"/>
      <c r="D910" s="239"/>
      <c r="E910" s="239"/>
      <c r="F910" s="255"/>
      <c r="G910" s="239"/>
      <c r="H910" s="239"/>
      <c r="I910" s="239"/>
      <c r="J910" s="239"/>
      <c r="K910" s="239"/>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row>
    <row r="911">
      <c r="A911" s="239"/>
      <c r="B911" s="239"/>
      <c r="C911" s="239"/>
      <c r="D911" s="239"/>
      <c r="E911" s="239"/>
      <c r="F911" s="255"/>
      <c r="G911" s="239"/>
      <c r="H911" s="239"/>
      <c r="I911" s="239"/>
      <c r="J911" s="239"/>
      <c r="K911" s="239"/>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row>
    <row r="912">
      <c r="A912" s="239"/>
      <c r="B912" s="239"/>
      <c r="C912" s="239"/>
      <c r="D912" s="239"/>
      <c r="E912" s="239"/>
      <c r="F912" s="255"/>
      <c r="G912" s="239"/>
      <c r="H912" s="239"/>
      <c r="I912" s="239"/>
      <c r="J912" s="239"/>
      <c r="K912" s="239"/>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row>
    <row r="913">
      <c r="A913" s="239"/>
      <c r="B913" s="239"/>
      <c r="C913" s="239"/>
      <c r="D913" s="239"/>
      <c r="E913" s="239"/>
      <c r="F913" s="255"/>
      <c r="G913" s="239"/>
      <c r="H913" s="239"/>
      <c r="I913" s="239"/>
      <c r="J913" s="239"/>
      <c r="K913" s="239"/>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row>
    <row r="914">
      <c r="A914" s="239"/>
      <c r="B914" s="239"/>
      <c r="C914" s="239"/>
      <c r="D914" s="239"/>
      <c r="E914" s="239"/>
      <c r="F914" s="255"/>
      <c r="G914" s="239"/>
      <c r="H914" s="239"/>
      <c r="I914" s="239"/>
      <c r="J914" s="239"/>
      <c r="K914" s="239"/>
      <c r="L914" s="239"/>
      <c r="M914" s="239"/>
      <c r="N914" s="239"/>
      <c r="O914" s="239"/>
      <c r="P914" s="239"/>
      <c r="Q914" s="239"/>
      <c r="R914" s="239"/>
      <c r="S914" s="239"/>
      <c r="T914" s="239"/>
      <c r="U914" s="239"/>
      <c r="V914" s="239"/>
      <c r="W914" s="239"/>
      <c r="X914" s="239"/>
      <c r="Y914" s="239"/>
      <c r="Z914" s="239"/>
      <c r="AA914" s="239"/>
      <c r="AB914" s="239"/>
      <c r="AC914" s="239"/>
      <c r="AD914" s="239"/>
      <c r="AE914" s="239"/>
      <c r="AF914" s="239"/>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row>
    <row r="915">
      <c r="A915" s="239"/>
      <c r="B915" s="239"/>
      <c r="C915" s="239"/>
      <c r="D915" s="239"/>
      <c r="E915" s="239"/>
      <c r="F915" s="255"/>
      <c r="G915" s="239"/>
      <c r="H915" s="239"/>
      <c r="I915" s="239"/>
      <c r="J915" s="239"/>
      <c r="K915" s="239"/>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row>
    <row r="916">
      <c r="A916" s="239"/>
      <c r="B916" s="239"/>
      <c r="C916" s="239"/>
      <c r="D916" s="239"/>
      <c r="E916" s="239"/>
      <c r="F916" s="255"/>
      <c r="G916" s="239"/>
      <c r="H916" s="239"/>
      <c r="I916" s="239"/>
      <c r="J916" s="239"/>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row>
    <row r="917">
      <c r="A917" s="239"/>
      <c r="B917" s="239"/>
      <c r="C917" s="239"/>
      <c r="D917" s="239"/>
      <c r="E917" s="239"/>
      <c r="F917" s="255"/>
      <c r="G917" s="239"/>
      <c r="H917" s="239"/>
      <c r="I917" s="239"/>
      <c r="J917" s="239"/>
      <c r="K917" s="239"/>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row>
    <row r="918">
      <c r="A918" s="239"/>
      <c r="B918" s="239"/>
      <c r="C918" s="239"/>
      <c r="D918" s="239"/>
      <c r="E918" s="239"/>
      <c r="F918" s="255"/>
      <c r="G918" s="239"/>
      <c r="H918" s="239"/>
      <c r="I918" s="239"/>
      <c r="J918" s="239"/>
      <c r="K918" s="239"/>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row>
    <row r="919">
      <c r="A919" s="239"/>
      <c r="B919" s="239"/>
      <c r="C919" s="239"/>
      <c r="D919" s="239"/>
      <c r="E919" s="239"/>
      <c r="F919" s="255"/>
      <c r="G919" s="239"/>
      <c r="H919" s="239"/>
      <c r="I919" s="239"/>
      <c r="J919" s="239"/>
      <c r="K919" s="239"/>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row>
    <row r="920">
      <c r="A920" s="239"/>
      <c r="B920" s="239"/>
      <c r="C920" s="239"/>
      <c r="D920" s="239"/>
      <c r="E920" s="239"/>
      <c r="F920" s="255"/>
      <c r="G920" s="239"/>
      <c r="H920" s="239"/>
      <c r="I920" s="239"/>
      <c r="J920" s="239"/>
      <c r="K920" s="239"/>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row>
    <row r="921">
      <c r="A921" s="239"/>
      <c r="B921" s="239"/>
      <c r="C921" s="239"/>
      <c r="D921" s="239"/>
      <c r="E921" s="239"/>
      <c r="F921" s="255"/>
      <c r="G921" s="239"/>
      <c r="H921" s="239"/>
      <c r="I921" s="239"/>
      <c r="J921" s="239"/>
      <c r="K921" s="239"/>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row>
    <row r="922">
      <c r="A922" s="239"/>
      <c r="B922" s="239"/>
      <c r="C922" s="239"/>
      <c r="D922" s="239"/>
      <c r="E922" s="239"/>
      <c r="F922" s="255"/>
      <c r="G922" s="239"/>
      <c r="H922" s="239"/>
      <c r="I922" s="239"/>
      <c r="J922" s="239"/>
      <c r="K922" s="239"/>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row>
    <row r="923">
      <c r="A923" s="239"/>
      <c r="B923" s="239"/>
      <c r="C923" s="239"/>
      <c r="D923" s="239"/>
      <c r="E923" s="239"/>
      <c r="F923" s="255"/>
      <c r="G923" s="239"/>
      <c r="H923" s="239"/>
      <c r="I923" s="239"/>
      <c r="J923" s="239"/>
      <c r="K923" s="239"/>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row>
    <row r="924">
      <c r="A924" s="239"/>
      <c r="B924" s="239"/>
      <c r="C924" s="239"/>
      <c r="D924" s="239"/>
      <c r="E924" s="239"/>
      <c r="F924" s="255"/>
      <c r="G924" s="239"/>
      <c r="H924" s="239"/>
      <c r="I924" s="239"/>
      <c r="J924" s="239"/>
      <c r="K924" s="239"/>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row>
    <row r="925">
      <c r="A925" s="239"/>
      <c r="B925" s="239"/>
      <c r="C925" s="239"/>
      <c r="D925" s="239"/>
      <c r="E925" s="239"/>
      <c r="F925" s="255"/>
      <c r="G925" s="239"/>
      <c r="H925" s="239"/>
      <c r="I925" s="239"/>
      <c r="J925" s="239"/>
      <c r="K925" s="239"/>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row>
    <row r="926">
      <c r="A926" s="239"/>
      <c r="B926" s="239"/>
      <c r="C926" s="239"/>
      <c r="D926" s="239"/>
      <c r="E926" s="239"/>
      <c r="F926" s="255"/>
      <c r="G926" s="239"/>
      <c r="H926" s="239"/>
      <c r="I926" s="239"/>
      <c r="J926" s="239"/>
      <c r="K926" s="239"/>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row>
    <row r="927">
      <c r="A927" s="239"/>
      <c r="B927" s="239"/>
      <c r="C927" s="239"/>
      <c r="D927" s="239"/>
      <c r="E927" s="239"/>
      <c r="F927" s="255"/>
      <c r="G927" s="239"/>
      <c r="H927" s="239"/>
      <c r="I927" s="239"/>
      <c r="J927" s="239"/>
      <c r="K927" s="239"/>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row>
    <row r="928">
      <c r="A928" s="239"/>
      <c r="B928" s="239"/>
      <c r="C928" s="239"/>
      <c r="D928" s="239"/>
      <c r="E928" s="239"/>
      <c r="F928" s="255"/>
      <c r="G928" s="239"/>
      <c r="H928" s="239"/>
      <c r="I928" s="239"/>
      <c r="J928" s="239"/>
      <c r="K928" s="239"/>
      <c r="L928" s="239"/>
      <c r="M928" s="239"/>
      <c r="N928" s="239"/>
      <c r="O928" s="239"/>
      <c r="P928" s="239"/>
      <c r="Q928" s="239"/>
      <c r="R928" s="239"/>
      <c r="S928" s="239"/>
      <c r="T928" s="239"/>
      <c r="U928" s="239"/>
      <c r="V928" s="239"/>
      <c r="W928" s="239"/>
      <c r="X928" s="239"/>
      <c r="Y928" s="239"/>
      <c r="Z928" s="239"/>
      <c r="AA928" s="239"/>
      <c r="AB928" s="239"/>
      <c r="AC928" s="239"/>
      <c r="AD928" s="239"/>
      <c r="AE928" s="239"/>
      <c r="AF928" s="239"/>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row>
    <row r="929">
      <c r="A929" s="239"/>
      <c r="B929" s="239"/>
      <c r="C929" s="239"/>
      <c r="D929" s="239"/>
      <c r="E929" s="239"/>
      <c r="F929" s="255"/>
      <c r="G929" s="239"/>
      <c r="H929" s="239"/>
      <c r="I929" s="239"/>
      <c r="J929" s="239"/>
      <c r="K929" s="239"/>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row>
    <row r="930">
      <c r="A930" s="239"/>
      <c r="B930" s="239"/>
      <c r="C930" s="239"/>
      <c r="D930" s="239"/>
      <c r="E930" s="239"/>
      <c r="F930" s="255"/>
      <c r="G930" s="239"/>
      <c r="H930" s="239"/>
      <c r="I930" s="239"/>
      <c r="J930" s="239"/>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row>
    <row r="931">
      <c r="A931" s="239"/>
      <c r="B931" s="239"/>
      <c r="C931" s="239"/>
      <c r="D931" s="239"/>
      <c r="E931" s="239"/>
      <c r="F931" s="255"/>
      <c r="G931" s="239"/>
      <c r="H931" s="239"/>
      <c r="I931" s="239"/>
      <c r="J931" s="239"/>
      <c r="K931" s="239"/>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row>
    <row r="932">
      <c r="A932" s="239"/>
      <c r="B932" s="239"/>
      <c r="C932" s="239"/>
      <c r="D932" s="239"/>
      <c r="E932" s="239"/>
      <c r="F932" s="255"/>
      <c r="G932" s="239"/>
      <c r="H932" s="239"/>
      <c r="I932" s="239"/>
      <c r="J932" s="239"/>
      <c r="K932" s="239"/>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row>
    <row r="933">
      <c r="A933" s="239"/>
      <c r="B933" s="239"/>
      <c r="C933" s="239"/>
      <c r="D933" s="239"/>
      <c r="E933" s="239"/>
      <c r="F933" s="255"/>
      <c r="G933" s="239"/>
      <c r="H933" s="239"/>
      <c r="I933" s="239"/>
      <c r="J933" s="239"/>
      <c r="K933" s="239"/>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row>
    <row r="934">
      <c r="A934" s="239"/>
      <c r="B934" s="239"/>
      <c r="C934" s="239"/>
      <c r="D934" s="239"/>
      <c r="E934" s="239"/>
      <c r="F934" s="255"/>
      <c r="G934" s="239"/>
      <c r="H934" s="239"/>
      <c r="I934" s="239"/>
      <c r="J934" s="239"/>
      <c r="K934" s="239"/>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row>
    <row r="935">
      <c r="A935" s="239"/>
      <c r="B935" s="239"/>
      <c r="C935" s="239"/>
      <c r="D935" s="239"/>
      <c r="E935" s="239"/>
      <c r="F935" s="255"/>
      <c r="G935" s="239"/>
      <c r="H935" s="239"/>
      <c r="I935" s="239"/>
      <c r="J935" s="239"/>
      <c r="K935" s="239"/>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row>
    <row r="936">
      <c r="A936" s="239"/>
      <c r="B936" s="239"/>
      <c r="C936" s="239"/>
      <c r="D936" s="239"/>
      <c r="E936" s="239"/>
      <c r="F936" s="255"/>
      <c r="G936" s="239"/>
      <c r="H936" s="239"/>
      <c r="I936" s="239"/>
      <c r="J936" s="239"/>
      <c r="K936" s="239"/>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row>
    <row r="937">
      <c r="A937" s="239"/>
      <c r="B937" s="239"/>
      <c r="C937" s="239"/>
      <c r="D937" s="239"/>
      <c r="E937" s="239"/>
      <c r="F937" s="255"/>
      <c r="G937" s="239"/>
      <c r="H937" s="239"/>
      <c r="I937" s="239"/>
      <c r="J937" s="239"/>
      <c r="K937" s="239"/>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row>
    <row r="938">
      <c r="A938" s="239"/>
      <c r="B938" s="239"/>
      <c r="C938" s="239"/>
      <c r="D938" s="239"/>
      <c r="E938" s="239"/>
      <c r="F938" s="255"/>
      <c r="G938" s="239"/>
      <c r="H938" s="239"/>
      <c r="I938" s="239"/>
      <c r="J938" s="239"/>
      <c r="K938" s="239"/>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row>
    <row r="939">
      <c r="A939" s="239"/>
      <c r="B939" s="239"/>
      <c r="C939" s="239"/>
      <c r="D939" s="239"/>
      <c r="E939" s="239"/>
      <c r="F939" s="255"/>
      <c r="G939" s="239"/>
      <c r="H939" s="239"/>
      <c r="I939" s="239"/>
      <c r="J939" s="239"/>
      <c r="K939" s="239"/>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row>
    <row r="940">
      <c r="A940" s="239"/>
      <c r="B940" s="239"/>
      <c r="C940" s="239"/>
      <c r="D940" s="239"/>
      <c r="E940" s="239"/>
      <c r="F940" s="255"/>
      <c r="G940" s="239"/>
      <c r="H940" s="239"/>
      <c r="I940" s="239"/>
      <c r="J940" s="239"/>
      <c r="K940" s="239"/>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row>
    <row r="941">
      <c r="A941" s="239"/>
      <c r="B941" s="239"/>
      <c r="C941" s="239"/>
      <c r="D941" s="239"/>
      <c r="E941" s="239"/>
      <c r="F941" s="255"/>
      <c r="G941" s="239"/>
      <c r="H941" s="239"/>
      <c r="I941" s="239"/>
      <c r="J941" s="239"/>
      <c r="K941" s="239"/>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row>
    <row r="942">
      <c r="A942" s="239"/>
      <c r="B942" s="239"/>
      <c r="C942" s="239"/>
      <c r="D942" s="239"/>
      <c r="E942" s="239"/>
      <c r="F942" s="255"/>
      <c r="G942" s="239"/>
      <c r="H942" s="239"/>
      <c r="I942" s="239"/>
      <c r="J942" s="239"/>
      <c r="K942" s="239"/>
      <c r="L942" s="239"/>
      <c r="M942" s="239"/>
      <c r="N942" s="239"/>
      <c r="O942" s="239"/>
      <c r="P942" s="239"/>
      <c r="Q942" s="239"/>
      <c r="R942" s="239"/>
      <c r="S942" s="239"/>
      <c r="T942" s="239"/>
      <c r="U942" s="239"/>
      <c r="V942" s="239"/>
      <c r="W942" s="239"/>
      <c r="X942" s="239"/>
      <c r="Y942" s="239"/>
      <c r="Z942" s="239"/>
      <c r="AA942" s="239"/>
      <c r="AB942" s="239"/>
      <c r="AC942" s="239"/>
      <c r="AD942" s="239"/>
      <c r="AE942" s="239"/>
      <c r="AF942" s="239"/>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row>
    <row r="943">
      <c r="A943" s="239"/>
      <c r="B943" s="239"/>
      <c r="C943" s="239"/>
      <c r="D943" s="239"/>
      <c r="E943" s="239"/>
      <c r="F943" s="255"/>
      <c r="G943" s="239"/>
      <c r="H943" s="239"/>
      <c r="I943" s="239"/>
      <c r="J943" s="239"/>
      <c r="K943" s="239"/>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row>
    <row r="944">
      <c r="A944" s="239"/>
      <c r="B944" s="239"/>
      <c r="C944" s="239"/>
      <c r="D944" s="239"/>
      <c r="E944" s="239"/>
      <c r="F944" s="255"/>
      <c r="G944" s="239"/>
      <c r="H944" s="239"/>
      <c r="I944" s="239"/>
      <c r="J944" s="239"/>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row>
    <row r="945">
      <c r="A945" s="239"/>
      <c r="B945" s="239"/>
      <c r="C945" s="239"/>
      <c r="D945" s="239"/>
      <c r="E945" s="239"/>
      <c r="F945" s="255"/>
      <c r="G945" s="239"/>
      <c r="H945" s="239"/>
      <c r="I945" s="239"/>
      <c r="J945" s="239"/>
      <c r="K945" s="239"/>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row>
    <row r="946">
      <c r="A946" s="239"/>
      <c r="B946" s="239"/>
      <c r="C946" s="239"/>
      <c r="D946" s="239"/>
      <c r="E946" s="239"/>
      <c r="F946" s="255"/>
      <c r="G946" s="239"/>
      <c r="H946" s="239"/>
      <c r="I946" s="239"/>
      <c r="J946" s="239"/>
      <c r="K946" s="239"/>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row>
    <row r="947">
      <c r="A947" s="239"/>
      <c r="B947" s="239"/>
      <c r="C947" s="239"/>
      <c r="D947" s="239"/>
      <c r="E947" s="239"/>
      <c r="F947" s="255"/>
      <c r="G947" s="239"/>
      <c r="H947" s="239"/>
      <c r="I947" s="239"/>
      <c r="J947" s="239"/>
      <c r="K947" s="239"/>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row>
    <row r="948">
      <c r="A948" s="239"/>
      <c r="B948" s="239"/>
      <c r="C948" s="239"/>
      <c r="D948" s="239"/>
      <c r="E948" s="239"/>
      <c r="F948" s="255"/>
      <c r="G948" s="239"/>
      <c r="H948" s="239"/>
      <c r="I948" s="239"/>
      <c r="J948" s="239"/>
      <c r="K948" s="239"/>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row>
    <row r="949">
      <c r="A949" s="239"/>
      <c r="B949" s="239"/>
      <c r="C949" s="239"/>
      <c r="D949" s="239"/>
      <c r="E949" s="239"/>
      <c r="F949" s="255"/>
      <c r="G949" s="239"/>
      <c r="H949" s="239"/>
      <c r="I949" s="239"/>
      <c r="J949" s="239"/>
      <c r="K949" s="239"/>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row>
    <row r="950">
      <c r="A950" s="239"/>
      <c r="B950" s="239"/>
      <c r="C950" s="239"/>
      <c r="D950" s="239"/>
      <c r="E950" s="239"/>
      <c r="F950" s="255"/>
      <c r="G950" s="239"/>
      <c r="H950" s="239"/>
      <c r="I950" s="239"/>
      <c r="J950" s="239"/>
      <c r="K950" s="239"/>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row>
    <row r="951">
      <c r="A951" s="239"/>
      <c r="B951" s="239"/>
      <c r="C951" s="239"/>
      <c r="D951" s="239"/>
      <c r="E951" s="239"/>
      <c r="F951" s="255"/>
      <c r="G951" s="239"/>
      <c r="H951" s="239"/>
      <c r="I951" s="239"/>
      <c r="J951" s="239"/>
      <c r="K951" s="239"/>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row>
    <row r="952">
      <c r="A952" s="239"/>
      <c r="B952" s="239"/>
      <c r="C952" s="239"/>
      <c r="D952" s="239"/>
      <c r="E952" s="239"/>
      <c r="F952" s="255"/>
      <c r="G952" s="239"/>
      <c r="H952" s="239"/>
      <c r="I952" s="239"/>
      <c r="J952" s="239"/>
      <c r="K952" s="239"/>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row>
    <row r="953">
      <c r="A953" s="239"/>
      <c r="B953" s="239"/>
      <c r="C953" s="239"/>
      <c r="D953" s="239"/>
      <c r="E953" s="239"/>
      <c r="F953" s="255"/>
      <c r="G953" s="239"/>
      <c r="H953" s="239"/>
      <c r="I953" s="239"/>
      <c r="J953" s="239"/>
      <c r="K953" s="239"/>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row>
    <row r="954">
      <c r="A954" s="239"/>
      <c r="B954" s="239"/>
      <c r="C954" s="239"/>
      <c r="D954" s="239"/>
      <c r="E954" s="239"/>
      <c r="F954" s="255"/>
      <c r="G954" s="239"/>
      <c r="H954" s="239"/>
      <c r="I954" s="239"/>
      <c r="J954" s="239"/>
      <c r="K954" s="239"/>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row>
    <row r="955">
      <c r="A955" s="239"/>
      <c r="B955" s="239"/>
      <c r="C955" s="239"/>
      <c r="D955" s="239"/>
      <c r="E955" s="239"/>
      <c r="F955" s="255"/>
      <c r="G955" s="239"/>
      <c r="H955" s="239"/>
      <c r="I955" s="239"/>
      <c r="J955" s="239"/>
      <c r="K955" s="239"/>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row>
    <row r="956">
      <c r="A956" s="239"/>
      <c r="B956" s="239"/>
      <c r="C956" s="239"/>
      <c r="D956" s="239"/>
      <c r="E956" s="239"/>
      <c r="F956" s="255"/>
      <c r="G956" s="239"/>
      <c r="H956" s="239"/>
      <c r="I956" s="239"/>
      <c r="J956" s="239"/>
      <c r="K956" s="239"/>
      <c r="L956" s="239"/>
      <c r="M956" s="239"/>
      <c r="N956" s="239"/>
      <c r="O956" s="239"/>
      <c r="P956" s="239"/>
      <c r="Q956" s="239"/>
      <c r="R956" s="239"/>
      <c r="S956" s="239"/>
      <c r="T956" s="239"/>
      <c r="U956" s="239"/>
      <c r="V956" s="239"/>
      <c r="W956" s="239"/>
      <c r="X956" s="239"/>
      <c r="Y956" s="239"/>
      <c r="Z956" s="239"/>
      <c r="AA956" s="239"/>
      <c r="AB956" s="239"/>
      <c r="AC956" s="239"/>
      <c r="AD956" s="239"/>
      <c r="AE956" s="239"/>
      <c r="AF956" s="239"/>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row>
  </sheetData>
  <mergeCells count="1">
    <mergeCell ref="A1:B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4">
        <v>273.51</v>
      </c>
      <c r="B1" s="239"/>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c r="AF1" s="239"/>
      <c r="AG1" s="239"/>
      <c r="AH1" s="239"/>
      <c r="AI1" s="239"/>
    </row>
    <row r="2">
      <c r="A2" s="274">
        <v>23.4</v>
      </c>
      <c r="B2" s="239"/>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239"/>
      <c r="AE2" s="239"/>
      <c r="AF2" s="239"/>
      <c r="AG2" s="239"/>
      <c r="AH2" s="239"/>
      <c r="AI2" s="239"/>
    </row>
    <row r="3">
      <c r="A3" s="274">
        <v>1.31</v>
      </c>
      <c r="B3" s="239"/>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c r="AI3" s="239"/>
    </row>
    <row r="4">
      <c r="A4" s="274">
        <v>5.27</v>
      </c>
      <c r="B4" s="239"/>
      <c r="C4" s="239"/>
      <c r="D4" s="239"/>
      <c r="E4" s="239"/>
      <c r="F4" s="239"/>
      <c r="G4" s="239"/>
      <c r="H4" s="239"/>
      <c r="I4" s="239"/>
      <c r="J4" s="239"/>
      <c r="K4" s="239"/>
      <c r="L4" s="239"/>
      <c r="M4" s="239"/>
      <c r="N4" s="239"/>
      <c r="O4" s="239"/>
      <c r="P4" s="239"/>
      <c r="Q4" s="239"/>
      <c r="R4" s="239"/>
      <c r="S4" s="239"/>
      <c r="T4" s="239"/>
      <c r="U4" s="239"/>
      <c r="V4" s="239"/>
      <c r="W4" s="239"/>
      <c r="X4" s="239"/>
      <c r="Y4" s="239"/>
      <c r="Z4" s="239"/>
      <c r="AA4" s="239"/>
      <c r="AB4" s="239"/>
      <c r="AC4" s="239"/>
      <c r="AD4" s="239"/>
      <c r="AE4" s="239"/>
      <c r="AF4" s="239"/>
      <c r="AG4" s="239"/>
      <c r="AH4" s="239"/>
      <c r="AI4" s="239"/>
    </row>
    <row r="5">
      <c r="A5" s="274">
        <v>8.4</v>
      </c>
      <c r="B5" s="239"/>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row>
    <row r="6">
      <c r="A6" s="274">
        <v>14.0</v>
      </c>
      <c r="B6" s="239"/>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row>
    <row r="7">
      <c r="A7" s="274">
        <v>22.0</v>
      </c>
      <c r="B7" s="239"/>
      <c r="C7" s="239"/>
      <c r="D7" s="239"/>
      <c r="E7" s="239"/>
      <c r="F7" s="239"/>
      <c r="G7" s="239"/>
      <c r="H7" s="239"/>
      <c r="I7" s="239"/>
      <c r="J7" s="239"/>
      <c r="K7" s="239"/>
      <c r="L7" s="239"/>
      <c r="M7" s="239"/>
      <c r="N7" s="239"/>
      <c r="O7" s="239"/>
      <c r="P7" s="239"/>
      <c r="Q7" s="239"/>
      <c r="R7" s="239"/>
      <c r="S7" s="239"/>
      <c r="T7" s="239"/>
      <c r="U7" s="239"/>
      <c r="V7" s="239"/>
      <c r="W7" s="239"/>
      <c r="X7" s="239"/>
      <c r="Y7" s="239"/>
      <c r="Z7" s="239"/>
      <c r="AA7" s="239"/>
      <c r="AB7" s="239"/>
      <c r="AC7" s="239"/>
      <c r="AD7" s="239"/>
      <c r="AE7" s="239"/>
      <c r="AF7" s="239"/>
      <c r="AG7" s="239"/>
      <c r="AH7" s="239"/>
      <c r="AI7" s="239"/>
    </row>
    <row r="8">
      <c r="A8" s="274">
        <v>34.44</v>
      </c>
      <c r="B8" s="239"/>
      <c r="C8" s="239"/>
      <c r="D8" s="239"/>
      <c r="E8" s="239"/>
      <c r="F8" s="239"/>
      <c r="G8" s="239"/>
      <c r="H8" s="239"/>
      <c r="I8" s="239"/>
      <c r="J8" s="239"/>
      <c r="K8" s="239"/>
      <c r="L8" s="239"/>
      <c r="M8" s="239"/>
      <c r="N8" s="239"/>
      <c r="O8" s="239"/>
      <c r="P8" s="239"/>
      <c r="Q8" s="239"/>
      <c r="R8" s="239"/>
      <c r="S8" s="239"/>
      <c r="T8" s="239"/>
      <c r="U8" s="239"/>
      <c r="V8" s="239"/>
      <c r="W8" s="239"/>
      <c r="X8" s="239"/>
      <c r="Y8" s="239"/>
      <c r="Z8" s="239"/>
      <c r="AA8" s="239"/>
      <c r="AB8" s="239"/>
      <c r="AC8" s="239"/>
      <c r="AD8" s="239"/>
      <c r="AE8" s="239"/>
      <c r="AF8" s="239"/>
      <c r="AG8" s="239"/>
      <c r="AH8" s="239"/>
      <c r="AI8" s="239"/>
    </row>
    <row r="9">
      <c r="A9" s="274">
        <v>26.64</v>
      </c>
      <c r="B9" s="239"/>
      <c r="C9" s="239"/>
      <c r="D9" s="239"/>
      <c r="E9" s="239"/>
      <c r="F9" s="239"/>
      <c r="G9" s="239"/>
      <c r="H9" s="239"/>
      <c r="I9" s="239"/>
      <c r="J9" s="239"/>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row>
    <row r="10">
      <c r="A10" s="274">
        <v>3.63</v>
      </c>
      <c r="B10" s="239"/>
      <c r="C10" s="239"/>
      <c r="D10" s="239"/>
      <c r="E10" s="239"/>
      <c r="F10" s="239"/>
      <c r="G10" s="239"/>
      <c r="H10" s="239"/>
      <c r="I10" s="239"/>
      <c r="J10" s="239"/>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row>
    <row r="11">
      <c r="A11" s="274">
        <v>30.1</v>
      </c>
      <c r="B11" s="239"/>
      <c r="C11" s="239"/>
      <c r="D11" s="239"/>
      <c r="E11" s="239"/>
      <c r="F11" s="239"/>
      <c r="G11" s="239"/>
      <c r="H11" s="239"/>
      <c r="I11" s="239"/>
      <c r="J11" s="239"/>
      <c r="K11" s="239"/>
      <c r="L11" s="239"/>
      <c r="M11" s="239"/>
      <c r="N11" s="239"/>
      <c r="O11" s="239"/>
      <c r="P11" s="239"/>
      <c r="Q11" s="239"/>
      <c r="R11" s="239"/>
      <c r="S11" s="239"/>
      <c r="T11" s="239"/>
      <c r="U11" s="239"/>
      <c r="V11" s="239"/>
      <c r="W11" s="239"/>
      <c r="X11" s="239"/>
      <c r="Y11" s="239"/>
      <c r="Z11" s="239"/>
      <c r="AA11" s="239"/>
      <c r="AB11" s="239"/>
      <c r="AC11" s="239"/>
      <c r="AD11" s="239"/>
      <c r="AE11" s="239"/>
      <c r="AF11" s="239"/>
      <c r="AG11" s="239"/>
      <c r="AH11" s="239"/>
      <c r="AI11" s="239"/>
      <c r="AJ11" s="239"/>
      <c r="AK11" s="239"/>
    </row>
    <row r="12">
      <c r="A12" s="274">
        <v>8.4</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c r="AJ12" s="239"/>
      <c r="AK12" s="239"/>
    </row>
    <row r="13">
      <c r="A13" s="274">
        <v>26.4</v>
      </c>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c r="AH13" s="239"/>
      <c r="AI13" s="239"/>
      <c r="AJ13" s="239"/>
      <c r="AK13" s="239"/>
    </row>
    <row r="14">
      <c r="A14" s="274">
        <v>22.44</v>
      </c>
      <c r="B14" s="239"/>
      <c r="C14" s="239"/>
      <c r="D14" s="239"/>
      <c r="E14" s="239"/>
      <c r="F14" s="239"/>
      <c r="G14" s="239"/>
      <c r="H14" s="239"/>
      <c r="I14" s="239"/>
      <c r="J14" s="239"/>
      <c r="K14" s="239"/>
      <c r="L14" s="239"/>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row>
    <row r="15">
      <c r="A15" s="274">
        <v>6.29</v>
      </c>
      <c r="B15" s="239"/>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row>
    <row r="16">
      <c r="A16" s="274">
        <v>286.1</v>
      </c>
      <c r="B16" s="239"/>
      <c r="C16" s="239"/>
      <c r="D16" s="239"/>
      <c r="E16" s="239"/>
      <c r="F16" s="239"/>
      <c r="G16" s="239"/>
      <c r="H16" s="239"/>
      <c r="I16" s="239"/>
      <c r="J16" s="239"/>
      <c r="K16" s="239"/>
      <c r="L16" s="239"/>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row>
    <row r="17">
      <c r="A17" s="274">
        <v>315.19</v>
      </c>
      <c r="B17" s="239"/>
      <c r="C17" s="239"/>
      <c r="D17" s="239"/>
      <c r="E17" s="239"/>
      <c r="F17" s="239"/>
      <c r="G17" s="239"/>
      <c r="H17" s="239"/>
      <c r="I17" s="239"/>
      <c r="J17" s="239"/>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row>
    <row r="18">
      <c r="A18" s="274">
        <v>46.32</v>
      </c>
      <c r="B18" s="239"/>
      <c r="C18" s="239"/>
      <c r="D18" s="239"/>
      <c r="E18" s="239"/>
      <c r="F18" s="239"/>
      <c r="G18" s="239"/>
      <c r="H18" s="239"/>
      <c r="I18" s="239"/>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row>
    <row r="19">
      <c r="A19" s="274">
        <v>50.57</v>
      </c>
      <c r="B19" s="239"/>
      <c r="C19" s="239"/>
      <c r="D19" s="239"/>
      <c r="E19" s="239"/>
      <c r="F19" s="239"/>
      <c r="G19" s="239"/>
      <c r="H19" s="239"/>
      <c r="I19" s="239"/>
      <c r="J19" s="239"/>
      <c r="K19" s="239"/>
      <c r="L19" s="239"/>
      <c r="M19" s="239"/>
      <c r="N19" s="239"/>
      <c r="O19" s="239"/>
      <c r="P19" s="239"/>
      <c r="Q19" s="239"/>
      <c r="R19" s="239"/>
      <c r="S19" s="239"/>
      <c r="T19" s="239"/>
      <c r="U19" s="239"/>
      <c r="V19" s="239"/>
      <c r="W19" s="239"/>
      <c r="X19" s="239"/>
      <c r="Y19" s="239"/>
      <c r="Z19" s="239"/>
      <c r="AA19" s="239"/>
      <c r="AB19" s="239"/>
      <c r="AC19" s="239"/>
      <c r="AD19" s="239"/>
      <c r="AE19" s="239"/>
      <c r="AF19" s="239"/>
      <c r="AG19" s="239"/>
      <c r="AH19" s="239"/>
      <c r="AI19" s="239"/>
      <c r="AJ19" s="239"/>
      <c r="AK19" s="239"/>
    </row>
    <row r="20">
      <c r="A20" s="274"/>
      <c r="B20" s="239"/>
      <c r="C20" s="239"/>
      <c r="D20" s="239"/>
      <c r="E20" s="239"/>
      <c r="F20" s="239"/>
      <c r="G20" s="239"/>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row>
    <row r="21">
      <c r="A21" s="274"/>
      <c r="B21" s="239"/>
      <c r="C21" s="239"/>
      <c r="D21" s="239"/>
      <c r="E21" s="239"/>
      <c r="F21" s="239"/>
      <c r="G21" s="239"/>
      <c r="H21" s="239"/>
      <c r="I21" s="239"/>
      <c r="J21" s="239"/>
      <c r="K21" s="239"/>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row>
    <row r="22">
      <c r="A22" s="274"/>
      <c r="B22" s="239"/>
      <c r="C22" s="239"/>
      <c r="D22" s="239"/>
      <c r="E22" s="239"/>
      <c r="F22" s="239"/>
      <c r="G22" s="239"/>
      <c r="H22" s="239"/>
      <c r="I22" s="239"/>
      <c r="J22" s="239"/>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row>
    <row r="23">
      <c r="A23" s="274"/>
      <c r="B23" s="239"/>
      <c r="C23" s="239"/>
      <c r="D23" s="239"/>
      <c r="E23" s="239"/>
      <c r="F23" s="239"/>
      <c r="G23" s="239"/>
      <c r="H23" s="239"/>
      <c r="I23" s="239"/>
      <c r="J23" s="239"/>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row>
    <row r="24">
      <c r="A24" s="274"/>
      <c r="B24" s="239"/>
      <c r="C24" s="239"/>
      <c r="D24" s="239"/>
      <c r="E24" s="239"/>
      <c r="F24" s="239"/>
      <c r="G24" s="239"/>
      <c r="H24" s="239"/>
      <c r="I24" s="239"/>
      <c r="J24" s="239"/>
      <c r="K24" s="239"/>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row>
    <row r="25">
      <c r="A25" s="274"/>
      <c r="B25" s="239"/>
      <c r="C25" s="239"/>
      <c r="D25" s="239"/>
      <c r="E25" s="239"/>
      <c r="F25" s="239"/>
      <c r="G25" s="239"/>
      <c r="H25" s="239"/>
      <c r="I25" s="239"/>
      <c r="J25" s="239"/>
      <c r="K25" s="239"/>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row>
    <row r="26">
      <c r="A26" s="274"/>
      <c r="B26" s="239"/>
      <c r="C26" s="239"/>
      <c r="D26" s="239"/>
      <c r="E26" s="239"/>
      <c r="F26" s="239"/>
      <c r="G26" s="239"/>
      <c r="H26" s="239"/>
      <c r="I26" s="239"/>
      <c r="J26" s="239"/>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row>
    <row r="27">
      <c r="A27" s="274"/>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row>
    <row r="28">
      <c r="A28" s="274"/>
      <c r="B28" s="239"/>
      <c r="C28" s="239"/>
      <c r="D28" s="239"/>
      <c r="E28" s="239"/>
      <c r="F28" s="239"/>
      <c r="G28" s="239"/>
      <c r="H28" s="239"/>
      <c r="I28" s="239"/>
      <c r="J28" s="239"/>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row>
    <row r="29">
      <c r="A29" s="274"/>
      <c r="B29" s="239"/>
      <c r="C29" s="239"/>
      <c r="D29" s="239"/>
      <c r="E29" s="239"/>
      <c r="F29" s="239"/>
      <c r="G29" s="239"/>
      <c r="H29" s="239"/>
      <c r="I29" s="239"/>
      <c r="J29" s="239"/>
      <c r="K29" s="239"/>
      <c r="L29" s="239"/>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c r="AJ29" s="239"/>
      <c r="AK29" s="239"/>
    </row>
    <row r="30">
      <c r="A30" s="274"/>
      <c r="B30" s="239"/>
      <c r="C30" s="239"/>
      <c r="D30" s="239"/>
      <c r="E30" s="239"/>
      <c r="F30" s="239"/>
      <c r="G30" s="239"/>
      <c r="H30" s="239"/>
      <c r="I30" s="239"/>
      <c r="J30" s="239"/>
      <c r="K30" s="239"/>
      <c r="L30" s="239"/>
      <c r="M30" s="239"/>
      <c r="N30" s="239"/>
      <c r="O30" s="239"/>
      <c r="P30" s="239"/>
      <c r="Q30" s="239"/>
      <c r="R30" s="239"/>
      <c r="S30" s="239"/>
      <c r="T30" s="239"/>
      <c r="U30" s="239"/>
      <c r="V30" s="239"/>
      <c r="W30" s="239"/>
      <c r="X30" s="239"/>
      <c r="Y30" s="239"/>
      <c r="Z30" s="239"/>
      <c r="AA30" s="239"/>
      <c r="AB30" s="239"/>
      <c r="AC30" s="239"/>
      <c r="AD30" s="239"/>
      <c r="AE30" s="239"/>
      <c r="AF30" s="239"/>
      <c r="AG30" s="239"/>
      <c r="AH30" s="239"/>
      <c r="AI30" s="239"/>
      <c r="AJ30" s="239"/>
      <c r="AK30" s="239"/>
    </row>
    <row r="31">
      <c r="A31" s="274"/>
      <c r="B31" s="239"/>
      <c r="C31" s="239"/>
      <c r="D31" s="239"/>
      <c r="E31" s="239"/>
      <c r="F31" s="239"/>
      <c r="G31" s="239"/>
      <c r="H31" s="239"/>
      <c r="I31" s="239"/>
      <c r="J31" s="239"/>
      <c r="K31" s="239"/>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row>
    <row r="32">
      <c r="A32" s="274"/>
      <c r="B32" s="239"/>
      <c r="C32" s="239"/>
      <c r="D32" s="239"/>
      <c r="E32" s="239"/>
      <c r="F32" s="239"/>
      <c r="G32" s="239"/>
      <c r="H32" s="239"/>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row>
    <row r="33">
      <c r="A33" s="274"/>
      <c r="B33" s="239"/>
      <c r="C33" s="239"/>
      <c r="D33" s="239"/>
      <c r="E33" s="239"/>
      <c r="F33" s="239"/>
      <c r="G33" s="239"/>
      <c r="H33" s="239"/>
      <c r="I33" s="239"/>
      <c r="J33" s="239"/>
      <c r="K33" s="239"/>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row>
    <row r="34">
      <c r="A34" s="274"/>
      <c r="B34" s="239"/>
      <c r="C34" s="239"/>
      <c r="D34" s="239"/>
      <c r="E34" s="239"/>
      <c r="F34" s="239"/>
      <c r="G34" s="239"/>
      <c r="H34" s="239"/>
      <c r="I34" s="239"/>
      <c r="J34" s="239"/>
      <c r="K34" s="239"/>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row>
    <row r="35">
      <c r="A35" s="274"/>
      <c r="B35" s="239"/>
      <c r="C35" s="239"/>
      <c r="D35" s="239"/>
      <c r="E35" s="239"/>
      <c r="F35" s="239"/>
      <c r="G35" s="239"/>
      <c r="H35" s="239"/>
      <c r="I35" s="239"/>
      <c r="J35" s="239"/>
      <c r="K35" s="239"/>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row>
    <row r="36">
      <c r="A36" s="239"/>
      <c r="B36" s="239"/>
      <c r="C36" s="239"/>
      <c r="D36" s="239"/>
      <c r="E36" s="239"/>
      <c r="F36" s="239"/>
      <c r="G36" s="239"/>
      <c r="H36" s="239"/>
      <c r="I36" s="239"/>
      <c r="J36" s="239"/>
      <c r="K36" s="239"/>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row>
    <row r="37">
      <c r="A37" s="239">
        <f>SUM(A1:A35)</f>
        <v>1204.41</v>
      </c>
      <c r="B37" s="239"/>
      <c r="C37" s="239"/>
      <c r="D37" s="239"/>
      <c r="E37" s="239"/>
      <c r="F37" s="239"/>
      <c r="G37" s="239"/>
      <c r="H37" s="239"/>
      <c r="I37" s="239"/>
      <c r="J37" s="239"/>
      <c r="K37" s="239"/>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row>
    <row r="38">
      <c r="A38" s="239"/>
      <c r="B38" s="239"/>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row>
    <row r="39">
      <c r="A39" s="239"/>
      <c r="B39" s="239"/>
      <c r="C39" s="239"/>
      <c r="D39" s="239"/>
      <c r="E39" s="239"/>
      <c r="F39" s="239"/>
      <c r="G39" s="239"/>
      <c r="H39" s="239"/>
      <c r="I39" s="239"/>
      <c r="J39" s="239"/>
      <c r="K39" s="239"/>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row>
    <row r="40">
      <c r="A40" s="239"/>
      <c r="B40" s="239"/>
      <c r="C40" s="239"/>
      <c r="D40" s="239"/>
      <c r="E40" s="239"/>
      <c r="F40" s="239"/>
      <c r="G40" s="239"/>
      <c r="H40" s="239"/>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row>
    <row r="41">
      <c r="A41" s="239"/>
      <c r="B41" s="239"/>
      <c r="C41" s="239"/>
      <c r="D41" s="239"/>
      <c r="E41" s="239"/>
      <c r="F41" s="239"/>
      <c r="G41" s="239"/>
      <c r="H41" s="239"/>
      <c r="I41" s="239"/>
      <c r="J41" s="239"/>
      <c r="K41" s="239"/>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row>
    <row r="42">
      <c r="A42" s="239"/>
      <c r="B42" s="239"/>
      <c r="C42" s="239"/>
      <c r="D42" s="239"/>
      <c r="E42" s="239"/>
      <c r="F42" s="239"/>
      <c r="G42" s="239"/>
      <c r="H42" s="239"/>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row>
    <row r="43">
      <c r="A43" s="239"/>
      <c r="B43" s="239"/>
      <c r="C43" s="239"/>
      <c r="D43" s="239"/>
      <c r="E43" s="239"/>
      <c r="F43" s="239"/>
      <c r="G43" s="239"/>
      <c r="H43" s="239"/>
      <c r="I43" s="239"/>
      <c r="J43" s="239"/>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row>
    <row r="44">
      <c r="A44" s="239"/>
      <c r="B44" s="239"/>
      <c r="C44" s="239"/>
      <c r="D44" s="239"/>
      <c r="E44" s="239"/>
      <c r="F44" s="239"/>
      <c r="G44" s="239"/>
      <c r="H44" s="239"/>
      <c r="I44" s="239"/>
      <c r="J44" s="239"/>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row>
    <row r="45">
      <c r="A45" s="239"/>
      <c r="B45" s="239"/>
      <c r="C45" s="239"/>
      <c r="D45" s="239"/>
      <c r="E45" s="239"/>
      <c r="F45" s="239"/>
      <c r="G45" s="239"/>
      <c r="H45" s="239"/>
      <c r="I45" s="239"/>
      <c r="J45" s="239"/>
      <c r="K45" s="239"/>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row>
    <row r="46">
      <c r="A46" s="239"/>
      <c r="B46" s="239"/>
      <c r="C46" s="239"/>
      <c r="D46" s="239"/>
      <c r="E46" s="239"/>
      <c r="F46" s="239"/>
      <c r="G46" s="239"/>
      <c r="H46" s="239"/>
      <c r="I46" s="239"/>
      <c r="J46" s="239"/>
      <c r="K46" s="239"/>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row>
    <row r="47">
      <c r="A47" s="239"/>
      <c r="B47" s="239"/>
      <c r="C47" s="239"/>
      <c r="D47" s="239"/>
      <c r="E47" s="239"/>
      <c r="F47" s="239"/>
      <c r="G47" s="239"/>
      <c r="H47" s="239"/>
      <c r="I47" s="239"/>
      <c r="J47" s="239"/>
      <c r="K47" s="239"/>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row>
    <row r="48">
      <c r="A48" s="239"/>
      <c r="B48" s="239"/>
      <c r="C48" s="239"/>
      <c r="D48" s="239"/>
      <c r="E48" s="239"/>
      <c r="F48" s="239"/>
      <c r="G48" s="239"/>
      <c r="H48" s="239"/>
      <c r="I48" s="239"/>
      <c r="J48" s="239"/>
      <c r="K48" s="239"/>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row>
    <row r="49">
      <c r="A49" s="239"/>
      <c r="B49" s="239"/>
      <c r="C49" s="239"/>
      <c r="D49" s="239"/>
      <c r="E49" s="239"/>
      <c r="F49" s="239"/>
      <c r="G49" s="239"/>
      <c r="H49" s="239"/>
      <c r="I49" s="239"/>
      <c r="J49" s="239"/>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row>
    <row r="50">
      <c r="A50" s="239"/>
      <c r="B50" s="239"/>
      <c r="C50" s="239"/>
      <c r="D50" s="239"/>
      <c r="E50" s="239"/>
      <c r="F50" s="239"/>
      <c r="G50" s="239"/>
      <c r="H50" s="239"/>
      <c r="I50" s="239"/>
      <c r="J50" s="239"/>
      <c r="K50" s="239"/>
      <c r="L50" s="239"/>
      <c r="M50" s="239"/>
      <c r="N50" s="239"/>
      <c r="O50" s="239"/>
      <c r="P50" s="239"/>
      <c r="Q50" s="239"/>
      <c r="R50" s="239"/>
      <c r="S50" s="239"/>
      <c r="T50" s="239"/>
      <c r="U50" s="239"/>
      <c r="V50" s="239"/>
      <c r="W50" s="239"/>
      <c r="X50" s="239"/>
      <c r="Y50" s="239"/>
      <c r="Z50" s="239"/>
      <c r="AA50" s="239"/>
      <c r="AB50" s="239"/>
      <c r="AC50" s="239"/>
      <c r="AD50" s="239"/>
      <c r="AE50" s="239"/>
      <c r="AF50" s="239"/>
      <c r="AG50" s="239"/>
      <c r="AH50" s="239"/>
      <c r="AI50" s="239"/>
      <c r="AJ50" s="239"/>
      <c r="AK50" s="239"/>
    </row>
    <row r="51">
      <c r="A51" s="239"/>
      <c r="B51" s="239"/>
      <c r="C51" s="239"/>
      <c r="D51" s="239"/>
      <c r="E51" s="239"/>
      <c r="F51" s="239"/>
      <c r="G51" s="239"/>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row>
    <row r="52">
      <c r="A52" s="239"/>
      <c r="B52" s="239"/>
      <c r="C52" s="239"/>
      <c r="D52" s="239"/>
      <c r="E52" s="239"/>
      <c r="F52" s="239"/>
      <c r="G52" s="239"/>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row>
    <row r="53">
      <c r="A53" s="239"/>
      <c r="B53" s="239"/>
      <c r="C53" s="239"/>
      <c r="D53" s="239"/>
      <c r="E53" s="239"/>
      <c r="F53" s="239"/>
      <c r="G53" s="239"/>
      <c r="H53" s="239"/>
      <c r="I53" s="239"/>
      <c r="J53" s="239"/>
      <c r="K53" s="239"/>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row>
    <row r="54">
      <c r="A54" s="239"/>
      <c r="B54" s="239"/>
      <c r="C54" s="239"/>
      <c r="D54" s="239"/>
      <c r="E54" s="239"/>
      <c r="F54" s="239"/>
      <c r="G54" s="239"/>
      <c r="H54" s="239"/>
      <c r="I54" s="239"/>
      <c r="J54" s="239"/>
      <c r="K54" s="239"/>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row>
    <row r="55">
      <c r="A55" s="239"/>
      <c r="B55" s="239"/>
      <c r="C55" s="239"/>
      <c r="D55" s="239"/>
      <c r="E55" s="239"/>
      <c r="F55" s="239"/>
      <c r="G55" s="239"/>
      <c r="H55" s="239"/>
      <c r="I55" s="239"/>
      <c r="J55" s="239"/>
      <c r="K55" s="239"/>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row>
    <row r="56">
      <c r="A56" s="239"/>
      <c r="B56" s="239"/>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row>
    <row r="57">
      <c r="A57" s="239"/>
      <c r="B57" s="239"/>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row>
    <row r="58">
      <c r="A58" s="239"/>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row>
    <row r="59">
      <c r="A59" s="239"/>
      <c r="B59" s="239"/>
      <c r="C59" s="239"/>
      <c r="D59" s="239"/>
      <c r="E59" s="239"/>
      <c r="F59" s="239"/>
      <c r="G59" s="239"/>
      <c r="H59" s="239"/>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row>
    <row r="60">
      <c r="A60" s="239"/>
      <c r="B60" s="239"/>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row>
    <row r="61">
      <c r="A61" s="239"/>
      <c r="B61" s="239"/>
      <c r="C61" s="239"/>
      <c r="D61" s="239"/>
      <c r="E61" s="239"/>
      <c r="F61" s="239"/>
      <c r="G61" s="239"/>
      <c r="H61" s="239"/>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row>
    <row r="62">
      <c r="A62" s="239"/>
      <c r="B62" s="239"/>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row>
    <row r="63">
      <c r="A63" s="239"/>
      <c r="B63" s="239"/>
      <c r="C63" s="239"/>
      <c r="D63" s="239"/>
      <c r="E63" s="239"/>
      <c r="F63" s="239"/>
      <c r="G63" s="239"/>
      <c r="H63" s="239"/>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row>
    <row r="64">
      <c r="A64" s="239"/>
      <c r="B64" s="239"/>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row>
    <row r="65">
      <c r="A65" s="239"/>
      <c r="B65" s="239"/>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row>
    <row r="66">
      <c r="A66" s="239"/>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row>
    <row r="67">
      <c r="A67" s="239"/>
      <c r="B67" s="239"/>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row>
    <row r="68">
      <c r="A68" s="239"/>
      <c r="B68" s="239"/>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row>
    <row r="69">
      <c r="A69" s="239"/>
      <c r="B69" s="239"/>
      <c r="C69" s="239"/>
      <c r="D69" s="239"/>
      <c r="E69" s="239"/>
      <c r="F69" s="239"/>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row>
    <row r="70">
      <c r="A70" s="239"/>
      <c r="B70" s="239"/>
      <c r="C70" s="239"/>
      <c r="D70" s="239"/>
      <c r="E70" s="239"/>
      <c r="F70" s="239"/>
      <c r="G70" s="239"/>
      <c r="H70" s="239"/>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row>
    <row r="71">
      <c r="A71" s="239"/>
      <c r="B71" s="239"/>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row>
    <row r="72">
      <c r="A72" s="239"/>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row>
    <row r="73">
      <c r="A73" s="239"/>
      <c r="B73" s="239"/>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row>
    <row r="74">
      <c r="A74" s="239"/>
      <c r="B74" s="239"/>
      <c r="C74" s="239"/>
      <c r="D74" s="239"/>
      <c r="E74" s="239"/>
      <c r="F74" s="239"/>
      <c r="G74" s="239"/>
      <c r="H74" s="239"/>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row>
    <row r="75">
      <c r="A75" s="239"/>
      <c r="B75" s="239"/>
      <c r="C75" s="239"/>
      <c r="D75" s="239"/>
      <c r="E75" s="239"/>
      <c r="F75" s="239"/>
      <c r="G75" s="239"/>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row>
    <row r="76">
      <c r="A76" s="239"/>
      <c r="B76" s="239"/>
      <c r="C76" s="239"/>
      <c r="D76" s="239"/>
      <c r="E76" s="239"/>
      <c r="F76" s="239"/>
      <c r="G76" s="239"/>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row>
    <row r="77">
      <c r="A77" s="239"/>
      <c r="B77" s="239"/>
      <c r="C77" s="239"/>
      <c r="D77" s="239"/>
      <c r="E77" s="239"/>
      <c r="F77" s="239"/>
      <c r="G77" s="239"/>
      <c r="H77" s="239"/>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row>
    <row r="78">
      <c r="A78" s="239"/>
      <c r="B78" s="239"/>
      <c r="C78" s="239"/>
      <c r="D78" s="239"/>
      <c r="E78" s="239"/>
      <c r="F78" s="239"/>
      <c r="G78" s="239"/>
      <c r="H78" s="239"/>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row>
    <row r="79">
      <c r="A79" s="239"/>
      <c r="B79" s="239"/>
      <c r="C79" s="239"/>
      <c r="D79" s="239"/>
      <c r="E79" s="239"/>
      <c r="F79" s="239"/>
      <c r="G79" s="239"/>
      <c r="H79" s="239"/>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row>
    <row r="80">
      <c r="A80" s="239"/>
      <c r="B80" s="239"/>
      <c r="C80" s="239"/>
      <c r="D80" s="239"/>
      <c r="E80" s="239"/>
      <c r="F80" s="239"/>
      <c r="G80" s="239"/>
      <c r="H80" s="239"/>
      <c r="I80" s="239"/>
      <c r="J80" s="239"/>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row>
    <row r="81">
      <c r="A81" s="239"/>
      <c r="B81" s="239"/>
      <c r="C81" s="239"/>
      <c r="D81" s="239"/>
      <c r="E81" s="239"/>
      <c r="F81" s="239"/>
      <c r="G81" s="239"/>
      <c r="H81" s="239"/>
      <c r="I81" s="239"/>
      <c r="J81" s="239"/>
      <c r="K81" s="239"/>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row>
    <row r="82">
      <c r="A82" s="239"/>
      <c r="B82" s="239"/>
      <c r="C82" s="239"/>
      <c r="D82" s="239"/>
      <c r="E82" s="239"/>
      <c r="F82" s="239"/>
      <c r="G82" s="239"/>
      <c r="H82" s="239"/>
      <c r="I82" s="239"/>
      <c r="J82" s="239"/>
      <c r="K82" s="239"/>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row>
    <row r="83">
      <c r="A83" s="239"/>
      <c r="B83" s="239"/>
      <c r="C83" s="239"/>
      <c r="D83" s="239"/>
      <c r="E83" s="239"/>
      <c r="F83" s="239"/>
      <c r="G83" s="239"/>
      <c r="H83" s="239"/>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row>
    <row r="84">
      <c r="A84" s="239"/>
      <c r="B84" s="239"/>
      <c r="C84" s="239"/>
      <c r="D84" s="239"/>
      <c r="E84" s="239"/>
      <c r="F84" s="239"/>
      <c r="G84" s="239"/>
      <c r="H84" s="239"/>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row>
    <row r="85">
      <c r="A85" s="239"/>
      <c r="B85" s="239"/>
      <c r="C85" s="239"/>
      <c r="D85" s="239"/>
      <c r="E85" s="239"/>
      <c r="F85" s="239"/>
      <c r="G85" s="239"/>
      <c r="H85" s="239"/>
      <c r="I85" s="239"/>
      <c r="J85" s="239"/>
      <c r="K85" s="239"/>
      <c r="L85" s="239"/>
      <c r="M85" s="239"/>
      <c r="N85" s="239"/>
      <c r="O85" s="239"/>
      <c r="P85" s="239"/>
      <c r="Q85" s="239"/>
      <c r="R85" s="239"/>
      <c r="S85" s="239"/>
      <c r="T85" s="239"/>
      <c r="U85" s="239"/>
      <c r="V85" s="239"/>
      <c r="W85" s="239"/>
      <c r="X85" s="239"/>
      <c r="Y85" s="239"/>
      <c r="Z85" s="239"/>
      <c r="AA85" s="239"/>
      <c r="AB85" s="239"/>
      <c r="AC85" s="239"/>
      <c r="AD85" s="239"/>
      <c r="AE85" s="239"/>
      <c r="AF85" s="239"/>
      <c r="AG85" s="239"/>
      <c r="AH85" s="239"/>
      <c r="AI85" s="239"/>
      <c r="AJ85" s="239"/>
      <c r="AK85" s="239"/>
    </row>
    <row r="86">
      <c r="A86" s="239"/>
      <c r="B86" s="239"/>
      <c r="C86" s="239"/>
      <c r="D86" s="239"/>
      <c r="E86" s="239"/>
      <c r="F86" s="239"/>
      <c r="G86" s="239"/>
      <c r="H86" s="239"/>
      <c r="I86" s="239"/>
      <c r="J86" s="239"/>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row>
    <row r="87">
      <c r="A87" s="239"/>
      <c r="B87" s="239"/>
      <c r="C87" s="239"/>
      <c r="D87" s="239"/>
      <c r="E87" s="239"/>
      <c r="F87" s="239"/>
      <c r="G87" s="239"/>
      <c r="H87" s="239"/>
      <c r="I87" s="239"/>
      <c r="J87" s="239"/>
      <c r="K87" s="239"/>
      <c r="L87" s="239"/>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row>
    <row r="88">
      <c r="A88" s="239"/>
      <c r="B88" s="239"/>
      <c r="C88" s="239"/>
      <c r="D88" s="239"/>
      <c r="E88" s="239"/>
      <c r="F88" s="239"/>
      <c r="G88" s="239"/>
      <c r="H88" s="239"/>
      <c r="I88" s="239"/>
      <c r="J88" s="239"/>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row>
    <row r="89">
      <c r="A89" s="239"/>
      <c r="B89" s="239"/>
      <c r="C89" s="239"/>
      <c r="D89" s="239"/>
      <c r="E89" s="239"/>
      <c r="F89" s="239"/>
      <c r="G89" s="239"/>
      <c r="H89" s="239"/>
      <c r="I89" s="239"/>
      <c r="J89" s="239"/>
      <c r="K89" s="239"/>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row>
    <row r="90">
      <c r="A90" s="239"/>
      <c r="B90" s="239"/>
      <c r="C90" s="239"/>
      <c r="D90" s="239"/>
      <c r="E90" s="239"/>
      <c r="F90" s="239"/>
      <c r="G90" s="239"/>
      <c r="H90" s="239"/>
      <c r="I90" s="239"/>
      <c r="J90" s="239"/>
      <c r="K90" s="239"/>
      <c r="L90" s="239"/>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row>
    <row r="91">
      <c r="A91" s="239"/>
      <c r="B91" s="239"/>
      <c r="C91" s="239"/>
      <c r="D91" s="239"/>
      <c r="E91" s="239"/>
      <c r="F91" s="239"/>
      <c r="G91" s="239"/>
      <c r="H91" s="239"/>
      <c r="I91" s="239"/>
      <c r="J91" s="239"/>
      <c r="K91" s="239"/>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row>
    <row r="92">
      <c r="A92" s="239"/>
      <c r="B92" s="239"/>
      <c r="C92" s="239"/>
      <c r="D92" s="239"/>
      <c r="E92" s="239"/>
      <c r="F92" s="239"/>
      <c r="G92" s="239"/>
      <c r="H92" s="239"/>
      <c r="I92" s="239"/>
      <c r="J92" s="239"/>
      <c r="K92" s="239"/>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row>
    <row r="93">
      <c r="A93" s="239"/>
      <c r="B93" s="239"/>
      <c r="C93" s="239"/>
      <c r="D93" s="239"/>
      <c r="E93" s="239"/>
      <c r="F93" s="239"/>
      <c r="G93" s="239"/>
      <c r="H93" s="239"/>
      <c r="I93" s="239"/>
      <c r="J93" s="239"/>
      <c r="K93" s="239"/>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row>
    <row r="94">
      <c r="A94" s="239"/>
      <c r="B94" s="239"/>
      <c r="C94" s="239"/>
      <c r="D94" s="239"/>
      <c r="E94" s="239"/>
      <c r="F94" s="239"/>
      <c r="G94" s="239"/>
      <c r="H94" s="239"/>
      <c r="I94" s="239"/>
      <c r="J94" s="239"/>
      <c r="K94" s="239"/>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row>
    <row r="95">
      <c r="A95" s="239"/>
      <c r="B95" s="239"/>
      <c r="C95" s="239"/>
      <c r="D95" s="239"/>
      <c r="E95" s="239"/>
      <c r="F95" s="239"/>
      <c r="G95" s="239"/>
      <c r="H95" s="239"/>
      <c r="I95" s="239"/>
      <c r="J95" s="239"/>
      <c r="K95" s="239"/>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row>
    <row r="96">
      <c r="A96" s="239"/>
      <c r="B96" s="239"/>
      <c r="C96" s="239"/>
      <c r="D96" s="239"/>
      <c r="E96" s="239"/>
      <c r="F96" s="239"/>
      <c r="G96" s="239"/>
      <c r="H96" s="239"/>
      <c r="I96" s="239"/>
      <c r="J96" s="239"/>
      <c r="K96" s="239"/>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row>
    <row r="97">
      <c r="A97" s="239"/>
      <c r="B97" s="239"/>
      <c r="C97" s="239"/>
      <c r="D97" s="239"/>
      <c r="E97" s="239"/>
      <c r="F97" s="239"/>
      <c r="G97" s="239"/>
      <c r="H97" s="239"/>
      <c r="I97" s="239"/>
      <c r="J97" s="239"/>
      <c r="K97" s="239"/>
      <c r="L97" s="239"/>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row>
    <row r="98">
      <c r="A98" s="239"/>
      <c r="B98" s="239"/>
      <c r="C98" s="239"/>
      <c r="D98" s="239"/>
      <c r="E98" s="239"/>
      <c r="F98" s="239"/>
      <c r="G98" s="239"/>
      <c r="H98" s="239"/>
      <c r="I98" s="239"/>
      <c r="J98" s="239"/>
      <c r="K98" s="239"/>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row>
    <row r="99">
      <c r="A99" s="239"/>
      <c r="B99" s="239"/>
      <c r="C99" s="239"/>
      <c r="D99" s="239"/>
      <c r="E99" s="239"/>
      <c r="F99" s="239"/>
      <c r="G99" s="239"/>
      <c r="H99" s="239"/>
      <c r="I99" s="239"/>
      <c r="J99" s="239"/>
      <c r="K99" s="239"/>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row>
    <row r="100">
      <c r="A100" s="239"/>
      <c r="B100" s="239"/>
      <c r="C100" s="239"/>
      <c r="D100" s="239"/>
      <c r="E100" s="239"/>
      <c r="F100" s="239"/>
      <c r="G100" s="239"/>
      <c r="H100" s="239"/>
      <c r="I100" s="239"/>
      <c r="J100" s="239"/>
      <c r="K100" s="239"/>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row>
    <row r="101">
      <c r="A101" s="239"/>
      <c r="B101" s="239"/>
      <c r="C101" s="239"/>
      <c r="D101" s="239"/>
      <c r="E101" s="239"/>
      <c r="F101" s="239"/>
      <c r="G101" s="239"/>
      <c r="H101" s="239"/>
      <c r="I101" s="239"/>
      <c r="J101" s="239"/>
      <c r="K101" s="239"/>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row>
    <row r="102">
      <c r="A102" s="239"/>
      <c r="B102" s="239"/>
      <c r="C102" s="239"/>
      <c r="D102" s="239"/>
      <c r="E102" s="239"/>
      <c r="F102" s="239"/>
      <c r="G102" s="239"/>
      <c r="H102" s="239"/>
      <c r="I102" s="239"/>
      <c r="J102" s="239"/>
      <c r="K102" s="239"/>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row>
    <row r="103">
      <c r="A103" s="239"/>
      <c r="B103" s="239"/>
      <c r="C103" s="239"/>
      <c r="D103" s="239"/>
      <c r="E103" s="239"/>
      <c r="F103" s="239"/>
      <c r="G103" s="239"/>
      <c r="H103" s="239"/>
      <c r="I103" s="239"/>
      <c r="J103" s="239"/>
      <c r="K103" s="239"/>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row>
    <row r="104">
      <c r="A104" s="239"/>
      <c r="B104" s="239"/>
      <c r="C104" s="239"/>
      <c r="D104" s="239"/>
      <c r="E104" s="239"/>
      <c r="F104" s="239"/>
      <c r="G104" s="239"/>
      <c r="H104" s="239"/>
      <c r="I104" s="239"/>
      <c r="J104" s="239"/>
      <c r="K104" s="239"/>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row>
    <row r="105">
      <c r="A105" s="239"/>
      <c r="B105" s="239"/>
      <c r="C105" s="239"/>
      <c r="D105" s="239"/>
      <c r="E105" s="239"/>
      <c r="F105" s="239"/>
      <c r="G105" s="239"/>
      <c r="H105" s="239"/>
      <c r="I105" s="239"/>
      <c r="J105" s="239"/>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row>
    <row r="106">
      <c r="A106" s="239"/>
      <c r="B106" s="239"/>
      <c r="C106" s="239"/>
      <c r="D106" s="239"/>
      <c r="E106" s="239"/>
      <c r="F106" s="239"/>
      <c r="G106" s="239"/>
      <c r="H106" s="239"/>
      <c r="I106" s="239"/>
      <c r="J106" s="239"/>
      <c r="K106" s="239"/>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row>
    <row r="107">
      <c r="A107" s="239"/>
      <c r="B107" s="239"/>
      <c r="C107" s="239"/>
      <c r="D107" s="239"/>
      <c r="E107" s="239"/>
      <c r="F107" s="239"/>
      <c r="G107" s="239"/>
      <c r="H107" s="239"/>
      <c r="I107" s="239"/>
      <c r="J107" s="239"/>
      <c r="K107" s="239"/>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row>
    <row r="108">
      <c r="A108" s="239"/>
      <c r="B108" s="239"/>
      <c r="C108" s="239"/>
      <c r="D108" s="239"/>
      <c r="E108" s="239"/>
      <c r="F108" s="239"/>
      <c r="G108" s="239"/>
      <c r="H108" s="239"/>
      <c r="I108" s="239"/>
      <c r="J108" s="239"/>
      <c r="K108" s="239"/>
      <c r="L108" s="239"/>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row>
    <row r="109">
      <c r="A109" s="239"/>
      <c r="B109" s="239"/>
      <c r="C109" s="239"/>
      <c r="D109" s="239"/>
      <c r="E109" s="239"/>
      <c r="F109" s="239"/>
      <c r="G109" s="239"/>
      <c r="H109" s="239"/>
      <c r="I109" s="239"/>
      <c r="J109" s="239"/>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row>
    <row r="110">
      <c r="A110" s="239"/>
      <c r="B110" s="239"/>
      <c r="C110" s="239"/>
      <c r="D110" s="239"/>
      <c r="E110" s="239"/>
      <c r="F110" s="239"/>
      <c r="G110" s="239"/>
      <c r="H110" s="239"/>
      <c r="I110" s="239"/>
      <c r="J110" s="239"/>
      <c r="K110" s="239"/>
      <c r="L110" s="239"/>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row>
    <row r="111">
      <c r="A111" s="239"/>
      <c r="B111" s="239"/>
      <c r="C111" s="239"/>
      <c r="D111" s="239"/>
      <c r="E111" s="239"/>
      <c r="F111" s="239"/>
      <c r="G111" s="239"/>
      <c r="H111" s="239"/>
      <c r="I111" s="239"/>
      <c r="J111" s="239"/>
      <c r="K111" s="239"/>
      <c r="L111" s="239"/>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row>
    <row r="112">
      <c r="A112" s="239"/>
      <c r="B112" s="239"/>
      <c r="C112" s="239"/>
      <c r="D112" s="239"/>
      <c r="E112" s="239"/>
      <c r="F112" s="239"/>
      <c r="G112" s="239"/>
      <c r="H112" s="239"/>
      <c r="I112" s="239"/>
      <c r="J112" s="239"/>
      <c r="K112" s="239"/>
      <c r="L112" s="239"/>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row>
    <row r="113">
      <c r="A113" s="239"/>
      <c r="B113" s="239"/>
      <c r="C113" s="239"/>
      <c r="D113" s="239"/>
      <c r="E113" s="239"/>
      <c r="F113" s="239"/>
      <c r="G113" s="239"/>
      <c r="H113" s="239"/>
      <c r="I113" s="239"/>
      <c r="J113" s="239"/>
      <c r="K113" s="239"/>
      <c r="L113" s="239"/>
      <c r="M113" s="239"/>
      <c r="N113" s="239"/>
      <c r="O113" s="239"/>
      <c r="P113" s="239"/>
      <c r="Q113" s="239"/>
      <c r="R113" s="239"/>
      <c r="S113" s="239"/>
      <c r="T113" s="239"/>
      <c r="U113" s="239"/>
      <c r="V113" s="239"/>
      <c r="W113" s="239"/>
      <c r="X113" s="239"/>
      <c r="Y113" s="239"/>
      <c r="Z113" s="239"/>
      <c r="AA113" s="239"/>
      <c r="AB113" s="239"/>
      <c r="AC113" s="239"/>
      <c r="AD113" s="239"/>
      <c r="AE113" s="239"/>
      <c r="AF113" s="239"/>
      <c r="AG113" s="239"/>
      <c r="AH113" s="239"/>
      <c r="AI113" s="239"/>
      <c r="AJ113" s="239"/>
      <c r="AK113" s="239"/>
    </row>
    <row r="114">
      <c r="A114" s="239"/>
      <c r="B114" s="239"/>
      <c r="C114" s="239"/>
      <c r="D114" s="239"/>
      <c r="E114" s="239"/>
      <c r="F114" s="239"/>
      <c r="G114" s="239"/>
      <c r="H114" s="239"/>
      <c r="I114" s="239"/>
      <c r="J114" s="239"/>
      <c r="K114" s="239"/>
      <c r="L114" s="239"/>
      <c r="M114" s="239"/>
      <c r="N114" s="239"/>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c r="AJ114" s="239"/>
      <c r="AK114" s="239"/>
    </row>
    <row r="115">
      <c r="A115" s="239"/>
      <c r="B115" s="239"/>
      <c r="C115" s="239"/>
      <c r="D115" s="239"/>
      <c r="E115" s="239"/>
      <c r="F115" s="239"/>
      <c r="G115" s="239"/>
      <c r="H115" s="239"/>
      <c r="I115" s="239"/>
      <c r="J115" s="239"/>
      <c r="K115" s="239"/>
      <c r="L115" s="239"/>
      <c r="M115" s="239"/>
      <c r="N115" s="239"/>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row>
    <row r="116">
      <c r="A116" s="239"/>
      <c r="B116" s="239"/>
      <c r="C116" s="239"/>
      <c r="D116" s="239"/>
      <c r="E116" s="239"/>
      <c r="F116" s="239"/>
      <c r="G116" s="239"/>
      <c r="H116" s="239"/>
      <c r="I116" s="239"/>
      <c r="J116" s="239"/>
      <c r="K116" s="239"/>
      <c r="L116" s="239"/>
      <c r="M116" s="239"/>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row>
    <row r="117">
      <c r="A117" s="239"/>
      <c r="B117" s="239"/>
      <c r="C117" s="239"/>
      <c r="D117" s="239"/>
      <c r="E117" s="239"/>
      <c r="F117" s="239"/>
      <c r="G117" s="239"/>
      <c r="H117" s="239"/>
      <c r="I117" s="239"/>
      <c r="J117" s="239"/>
      <c r="K117" s="239"/>
      <c r="L117" s="239"/>
      <c r="M117" s="239"/>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row>
    <row r="118">
      <c r="A118" s="239"/>
      <c r="B118" s="239"/>
      <c r="C118" s="239"/>
      <c r="D118" s="239"/>
      <c r="E118" s="239"/>
      <c r="F118" s="239"/>
      <c r="G118" s="239"/>
      <c r="H118" s="239"/>
      <c r="I118" s="239"/>
      <c r="J118" s="239"/>
      <c r="K118" s="239"/>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row>
    <row r="119">
      <c r="A119" s="239"/>
      <c r="B119" s="239"/>
      <c r="C119" s="239"/>
      <c r="D119" s="239"/>
      <c r="E119" s="239"/>
      <c r="F119" s="239"/>
      <c r="G119" s="239"/>
      <c r="H119" s="239"/>
      <c r="I119" s="239"/>
      <c r="J119" s="239"/>
      <c r="K119" s="239"/>
      <c r="L119" s="239"/>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row>
    <row r="120">
      <c r="A120" s="239"/>
      <c r="B120" s="239"/>
      <c r="C120" s="239"/>
      <c r="D120" s="239"/>
      <c r="E120" s="239"/>
      <c r="F120" s="239"/>
      <c r="G120" s="239"/>
      <c r="H120" s="239"/>
      <c r="I120" s="239"/>
      <c r="J120" s="239"/>
      <c r="K120" s="239"/>
      <c r="L120" s="239"/>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row>
    <row r="121">
      <c r="A121" s="239"/>
      <c r="B121" s="239"/>
      <c r="C121" s="239"/>
      <c r="D121" s="239"/>
      <c r="E121" s="239"/>
      <c r="F121" s="239"/>
      <c r="G121" s="239"/>
      <c r="H121" s="239"/>
      <c r="I121" s="239"/>
      <c r="J121" s="239"/>
      <c r="K121" s="239"/>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row>
    <row r="122">
      <c r="A122" s="239"/>
      <c r="B122" s="239"/>
      <c r="C122" s="239"/>
      <c r="D122" s="239"/>
      <c r="E122" s="239"/>
      <c r="F122" s="239"/>
      <c r="G122" s="239"/>
      <c r="H122" s="239"/>
      <c r="I122" s="239"/>
      <c r="J122" s="239"/>
      <c r="K122" s="239"/>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row>
    <row r="123">
      <c r="A123" s="239"/>
      <c r="B123" s="239"/>
      <c r="C123" s="239"/>
      <c r="D123" s="239"/>
      <c r="E123" s="239"/>
      <c r="F123" s="239"/>
      <c r="G123" s="239"/>
      <c r="H123" s="239"/>
      <c r="I123" s="239"/>
      <c r="J123" s="239"/>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row>
    <row r="124">
      <c r="A124" s="239"/>
      <c r="B124" s="239"/>
      <c r="C124" s="239"/>
      <c r="D124" s="239"/>
      <c r="E124" s="239"/>
      <c r="F124" s="239"/>
      <c r="G124" s="239"/>
      <c r="H124" s="239"/>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row>
    <row r="125">
      <c r="A125" s="239"/>
      <c r="B125" s="239"/>
      <c r="C125" s="239"/>
      <c r="D125" s="239"/>
      <c r="E125" s="239"/>
      <c r="F125" s="239"/>
      <c r="G125" s="239"/>
      <c r="H125" s="239"/>
      <c r="I125" s="239"/>
      <c r="J125" s="239"/>
      <c r="K125" s="239"/>
      <c r="L125" s="239"/>
      <c r="M125" s="239"/>
      <c r="N125" s="239"/>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c r="AJ125" s="239"/>
      <c r="AK125" s="239"/>
    </row>
    <row r="126">
      <c r="A126" s="239"/>
      <c r="B126" s="239"/>
      <c r="C126" s="239"/>
      <c r="D126" s="239"/>
      <c r="E126" s="239"/>
      <c r="F126" s="239"/>
      <c r="G126" s="239"/>
      <c r="H126" s="239"/>
      <c r="I126" s="239"/>
      <c r="J126" s="239"/>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row>
    <row r="127">
      <c r="A127" s="239"/>
      <c r="B127" s="239"/>
      <c r="C127" s="239"/>
      <c r="D127" s="239"/>
      <c r="E127" s="239"/>
      <c r="F127" s="239"/>
      <c r="G127" s="239"/>
      <c r="H127" s="239"/>
      <c r="I127" s="239"/>
      <c r="J127" s="239"/>
      <c r="K127" s="239"/>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row>
    <row r="128">
      <c r="A128" s="239"/>
      <c r="B128" s="239"/>
      <c r="C128" s="239"/>
      <c r="D128" s="239"/>
      <c r="E128" s="239"/>
      <c r="F128" s="239"/>
      <c r="G128" s="239"/>
      <c r="H128" s="239"/>
      <c r="I128" s="239"/>
      <c r="J128" s="239"/>
      <c r="K128" s="239"/>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row>
    <row r="129">
      <c r="A129" s="239"/>
      <c r="B129" s="239"/>
      <c r="C129" s="239"/>
      <c r="D129" s="239"/>
      <c r="E129" s="239"/>
      <c r="F129" s="239"/>
      <c r="G129" s="239"/>
      <c r="H129" s="239"/>
      <c r="I129" s="239"/>
      <c r="J129" s="239"/>
      <c r="K129" s="239"/>
      <c r="L129" s="239"/>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row>
    <row r="130">
      <c r="A130" s="239"/>
      <c r="B130" s="239"/>
      <c r="C130" s="239"/>
      <c r="D130" s="239"/>
      <c r="E130" s="239"/>
      <c r="F130" s="239"/>
      <c r="G130" s="239"/>
      <c r="H130" s="239"/>
      <c r="I130" s="239"/>
      <c r="J130" s="239"/>
      <c r="K130" s="239"/>
      <c r="L130" s="239"/>
      <c r="M130" s="239"/>
      <c r="N130" s="239"/>
      <c r="O130" s="239"/>
      <c r="P130" s="239"/>
      <c r="Q130" s="239"/>
      <c r="R130" s="239"/>
      <c r="S130" s="239"/>
      <c r="T130" s="239"/>
      <c r="U130" s="239"/>
      <c r="V130" s="239"/>
      <c r="W130" s="239"/>
      <c r="X130" s="239"/>
      <c r="Y130" s="239"/>
      <c r="Z130" s="239"/>
      <c r="AA130" s="239"/>
      <c r="AB130" s="239"/>
      <c r="AC130" s="239"/>
      <c r="AD130" s="239"/>
      <c r="AE130" s="239"/>
      <c r="AF130" s="239"/>
      <c r="AG130" s="239"/>
      <c r="AH130" s="239"/>
      <c r="AI130" s="239"/>
      <c r="AJ130" s="239"/>
      <c r="AK130" s="239"/>
    </row>
    <row r="131">
      <c r="A131" s="239"/>
      <c r="B131" s="239"/>
      <c r="C131" s="239"/>
      <c r="D131" s="239"/>
      <c r="E131" s="239"/>
      <c r="F131" s="239"/>
      <c r="G131" s="239"/>
      <c r="H131" s="239"/>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row>
    <row r="132">
      <c r="A132" s="239"/>
      <c r="B132" s="239"/>
      <c r="C132" s="239"/>
      <c r="D132" s="239"/>
      <c r="E132" s="239"/>
      <c r="F132" s="239"/>
      <c r="G132" s="239"/>
      <c r="H132" s="239"/>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row>
    <row r="133">
      <c r="A133" s="239"/>
      <c r="B133" s="239"/>
      <c r="C133" s="239"/>
      <c r="D133" s="239"/>
      <c r="E133" s="239"/>
      <c r="F133" s="239"/>
      <c r="G133" s="239"/>
      <c r="H133" s="239"/>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row>
    <row r="134">
      <c r="A134" s="239"/>
      <c r="B134" s="239"/>
      <c r="C134" s="239"/>
      <c r="D134" s="239"/>
      <c r="E134" s="239"/>
      <c r="F134" s="239"/>
      <c r="G134" s="239"/>
      <c r="H134" s="239"/>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row>
    <row r="135">
      <c r="A135" s="239"/>
      <c r="B135" s="239"/>
      <c r="C135" s="239"/>
      <c r="D135" s="239"/>
      <c r="E135" s="239"/>
      <c r="F135" s="239"/>
      <c r="G135" s="239"/>
      <c r="H135" s="239"/>
      <c r="I135" s="239"/>
      <c r="J135" s="239"/>
      <c r="K135" s="239"/>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c r="AK135" s="239"/>
    </row>
    <row r="136">
      <c r="A136" s="239"/>
      <c r="B136" s="239"/>
      <c r="C136" s="239"/>
      <c r="D136" s="239"/>
      <c r="E136" s="239"/>
      <c r="F136" s="239"/>
      <c r="G136" s="239"/>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c r="A137" s="239"/>
      <c r="B137" s="239"/>
      <c r="C137" s="239"/>
      <c r="D137" s="239"/>
      <c r="E137" s="239"/>
      <c r="F137" s="239"/>
      <c r="G137" s="239"/>
      <c r="H137" s="239"/>
      <c r="I137" s="239"/>
      <c r="J137" s="239"/>
      <c r="K137" s="239"/>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c r="A138" s="239"/>
      <c r="B138" s="239"/>
      <c r="C138" s="239"/>
      <c r="D138" s="239"/>
      <c r="E138" s="239"/>
      <c r="F138" s="239"/>
      <c r="G138" s="239"/>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row>
    <row r="139">
      <c r="A139" s="239"/>
      <c r="B139" s="239"/>
      <c r="C139" s="239"/>
      <c r="D139" s="239"/>
      <c r="E139" s="239"/>
      <c r="F139" s="239"/>
      <c r="G139" s="239"/>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row>
    <row r="140">
      <c r="A140" s="239"/>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row>
    <row r="141">
      <c r="A141" s="239"/>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c r="AK141" s="239"/>
    </row>
    <row r="142">
      <c r="A142" s="239"/>
      <c r="B142" s="239"/>
      <c r="C142" s="239"/>
      <c r="D142" s="239"/>
      <c r="E142" s="239"/>
      <c r="F142" s="239"/>
      <c r="G142" s="239"/>
      <c r="H142" s="239"/>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c r="AK142" s="239"/>
    </row>
    <row r="143">
      <c r="A143" s="239"/>
      <c r="B143" s="239"/>
      <c r="C143" s="239"/>
      <c r="D143" s="239"/>
      <c r="E143" s="239"/>
      <c r="F143" s="239"/>
      <c r="G143" s="239"/>
      <c r="H143" s="239"/>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row>
    <row r="144">
      <c r="A144" s="239"/>
      <c r="B144" s="239"/>
      <c r="C144" s="239"/>
      <c r="D144" s="239"/>
      <c r="E144" s="239"/>
      <c r="F144" s="239"/>
      <c r="G144" s="239"/>
      <c r="H144" s="239"/>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row>
    <row r="145">
      <c r="A145" s="239"/>
      <c r="B145" s="239"/>
      <c r="C145" s="239"/>
      <c r="D145" s="239"/>
      <c r="E145" s="239"/>
      <c r="F145" s="239"/>
      <c r="G145" s="239"/>
      <c r="H145" s="239"/>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row>
    <row r="146">
      <c r="A146" s="239"/>
      <c r="B146" s="239"/>
      <c r="C146" s="239"/>
      <c r="D146" s="239"/>
      <c r="E146" s="239"/>
      <c r="F146" s="239"/>
      <c r="G146" s="239"/>
      <c r="H146" s="239"/>
      <c r="I146" s="239"/>
      <c r="J146" s="239"/>
      <c r="K146" s="239"/>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row>
    <row r="147">
      <c r="A147" s="239"/>
      <c r="B147" s="239"/>
      <c r="C147" s="239"/>
      <c r="D147" s="239"/>
      <c r="E147" s="239"/>
      <c r="F147" s="239"/>
      <c r="G147" s="239"/>
      <c r="H147" s="239"/>
      <c r="I147" s="239"/>
      <c r="J147" s="239"/>
      <c r="K147" s="239"/>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c r="AK147" s="239"/>
    </row>
    <row r="148">
      <c r="A148" s="239"/>
      <c r="B148" s="239"/>
      <c r="C148" s="239"/>
      <c r="D148" s="239"/>
      <c r="E148" s="239"/>
      <c r="F148" s="239"/>
      <c r="G148" s="239"/>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row>
    <row r="149">
      <c r="A149" s="239"/>
      <c r="B149" s="239"/>
      <c r="C149" s="239"/>
      <c r="D149" s="239"/>
      <c r="E149" s="239"/>
      <c r="F149" s="239"/>
      <c r="G149" s="239"/>
      <c r="H149" s="239"/>
      <c r="I149" s="239"/>
      <c r="J149" s="239"/>
      <c r="K149" s="239"/>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row>
    <row r="150">
      <c r="A150" s="239"/>
      <c r="B150" s="239"/>
      <c r="C150" s="239"/>
      <c r="D150" s="239"/>
      <c r="E150" s="239"/>
      <c r="F150" s="239"/>
      <c r="G150" s="239"/>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row>
    <row r="151">
      <c r="A151" s="239"/>
      <c r="B151" s="239"/>
      <c r="C151" s="239"/>
      <c r="D151" s="239"/>
      <c r="E151" s="239"/>
      <c r="F151" s="239"/>
      <c r="G151" s="239"/>
      <c r="H151" s="239"/>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row>
    <row r="152">
      <c r="A152" s="239"/>
      <c r="B152" s="239"/>
      <c r="C152" s="239"/>
      <c r="D152" s="239"/>
      <c r="E152" s="239"/>
      <c r="F152" s="239"/>
      <c r="G152" s="239"/>
      <c r="H152" s="239"/>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c r="AK152" s="239"/>
    </row>
    <row r="153">
      <c r="A153" s="239"/>
      <c r="B153" s="239"/>
      <c r="C153" s="239"/>
      <c r="D153" s="239"/>
      <c r="E153" s="239"/>
      <c r="F153" s="239"/>
      <c r="G153" s="239"/>
      <c r="H153" s="239"/>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c r="AK153" s="239"/>
    </row>
    <row r="154">
      <c r="A154" s="239"/>
      <c r="B154" s="239"/>
      <c r="C154" s="239"/>
      <c r="D154" s="239"/>
      <c r="E154" s="239"/>
      <c r="F154" s="239"/>
      <c r="G154" s="239"/>
      <c r="H154" s="239"/>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c r="AK154" s="239"/>
    </row>
    <row r="155">
      <c r="A155" s="239"/>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row>
    <row r="156">
      <c r="A156" s="239"/>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row>
    <row r="157">
      <c r="A157" s="239"/>
      <c r="B157" s="239"/>
      <c r="C157" s="239"/>
      <c r="D157" s="239"/>
      <c r="E157" s="239"/>
      <c r="F157" s="239"/>
      <c r="G157" s="239"/>
      <c r="H157" s="239"/>
      <c r="I157" s="239"/>
      <c r="J157" s="239"/>
      <c r="K157" s="239"/>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row>
    <row r="158">
      <c r="A158" s="239"/>
      <c r="B158" s="239"/>
      <c r="C158" s="239"/>
      <c r="D158" s="239"/>
      <c r="E158" s="239"/>
      <c r="F158" s="239"/>
      <c r="G158" s="239"/>
      <c r="H158" s="239"/>
      <c r="I158" s="239"/>
      <c r="J158" s="239"/>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row>
    <row r="159">
      <c r="A159" s="239"/>
      <c r="B159" s="239"/>
      <c r="C159" s="239"/>
      <c r="D159" s="239"/>
      <c r="E159" s="239"/>
      <c r="F159" s="239"/>
      <c r="G159" s="239"/>
      <c r="H159" s="239"/>
      <c r="I159" s="239"/>
      <c r="J159" s="239"/>
      <c r="K159" s="239"/>
      <c r="L159" s="239"/>
      <c r="M159" s="239"/>
      <c r="N159" s="239"/>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c r="AK159" s="239"/>
    </row>
    <row r="160">
      <c r="A160" s="239"/>
      <c r="B160" s="239"/>
      <c r="C160" s="239"/>
      <c r="D160" s="239"/>
      <c r="E160" s="239"/>
      <c r="F160" s="239"/>
      <c r="G160" s="239"/>
      <c r="H160" s="239"/>
      <c r="I160" s="239"/>
      <c r="J160" s="239"/>
      <c r="K160" s="239"/>
      <c r="L160" s="239"/>
      <c r="M160" s="239"/>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row>
    <row r="161">
      <c r="A161" s="239"/>
      <c r="B161" s="239"/>
      <c r="C161" s="239"/>
      <c r="D161" s="239"/>
      <c r="E161" s="239"/>
      <c r="F161" s="239"/>
      <c r="G161" s="239"/>
      <c r="H161" s="239"/>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row>
    <row r="162">
      <c r="A162" s="239"/>
      <c r="B162" s="239"/>
      <c r="C162" s="239"/>
      <c r="D162" s="239"/>
      <c r="E162" s="239"/>
      <c r="F162" s="239"/>
      <c r="G162" s="239"/>
      <c r="H162" s="239"/>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row>
    <row r="163">
      <c r="A163" s="239"/>
      <c r="B163" s="239"/>
      <c r="C163" s="239"/>
      <c r="D163" s="239"/>
      <c r="E163" s="239"/>
      <c r="F163" s="239"/>
      <c r="G163" s="239"/>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row>
    <row r="164">
      <c r="A164" s="239"/>
      <c r="B164" s="239"/>
      <c r="C164" s="239"/>
      <c r="D164" s="239"/>
      <c r="E164" s="239"/>
      <c r="F164" s="239"/>
      <c r="G164" s="239"/>
      <c r="H164" s="239"/>
      <c r="I164" s="239"/>
      <c r="J164" s="239"/>
      <c r="K164" s="239"/>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c r="AK164" s="239"/>
    </row>
    <row r="165">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row>
    <row r="166">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row>
    <row r="167">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row>
    <row r="168">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row>
    <row r="169">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row>
    <row r="170">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row>
    <row r="171">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row>
    <row r="172">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row>
    <row r="173">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row>
    <row r="174">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row>
    <row r="175">
      <c r="A175" s="239"/>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row>
    <row r="176">
      <c r="A176" s="239"/>
      <c r="B176" s="239"/>
      <c r="C176" s="239"/>
      <c r="D176" s="239"/>
      <c r="E176" s="239"/>
      <c r="F176" s="239"/>
      <c r="G176" s="239"/>
      <c r="H176" s="239"/>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c r="AK176" s="239"/>
    </row>
    <row r="177">
      <c r="A177" s="239"/>
      <c r="B177" s="239"/>
      <c r="C177" s="239"/>
      <c r="D177" s="239"/>
      <c r="E177" s="239"/>
      <c r="F177" s="239"/>
      <c r="G177" s="239"/>
      <c r="H177" s="239"/>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c r="AK177" s="239"/>
    </row>
    <row r="178">
      <c r="A178" s="239"/>
      <c r="B178" s="239"/>
      <c r="C178" s="239"/>
      <c r="D178" s="239"/>
      <c r="E178" s="239"/>
      <c r="F178" s="239"/>
      <c r="G178" s="239"/>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c r="AK178" s="239"/>
    </row>
    <row r="179">
      <c r="A179" s="239"/>
      <c r="B179" s="239"/>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c r="AJ179" s="239"/>
      <c r="AK179" s="239"/>
    </row>
    <row r="180">
      <c r="A180" s="239"/>
      <c r="B180" s="239"/>
      <c r="C180" s="239"/>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c r="AK180" s="239"/>
    </row>
    <row r="181">
      <c r="A181" s="239"/>
      <c r="B181" s="239"/>
      <c r="C181" s="239"/>
      <c r="D181" s="239"/>
      <c r="E181" s="239"/>
      <c r="F181" s="239"/>
      <c r="G181" s="239"/>
      <c r="H181" s="239"/>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c r="AK181" s="239"/>
    </row>
    <row r="182">
      <c r="A182" s="239"/>
      <c r="B182" s="239"/>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c r="AK182" s="239"/>
    </row>
    <row r="183">
      <c r="A183" s="239"/>
      <c r="B183" s="239"/>
      <c r="C183" s="239"/>
      <c r="D183" s="239"/>
      <c r="E183" s="239"/>
      <c r="F183" s="239"/>
      <c r="G183" s="239"/>
      <c r="H183" s="239"/>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c r="AK183" s="239"/>
    </row>
    <row r="184">
      <c r="A184" s="239"/>
      <c r="B184" s="239"/>
      <c r="C184" s="239"/>
      <c r="D184" s="239"/>
      <c r="E184" s="239"/>
      <c r="F184" s="239"/>
      <c r="G184" s="239"/>
      <c r="H184" s="239"/>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row>
    <row r="185">
      <c r="A185" s="239"/>
      <c r="B185" s="239"/>
      <c r="C185" s="239"/>
      <c r="D185" s="239"/>
      <c r="E185" s="239"/>
      <c r="F185" s="239"/>
      <c r="G185" s="239"/>
      <c r="H185" s="239"/>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c r="AK185" s="239"/>
    </row>
    <row r="186">
      <c r="A186" s="239"/>
      <c r="B186" s="239"/>
      <c r="C186" s="239"/>
      <c r="D186" s="239"/>
      <c r="E186" s="239"/>
      <c r="F186" s="239"/>
      <c r="G186" s="239"/>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c r="AK186" s="239"/>
    </row>
    <row r="187">
      <c r="A187" s="239"/>
      <c r="B187" s="239"/>
      <c r="C187" s="239"/>
      <c r="D187" s="239"/>
      <c r="E187" s="239"/>
      <c r="F187" s="239"/>
      <c r="G187" s="239"/>
      <c r="H187" s="239"/>
      <c r="I187" s="239"/>
      <c r="J187" s="239"/>
      <c r="K187" s="239"/>
      <c r="L187" s="239"/>
      <c r="M187" s="239"/>
      <c r="N187" s="239"/>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c r="AJ187" s="239"/>
      <c r="AK187" s="239"/>
    </row>
    <row r="188">
      <c r="A188" s="239"/>
      <c r="B188" s="239"/>
      <c r="C188" s="239"/>
      <c r="D188" s="239"/>
      <c r="E188" s="239"/>
      <c r="F188" s="239"/>
      <c r="G188" s="239"/>
      <c r="H188" s="239"/>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c r="AK188" s="239"/>
    </row>
    <row r="189">
      <c r="A189" s="239"/>
      <c r="B189" s="239"/>
      <c r="C189" s="239"/>
      <c r="D189" s="239"/>
      <c r="E189" s="239"/>
      <c r="F189" s="239"/>
      <c r="G189" s="239"/>
      <c r="H189" s="239"/>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c r="AK189" s="239"/>
    </row>
    <row r="190">
      <c r="A190" s="239"/>
      <c r="B190" s="239"/>
      <c r="C190" s="239"/>
      <c r="D190" s="239"/>
      <c r="E190" s="239"/>
      <c r="F190" s="239"/>
      <c r="G190" s="239"/>
      <c r="H190" s="239"/>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row>
    <row r="191">
      <c r="A191" s="239"/>
      <c r="B191" s="239"/>
      <c r="C191" s="239"/>
      <c r="D191" s="239"/>
      <c r="E191" s="239"/>
      <c r="F191" s="239"/>
      <c r="G191" s="239"/>
      <c r="H191" s="239"/>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row>
    <row r="192">
      <c r="A192" s="239"/>
      <c r="B192" s="239"/>
      <c r="C192" s="239"/>
      <c r="D192" s="239"/>
      <c r="E192" s="239"/>
      <c r="F192" s="239"/>
      <c r="G192" s="239"/>
      <c r="H192" s="239"/>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row>
    <row r="193">
      <c r="A193" s="239"/>
      <c r="B193" s="239"/>
      <c r="C193" s="239"/>
      <c r="D193" s="239"/>
      <c r="E193" s="239"/>
      <c r="F193" s="239"/>
      <c r="G193" s="239"/>
      <c r="H193" s="239"/>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row>
    <row r="194">
      <c r="A194" s="239"/>
      <c r="B194" s="239"/>
      <c r="C194" s="239"/>
      <c r="D194" s="239"/>
      <c r="E194" s="239"/>
      <c r="F194" s="239"/>
      <c r="G194" s="239"/>
      <c r="H194" s="239"/>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row>
    <row r="195">
      <c r="A195" s="239"/>
      <c r="B195" s="239"/>
      <c r="C195" s="239"/>
      <c r="D195" s="239"/>
      <c r="E195" s="239"/>
      <c r="F195" s="239"/>
      <c r="G195" s="239"/>
      <c r="H195" s="239"/>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row>
    <row r="196">
      <c r="A196" s="239"/>
      <c r="B196" s="239"/>
      <c r="C196" s="239"/>
      <c r="D196" s="239"/>
      <c r="E196" s="239"/>
      <c r="F196" s="239"/>
      <c r="G196" s="239"/>
      <c r="H196" s="239"/>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row>
    <row r="197">
      <c r="A197" s="239"/>
      <c r="B197" s="239"/>
      <c r="C197" s="239"/>
      <c r="D197" s="239"/>
      <c r="E197" s="239"/>
      <c r="F197" s="239"/>
      <c r="G197" s="239"/>
      <c r="H197" s="239"/>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row>
    <row r="198">
      <c r="A198" s="239"/>
      <c r="B198" s="239"/>
      <c r="C198" s="239"/>
      <c r="D198" s="239"/>
      <c r="E198" s="239"/>
      <c r="F198" s="239"/>
      <c r="G198" s="239"/>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row>
    <row r="199">
      <c r="A199" s="239"/>
      <c r="B199" s="239"/>
      <c r="C199" s="239"/>
      <c r="D199" s="239"/>
      <c r="E199" s="239"/>
      <c r="F199" s="239"/>
      <c r="G199" s="239"/>
      <c r="H199" s="239"/>
      <c r="I199" s="239"/>
      <c r="J199" s="239"/>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c r="AK199" s="239"/>
    </row>
    <row r="200">
      <c r="A200" s="239"/>
      <c r="B200" s="239"/>
      <c r="C200" s="239"/>
      <c r="D200" s="239"/>
      <c r="E200" s="239"/>
      <c r="F200" s="239"/>
      <c r="G200" s="239"/>
      <c r="H200" s="239"/>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row>
    <row r="201">
      <c r="A201" s="239"/>
      <c r="B201" s="239"/>
      <c r="C201" s="239"/>
      <c r="D201" s="239"/>
      <c r="E201" s="239"/>
      <c r="F201" s="239"/>
      <c r="G201" s="239"/>
      <c r="H201" s="239"/>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row>
    <row r="202">
      <c r="A202" s="239"/>
      <c r="B202" s="239"/>
      <c r="C202" s="239"/>
      <c r="D202" s="239"/>
      <c r="E202" s="239"/>
      <c r="F202" s="239"/>
      <c r="G202" s="239"/>
      <c r="H202" s="239"/>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c r="AK202" s="239"/>
    </row>
    <row r="203">
      <c r="A203" s="239"/>
      <c r="B203" s="239"/>
      <c r="C203" s="239"/>
      <c r="D203" s="239"/>
      <c r="E203" s="239"/>
      <c r="F203" s="239"/>
      <c r="G203" s="239"/>
      <c r="H203" s="239"/>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row>
    <row r="204">
      <c r="A204" s="239"/>
      <c r="B204" s="239"/>
      <c r="C204" s="239"/>
      <c r="D204" s="239"/>
      <c r="E204" s="239"/>
      <c r="F204" s="239"/>
      <c r="G204" s="239"/>
      <c r="H204" s="239"/>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row>
    <row r="205">
      <c r="A205" s="239"/>
      <c r="B205" s="239"/>
      <c r="C205" s="239"/>
      <c r="D205" s="239"/>
      <c r="E205" s="239"/>
      <c r="F205" s="239"/>
      <c r="G205" s="239"/>
      <c r="H205" s="239"/>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row>
    <row r="206">
      <c r="A206" s="239"/>
      <c r="B206" s="239"/>
      <c r="C206" s="239"/>
      <c r="D206" s="239"/>
      <c r="E206" s="239"/>
      <c r="F206" s="239"/>
      <c r="G206" s="239"/>
      <c r="H206" s="239"/>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row>
    <row r="207">
      <c r="A207" s="239"/>
      <c r="B207" s="239"/>
      <c r="C207" s="239"/>
      <c r="D207" s="239"/>
      <c r="E207" s="239"/>
      <c r="F207" s="239"/>
      <c r="G207" s="239"/>
      <c r="H207" s="239"/>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row>
    <row r="208">
      <c r="A208" s="239"/>
      <c r="B208" s="239"/>
      <c r="C208" s="239"/>
      <c r="D208" s="239"/>
      <c r="E208" s="239"/>
      <c r="F208" s="239"/>
      <c r="G208" s="239"/>
      <c r="H208" s="239"/>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row>
    <row r="209">
      <c r="A209" s="239"/>
      <c r="B209" s="239"/>
      <c r="C209" s="239"/>
      <c r="D209" s="239"/>
      <c r="E209" s="239"/>
      <c r="F209" s="239"/>
      <c r="G209" s="239"/>
      <c r="H209" s="239"/>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row>
    <row r="210">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row>
    <row r="211">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row>
    <row r="212">
      <c r="A212" s="239"/>
      <c r="B212" s="239"/>
      <c r="C212" s="239"/>
      <c r="D212" s="239"/>
      <c r="E212" s="239"/>
      <c r="F212" s="239"/>
      <c r="G212" s="239"/>
      <c r="H212" s="239"/>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row>
    <row r="213">
      <c r="A213" s="239"/>
      <c r="B213" s="239"/>
      <c r="C213" s="239"/>
      <c r="D213" s="239"/>
      <c r="E213" s="239"/>
      <c r="F213" s="239"/>
      <c r="G213" s="239"/>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row>
    <row r="214">
      <c r="A214" s="239"/>
      <c r="B214" s="239"/>
      <c r="C214" s="239"/>
      <c r="D214" s="239"/>
      <c r="E214" s="239"/>
      <c r="F214" s="239"/>
      <c r="G214" s="239"/>
      <c r="H214" s="239"/>
      <c r="I214" s="239"/>
      <c r="J214" s="239"/>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c r="AK214" s="239"/>
    </row>
    <row r="215">
      <c r="A215" s="239"/>
      <c r="B215" s="239"/>
      <c r="C215" s="239"/>
      <c r="D215" s="239"/>
      <c r="E215" s="239"/>
      <c r="F215" s="239"/>
      <c r="G215" s="239"/>
      <c r="H215" s="239"/>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row>
    <row r="216">
      <c r="A216" s="239"/>
      <c r="B216" s="239"/>
      <c r="C216" s="239"/>
      <c r="D216" s="239"/>
      <c r="E216" s="239"/>
      <c r="F216" s="239"/>
      <c r="G216" s="239"/>
      <c r="H216" s="239"/>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row>
    <row r="217">
      <c r="A217" s="239"/>
      <c r="B217" s="239"/>
      <c r="C217" s="239"/>
      <c r="D217" s="239"/>
      <c r="E217" s="239"/>
      <c r="F217" s="239"/>
      <c r="G217" s="239"/>
      <c r="H217" s="239"/>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row>
    <row r="218">
      <c r="A218" s="239"/>
      <c r="B218" s="239"/>
      <c r="C218" s="239"/>
      <c r="D218" s="239"/>
      <c r="E218" s="239"/>
      <c r="F218" s="239"/>
      <c r="G218" s="239"/>
      <c r="H218" s="239"/>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c r="AK218" s="239"/>
    </row>
    <row r="219">
      <c r="A219" s="239"/>
      <c r="B219" s="239"/>
      <c r="C219" s="239"/>
      <c r="D219" s="239"/>
      <c r="E219" s="239"/>
      <c r="F219" s="239"/>
      <c r="G219" s="239"/>
      <c r="H219" s="239"/>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c r="AK219" s="239"/>
    </row>
    <row r="220">
      <c r="A220" s="239"/>
      <c r="B220" s="239"/>
      <c r="C220" s="239"/>
      <c r="D220" s="239"/>
      <c r="E220" s="239"/>
      <c r="F220" s="239"/>
      <c r="G220" s="239"/>
      <c r="H220" s="239"/>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c r="AK220" s="239"/>
    </row>
    <row r="221">
      <c r="A221" s="239"/>
      <c r="B221" s="239"/>
      <c r="C221" s="239"/>
      <c r="D221" s="239"/>
      <c r="E221" s="239"/>
      <c r="F221" s="239"/>
      <c r="G221" s="239"/>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c r="AK221" s="239"/>
    </row>
    <row r="222">
      <c r="A222" s="239"/>
      <c r="B222" s="239"/>
      <c r="C222" s="239"/>
      <c r="D222" s="239"/>
      <c r="E222" s="239"/>
      <c r="F222" s="239"/>
      <c r="G222" s="239"/>
      <c r="H222" s="239"/>
      <c r="I222" s="239"/>
      <c r="J222" s="239"/>
      <c r="K222" s="239"/>
      <c r="L222" s="239"/>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c r="AJ222" s="239"/>
      <c r="AK222" s="239"/>
    </row>
    <row r="223">
      <c r="A223" s="239"/>
      <c r="B223" s="239"/>
      <c r="C223" s="239"/>
      <c r="D223" s="239"/>
      <c r="E223" s="239"/>
      <c r="F223" s="239"/>
      <c r="G223" s="239"/>
      <c r="H223" s="239"/>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c r="AK223" s="239"/>
    </row>
    <row r="224">
      <c r="A224" s="239"/>
      <c r="B224" s="239"/>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c r="AK224" s="239"/>
    </row>
    <row r="225">
      <c r="A225" s="239"/>
      <c r="B225" s="239"/>
      <c r="C225" s="239"/>
      <c r="D225" s="239"/>
      <c r="E225" s="239"/>
      <c r="F225" s="239"/>
      <c r="G225" s="239"/>
      <c r="H225" s="239"/>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c r="AK225" s="239"/>
    </row>
    <row r="226">
      <c r="A226" s="239"/>
      <c r="B226" s="239"/>
      <c r="C226" s="239"/>
      <c r="D226" s="239"/>
      <c r="E226" s="239"/>
      <c r="F226" s="239"/>
      <c r="G226" s="239"/>
      <c r="H226" s="239"/>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c r="AK226" s="239"/>
    </row>
    <row r="227">
      <c r="A227" s="239"/>
      <c r="B227" s="239"/>
      <c r="C227" s="239"/>
      <c r="D227" s="239"/>
      <c r="E227" s="239"/>
      <c r="F227" s="239"/>
      <c r="G227" s="239"/>
      <c r="H227" s="239"/>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row>
    <row r="228">
      <c r="A228" s="239"/>
      <c r="B228" s="239"/>
      <c r="C228" s="239"/>
      <c r="D228" s="239"/>
      <c r="E228" s="239"/>
      <c r="F228" s="239"/>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row>
    <row r="229">
      <c r="A229" s="239"/>
      <c r="B229" s="239"/>
      <c r="C229" s="239"/>
      <c r="D229" s="239"/>
      <c r="E229" s="239"/>
      <c r="F229" s="239"/>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row>
    <row r="230">
      <c r="A230" s="239"/>
      <c r="B230" s="239"/>
      <c r="C230" s="239"/>
      <c r="D230" s="239"/>
      <c r="E230" s="239"/>
      <c r="F230" s="239"/>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c r="AK230" s="239"/>
    </row>
    <row r="231">
      <c r="A231" s="239"/>
      <c r="B231" s="239"/>
      <c r="C231" s="239"/>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c r="AK231" s="239"/>
    </row>
    <row r="232">
      <c r="A232" s="239"/>
      <c r="B232" s="239"/>
      <c r="C232" s="239"/>
      <c r="D232" s="23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row>
    <row r="233">
      <c r="A233" s="239"/>
      <c r="B233" s="239"/>
      <c r="C233" s="239"/>
      <c r="D233" s="239"/>
      <c r="E233" s="239"/>
      <c r="F233" s="239"/>
      <c r="G233" s="239"/>
      <c r="H233" s="239"/>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c r="AK233" s="239"/>
    </row>
    <row r="234">
      <c r="A234" s="239"/>
      <c r="B234" s="239"/>
      <c r="C234" s="239"/>
      <c r="D234" s="239"/>
      <c r="E234" s="239"/>
      <c r="F234" s="239"/>
      <c r="G234" s="239"/>
      <c r="H234" s="239"/>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c r="AK234" s="239"/>
    </row>
    <row r="235">
      <c r="A235" s="239"/>
      <c r="B235" s="239"/>
      <c r="C235" s="239"/>
      <c r="D235" s="239"/>
      <c r="E235" s="239"/>
      <c r="F235" s="239"/>
      <c r="G235" s="239"/>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c r="AK235" s="239"/>
    </row>
    <row r="236">
      <c r="A236" s="239"/>
      <c r="B236" s="239"/>
      <c r="C236" s="239"/>
      <c r="D236" s="239"/>
      <c r="E236" s="239"/>
      <c r="F236" s="239"/>
      <c r="G236" s="239"/>
      <c r="H236" s="239"/>
      <c r="I236" s="239"/>
      <c r="J236" s="239"/>
      <c r="K236" s="239"/>
      <c r="L236" s="239"/>
      <c r="M236" s="239"/>
      <c r="N236" s="239"/>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c r="AJ236" s="239"/>
      <c r="AK236" s="239"/>
    </row>
    <row r="237">
      <c r="A237" s="239"/>
      <c r="B237" s="239"/>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c r="AK237" s="239"/>
    </row>
    <row r="238">
      <c r="A238" s="239"/>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c r="AK238" s="239"/>
    </row>
    <row r="239">
      <c r="A239" s="239"/>
      <c r="B239" s="239"/>
      <c r="C239" s="239"/>
      <c r="D239" s="239"/>
      <c r="E239" s="239"/>
      <c r="F239" s="239"/>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row>
    <row r="240">
      <c r="A240" s="239"/>
      <c r="B240" s="239"/>
      <c r="C240" s="239"/>
      <c r="D240" s="239"/>
      <c r="E240" s="239"/>
      <c r="F240" s="239"/>
      <c r="G240" s="239"/>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c r="AK240" s="239"/>
    </row>
    <row r="241">
      <c r="A241" s="239"/>
      <c r="B241" s="239"/>
      <c r="C241" s="239"/>
      <c r="D241" s="239"/>
      <c r="E241" s="239"/>
      <c r="F241" s="239"/>
      <c r="G241" s="239"/>
      <c r="H241" s="239"/>
      <c r="I241" s="239"/>
      <c r="J241" s="239"/>
      <c r="K241" s="239"/>
      <c r="L241" s="239"/>
      <c r="M241" s="239"/>
      <c r="N241" s="239"/>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c r="AJ241" s="239"/>
      <c r="AK241" s="239"/>
    </row>
    <row r="242">
      <c r="A242" s="239"/>
      <c r="B242" s="239"/>
      <c r="C242" s="239"/>
      <c r="D242" s="239"/>
      <c r="E242" s="239"/>
      <c r="F242" s="239"/>
      <c r="G242" s="239"/>
      <c r="H242" s="239"/>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c r="AK242" s="239"/>
    </row>
    <row r="243">
      <c r="A243" s="239"/>
      <c r="B243" s="239"/>
      <c r="C243" s="239"/>
      <c r="D243" s="239"/>
      <c r="E243" s="239"/>
      <c r="F243" s="239"/>
      <c r="G243" s="239"/>
      <c r="H243" s="239"/>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c r="AK243" s="239"/>
    </row>
    <row r="244">
      <c r="A244" s="239"/>
      <c r="B244" s="239"/>
      <c r="C244" s="239"/>
      <c r="D244" s="239"/>
      <c r="E244" s="239"/>
      <c r="F244" s="239"/>
      <c r="G244" s="239"/>
      <c r="H244" s="239"/>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c r="AK244" s="239"/>
    </row>
    <row r="245">
      <c r="A245" s="239"/>
      <c r="B245" s="239"/>
      <c r="C245" s="239"/>
      <c r="D245" s="239"/>
      <c r="E245" s="239"/>
      <c r="F245" s="239"/>
      <c r="G245" s="239"/>
      <c r="H245" s="239"/>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c r="AK245" s="239"/>
    </row>
    <row r="246">
      <c r="A246" s="239"/>
      <c r="B246" s="239"/>
      <c r="C246" s="239"/>
      <c r="D246" s="239"/>
      <c r="E246" s="239"/>
      <c r="F246" s="239"/>
      <c r="G246" s="239"/>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row>
    <row r="247">
      <c r="A247" s="239"/>
      <c r="B247" s="239"/>
      <c r="C247" s="239"/>
      <c r="D247" s="239"/>
      <c r="E247" s="239"/>
      <c r="F247" s="239"/>
      <c r="G247" s="239"/>
      <c r="H247" s="239"/>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c r="AK247" s="239"/>
    </row>
    <row r="248">
      <c r="A248" s="239"/>
      <c r="B248" s="239"/>
      <c r="C248" s="239"/>
      <c r="D248" s="239"/>
      <c r="E248" s="239"/>
      <c r="F248" s="239"/>
      <c r="G248" s="239"/>
      <c r="H248" s="239"/>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row>
    <row r="249">
      <c r="A249" s="239"/>
      <c r="B249" s="239"/>
      <c r="C249" s="239"/>
      <c r="D249" s="239"/>
      <c r="E249" s="239"/>
      <c r="F249" s="239"/>
      <c r="G249" s="239"/>
      <c r="H249" s="239"/>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row>
    <row r="250">
      <c r="A250" s="239"/>
      <c r="B250" s="239"/>
      <c r="C250" s="239"/>
      <c r="D250" s="239"/>
      <c r="E250" s="239"/>
      <c r="F250" s="239"/>
      <c r="G250" s="239"/>
      <c r="H250" s="239"/>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c r="AK250" s="239"/>
    </row>
    <row r="251">
      <c r="A251" s="239"/>
      <c r="B251" s="239"/>
      <c r="C251" s="239"/>
      <c r="D251" s="239"/>
      <c r="E251" s="239"/>
      <c r="F251" s="239"/>
      <c r="G251" s="239"/>
      <c r="H251" s="239"/>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row>
    <row r="252">
      <c r="A252" s="239"/>
      <c r="B252" s="239"/>
      <c r="C252" s="239"/>
      <c r="D252" s="239"/>
      <c r="E252" s="239"/>
      <c r="F252" s="239"/>
      <c r="G252" s="239"/>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row>
    <row r="253">
      <c r="A253" s="239"/>
      <c r="B253" s="239"/>
      <c r="C253" s="239"/>
      <c r="D253" s="239"/>
      <c r="E253" s="239"/>
      <c r="F253" s="239"/>
      <c r="G253" s="239"/>
      <c r="H253" s="239"/>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c r="AK253" s="239"/>
    </row>
    <row r="254">
      <c r="A254" s="239"/>
      <c r="B254" s="239"/>
      <c r="C254" s="239"/>
      <c r="D254" s="239"/>
      <c r="E254" s="239"/>
      <c r="F254" s="239"/>
      <c r="G254" s="239"/>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c r="AK254" s="239"/>
    </row>
    <row r="255">
      <c r="A255" s="239"/>
      <c r="B255" s="239"/>
      <c r="C255" s="239"/>
      <c r="D255" s="239"/>
      <c r="E255" s="239"/>
      <c r="F255" s="239"/>
      <c r="G255" s="239"/>
      <c r="H255" s="239"/>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c r="AK255" s="239"/>
    </row>
    <row r="256">
      <c r="A256" s="239"/>
      <c r="B256" s="239"/>
      <c r="C256" s="239"/>
      <c r="D256" s="239"/>
      <c r="E256" s="239"/>
      <c r="F256" s="239"/>
      <c r="G256" s="239"/>
      <c r="H256" s="239"/>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c r="AK256" s="239"/>
    </row>
    <row r="257">
      <c r="A257" s="239"/>
      <c r="B257" s="239"/>
      <c r="C257" s="239"/>
      <c r="D257" s="239"/>
      <c r="E257" s="239"/>
      <c r="F257" s="239"/>
      <c r="G257" s="239"/>
      <c r="H257" s="239"/>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c r="AK257" s="239"/>
    </row>
    <row r="258">
      <c r="A258" s="239"/>
      <c r="B258" s="239"/>
      <c r="C258" s="239"/>
      <c r="D258" s="239"/>
      <c r="E258" s="239"/>
      <c r="F258" s="239"/>
      <c r="G258" s="239"/>
      <c r="H258" s="239"/>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c r="AK258" s="239"/>
    </row>
    <row r="259">
      <c r="A259" s="239"/>
      <c r="B259" s="239"/>
      <c r="C259" s="239"/>
      <c r="D259" s="239"/>
      <c r="E259" s="239"/>
      <c r="F259" s="239"/>
      <c r="G259" s="239"/>
      <c r="H259" s="239"/>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c r="AK259" s="239"/>
    </row>
    <row r="260">
      <c r="A260" s="239"/>
      <c r="B260" s="239"/>
      <c r="C260" s="239"/>
      <c r="D260" s="239"/>
      <c r="E260" s="239"/>
      <c r="F260" s="239"/>
      <c r="G260" s="239"/>
      <c r="H260" s="239"/>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c r="AK260" s="239"/>
    </row>
    <row r="261">
      <c r="A261" s="239"/>
      <c r="B261" s="239"/>
      <c r="C261" s="239"/>
      <c r="D261" s="239"/>
      <c r="E261" s="239"/>
      <c r="F261" s="239"/>
      <c r="G261" s="239"/>
      <c r="H261" s="239"/>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c r="AK261" s="239"/>
    </row>
    <row r="262">
      <c r="A262" s="239"/>
      <c r="B262" s="239"/>
      <c r="C262" s="239"/>
      <c r="D262" s="239"/>
      <c r="E262" s="239"/>
      <c r="F262" s="239"/>
      <c r="G262" s="239"/>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c r="AK262" s="239"/>
    </row>
    <row r="263">
      <c r="A263" s="239"/>
      <c r="B263" s="239"/>
      <c r="C263" s="239"/>
      <c r="D263" s="239"/>
      <c r="E263" s="239"/>
      <c r="F263" s="239"/>
      <c r="G263" s="239"/>
      <c r="H263" s="239"/>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row>
    <row r="264">
      <c r="A264" s="239"/>
      <c r="B264" s="239"/>
      <c r="C264" s="239"/>
      <c r="D264" s="239"/>
      <c r="E264" s="239"/>
      <c r="F264" s="239"/>
      <c r="G264" s="239"/>
      <c r="H264" s="239"/>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c r="AK264" s="239"/>
    </row>
    <row r="265">
      <c r="A265" s="239"/>
      <c r="B265" s="239"/>
      <c r="C265" s="239"/>
      <c r="D265" s="239"/>
      <c r="E265" s="239"/>
      <c r="F265" s="239"/>
      <c r="G265" s="239"/>
      <c r="H265" s="239"/>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row>
    <row r="266">
      <c r="A266" s="239"/>
      <c r="B266" s="239"/>
      <c r="C266" s="239"/>
      <c r="D266" s="239"/>
      <c r="E266" s="239"/>
      <c r="F266" s="239"/>
      <c r="G266" s="239"/>
      <c r="H266" s="239"/>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c r="AK266" s="239"/>
    </row>
    <row r="267">
      <c r="A267" s="239"/>
      <c r="B267" s="239"/>
      <c r="C267" s="239"/>
      <c r="D267" s="239"/>
      <c r="E267" s="239"/>
      <c r="F267" s="239"/>
      <c r="G267" s="239"/>
      <c r="H267" s="239"/>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c r="AK267" s="239"/>
    </row>
    <row r="268">
      <c r="A268" s="239"/>
      <c r="B268" s="239"/>
      <c r="C268" s="239"/>
      <c r="D268" s="239"/>
      <c r="E268" s="239"/>
      <c r="F268" s="239"/>
      <c r="G268" s="239"/>
      <c r="H268" s="239"/>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c r="AK268" s="239"/>
    </row>
    <row r="269">
      <c r="A269" s="239"/>
      <c r="B269" s="239"/>
      <c r="C269" s="239"/>
      <c r="D269" s="239"/>
      <c r="E269" s="239"/>
      <c r="F269" s="239"/>
      <c r="G269" s="239"/>
      <c r="H269" s="239"/>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c r="AK269" s="239"/>
    </row>
    <row r="270">
      <c r="A270" s="239"/>
      <c r="B270" s="239"/>
      <c r="C270" s="239"/>
      <c r="D270" s="239"/>
      <c r="E270" s="239"/>
      <c r="F270" s="239"/>
      <c r="G270" s="239"/>
      <c r="H270" s="239"/>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c r="AK270" s="239"/>
    </row>
    <row r="271">
      <c r="A271" s="239"/>
      <c r="B271" s="239"/>
      <c r="C271" s="239"/>
      <c r="D271" s="239"/>
      <c r="E271" s="239"/>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row>
    <row r="272">
      <c r="A272" s="239"/>
      <c r="B272" s="239"/>
      <c r="C272" s="239"/>
      <c r="D272" s="239"/>
      <c r="E272" s="239"/>
      <c r="F272" s="239"/>
      <c r="G272" s="239"/>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c r="AK272" s="239"/>
    </row>
    <row r="273">
      <c r="A273" s="239"/>
      <c r="B273" s="239"/>
      <c r="C273" s="239"/>
      <c r="D273" s="239"/>
      <c r="E273" s="239"/>
      <c r="F273" s="239"/>
      <c r="G273" s="239"/>
      <c r="H273" s="239"/>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c r="AK273" s="239"/>
    </row>
    <row r="274">
      <c r="A274" s="239"/>
      <c r="B274" s="239"/>
      <c r="C274" s="239"/>
      <c r="D274" s="239"/>
      <c r="E274" s="239"/>
      <c r="F274" s="239"/>
      <c r="G274" s="239"/>
      <c r="H274" s="239"/>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c r="AK274" s="239"/>
    </row>
    <row r="275">
      <c r="A275" s="239"/>
      <c r="B275" s="239"/>
      <c r="C275" s="239"/>
      <c r="D275" s="239"/>
      <c r="E275" s="239"/>
      <c r="F275" s="239"/>
      <c r="G275" s="239"/>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c r="AK275" s="239"/>
    </row>
    <row r="276">
      <c r="A276" s="239"/>
      <c r="B276" s="239"/>
      <c r="C276" s="239"/>
      <c r="D276" s="239"/>
      <c r="E276" s="239"/>
      <c r="F276" s="239"/>
      <c r="G276" s="239"/>
      <c r="H276" s="239"/>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c r="AK276" s="239"/>
    </row>
    <row r="277">
      <c r="A277" s="239"/>
      <c r="B277" s="239"/>
      <c r="C277" s="239"/>
      <c r="D277" s="239"/>
      <c r="E277" s="239"/>
      <c r="F277" s="239"/>
      <c r="G277" s="239"/>
      <c r="H277" s="239"/>
      <c r="I277" s="239"/>
      <c r="J277" s="239"/>
      <c r="K277" s="239"/>
      <c r="L277" s="239"/>
      <c r="M277" s="239"/>
      <c r="N277" s="239"/>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c r="AJ277" s="239"/>
      <c r="AK277" s="239"/>
    </row>
    <row r="278">
      <c r="A278" s="239"/>
      <c r="B278" s="239"/>
      <c r="C278" s="239"/>
      <c r="D278" s="239"/>
      <c r="E278" s="239"/>
      <c r="F278" s="239"/>
      <c r="G278" s="239"/>
      <c r="H278" s="239"/>
      <c r="I278" s="239"/>
      <c r="J278" s="239"/>
      <c r="K278" s="239"/>
      <c r="L278" s="239"/>
      <c r="M278" s="239"/>
      <c r="N278" s="239"/>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c r="AJ278" s="239"/>
      <c r="AK278" s="239"/>
    </row>
    <row r="279">
      <c r="A279" s="239"/>
      <c r="B279" s="239"/>
      <c r="C279" s="239"/>
      <c r="D279" s="239"/>
      <c r="E279" s="239"/>
      <c r="F279" s="239"/>
      <c r="G279" s="239"/>
      <c r="H279" s="239"/>
      <c r="I279" s="239"/>
      <c r="J279" s="239"/>
      <c r="K279" s="239"/>
      <c r="L279" s="239"/>
      <c r="M279" s="239"/>
      <c r="N279" s="239"/>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c r="AJ279" s="239"/>
      <c r="AK279" s="239"/>
    </row>
    <row r="280">
      <c r="A280" s="239"/>
      <c r="B280" s="239"/>
      <c r="C280" s="239"/>
      <c r="D280" s="239"/>
      <c r="E280" s="239"/>
      <c r="F280" s="239"/>
      <c r="G280" s="239"/>
      <c r="H280" s="239"/>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c r="AK280" s="239"/>
    </row>
    <row r="281">
      <c r="A281" s="239"/>
      <c r="B281" s="239"/>
      <c r="C281" s="239"/>
      <c r="D281" s="239"/>
      <c r="E281" s="239"/>
      <c r="F281" s="239"/>
      <c r="G281" s="239"/>
      <c r="H281" s="239"/>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c r="AK281" s="239"/>
    </row>
    <row r="282">
      <c r="A282" s="239"/>
      <c r="B282" s="239"/>
      <c r="C282" s="239"/>
      <c r="D282" s="239"/>
      <c r="E282" s="239"/>
      <c r="F282" s="239"/>
      <c r="G282" s="239"/>
      <c r="H282" s="239"/>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c r="AK282" s="239"/>
    </row>
    <row r="283">
      <c r="A283" s="239"/>
      <c r="B283" s="239"/>
      <c r="C283" s="239"/>
      <c r="D283" s="239"/>
      <c r="E283" s="239"/>
      <c r="F283" s="239"/>
      <c r="G283" s="239"/>
      <c r="H283" s="239"/>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c r="AK283" s="239"/>
    </row>
    <row r="284">
      <c r="A284" s="239"/>
      <c r="B284" s="239"/>
      <c r="C284" s="239"/>
      <c r="D284" s="239"/>
      <c r="E284" s="239"/>
      <c r="F284" s="239"/>
      <c r="G284" s="239"/>
      <c r="H284" s="239"/>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c r="AK284" s="239"/>
    </row>
    <row r="285">
      <c r="A285" s="239"/>
      <c r="B285" s="239"/>
      <c r="C285" s="239"/>
      <c r="D285" s="239"/>
      <c r="E285" s="239"/>
      <c r="F285" s="239"/>
      <c r="G285" s="239"/>
      <c r="H285" s="239"/>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c r="AK285" s="239"/>
    </row>
    <row r="286">
      <c r="A286" s="239"/>
      <c r="B286" s="239"/>
      <c r="C286" s="239"/>
      <c r="D286" s="239"/>
      <c r="E286" s="239"/>
      <c r="F286" s="239"/>
      <c r="G286" s="239"/>
      <c r="H286" s="239"/>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c r="AK286" s="239"/>
    </row>
    <row r="287">
      <c r="A287" s="239"/>
      <c r="B287" s="239"/>
      <c r="C287" s="239"/>
      <c r="D287" s="239"/>
      <c r="E287" s="239"/>
      <c r="F287" s="239"/>
      <c r="G287" s="239"/>
      <c r="H287" s="239"/>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c r="AK287" s="239"/>
    </row>
    <row r="288">
      <c r="A288" s="239"/>
      <c r="B288" s="239"/>
      <c r="C288" s="239"/>
      <c r="D288" s="239"/>
      <c r="E288" s="239"/>
      <c r="F288" s="239"/>
      <c r="G288" s="239"/>
      <c r="H288" s="239"/>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c r="AK288" s="239"/>
    </row>
    <row r="289">
      <c r="A289" s="239"/>
      <c r="B289" s="239"/>
      <c r="C289" s="239"/>
      <c r="D289" s="239"/>
      <c r="E289" s="239"/>
      <c r="F289" s="239"/>
      <c r="G289" s="239"/>
      <c r="H289" s="239"/>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c r="AK289" s="239"/>
    </row>
    <row r="290">
      <c r="A290" s="239"/>
      <c r="B290" s="239"/>
      <c r="C290" s="239"/>
      <c r="D290" s="239"/>
      <c r="E290" s="239"/>
      <c r="F290" s="239"/>
      <c r="G290" s="239"/>
      <c r="H290" s="239"/>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c r="AK290" s="239"/>
    </row>
    <row r="291">
      <c r="A291" s="239"/>
      <c r="B291" s="239"/>
      <c r="C291" s="239"/>
      <c r="D291" s="239"/>
      <c r="E291" s="239"/>
      <c r="F291" s="239"/>
      <c r="G291" s="239"/>
      <c r="H291" s="239"/>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c r="AK291" s="239"/>
    </row>
    <row r="292">
      <c r="A292" s="239"/>
      <c r="B292" s="239"/>
      <c r="C292" s="239"/>
      <c r="D292" s="239"/>
      <c r="E292" s="239"/>
      <c r="F292" s="239"/>
      <c r="G292" s="239"/>
      <c r="H292" s="239"/>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c r="AK292" s="239"/>
    </row>
    <row r="293">
      <c r="A293" s="239"/>
      <c r="B293" s="239"/>
      <c r="C293" s="239"/>
      <c r="D293" s="239"/>
      <c r="E293" s="239"/>
      <c r="F293" s="239"/>
      <c r="G293" s="239"/>
      <c r="H293" s="239"/>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c r="AK293" s="239"/>
    </row>
    <row r="294">
      <c r="A294" s="239"/>
      <c r="B294" s="239"/>
      <c r="C294" s="239"/>
      <c r="D294" s="239"/>
      <c r="E294" s="239"/>
      <c r="F294" s="239"/>
      <c r="G294" s="239"/>
      <c r="H294" s="239"/>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c r="AK294" s="239"/>
    </row>
    <row r="295">
      <c r="A295" s="239"/>
      <c r="B295" s="239"/>
      <c r="C295" s="239"/>
      <c r="D295" s="239"/>
      <c r="E295" s="239"/>
      <c r="F295" s="239"/>
      <c r="G295" s="239"/>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c r="AK295" s="239"/>
    </row>
    <row r="296">
      <c r="A296" s="239"/>
      <c r="B296" s="239"/>
      <c r="C296" s="239"/>
      <c r="D296" s="239"/>
      <c r="E296" s="239"/>
      <c r="F296" s="239"/>
      <c r="G296" s="239"/>
      <c r="H296" s="239"/>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c r="AK296" s="239"/>
    </row>
    <row r="297">
      <c r="A297" s="239"/>
      <c r="B297" s="239"/>
      <c r="C297" s="239"/>
      <c r="D297" s="239"/>
      <c r="E297" s="239"/>
      <c r="F297" s="239"/>
      <c r="G297" s="239"/>
      <c r="H297" s="239"/>
      <c r="I297" s="239"/>
      <c r="J297" s="239"/>
      <c r="K297" s="239"/>
      <c r="L297" s="239"/>
      <c r="M297" s="239"/>
      <c r="N297" s="239"/>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c r="AJ297" s="239"/>
      <c r="AK297" s="239"/>
    </row>
    <row r="298">
      <c r="A298" s="239"/>
      <c r="B298" s="239"/>
      <c r="C298" s="239"/>
      <c r="D298" s="239"/>
      <c r="E298" s="239"/>
      <c r="F298" s="239"/>
      <c r="G298" s="239"/>
      <c r="H298" s="239"/>
      <c r="I298" s="239"/>
      <c r="J298" s="239"/>
      <c r="K298" s="239"/>
      <c r="L298" s="239"/>
      <c r="M298" s="239"/>
      <c r="N298" s="239"/>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c r="AJ298" s="239"/>
      <c r="AK298" s="239"/>
    </row>
    <row r="299">
      <c r="A299" s="239"/>
      <c r="B299" s="239"/>
      <c r="C299" s="239"/>
      <c r="D299" s="239"/>
      <c r="E299" s="239"/>
      <c r="F299" s="239"/>
      <c r="G299" s="239"/>
      <c r="H299" s="239"/>
      <c r="I299" s="239"/>
      <c r="J299" s="239"/>
      <c r="K299" s="239"/>
      <c r="L299" s="239"/>
      <c r="M299" s="239"/>
      <c r="N299" s="239"/>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c r="AJ299" s="239"/>
      <c r="AK299" s="239"/>
    </row>
    <row r="300">
      <c r="A300" s="239"/>
      <c r="B300" s="239"/>
      <c r="C300" s="239"/>
      <c r="D300" s="239"/>
      <c r="E300" s="239"/>
      <c r="F300" s="239"/>
      <c r="G300" s="239"/>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c r="AK300" s="239"/>
    </row>
    <row r="301">
      <c r="A301" s="239"/>
      <c r="B301" s="239"/>
      <c r="C301" s="239"/>
      <c r="D301" s="239"/>
      <c r="E301" s="239"/>
      <c r="F301" s="239"/>
      <c r="G301" s="239"/>
      <c r="H301" s="239"/>
      <c r="I301" s="239"/>
      <c r="J301" s="239"/>
      <c r="K301" s="239"/>
      <c r="L301" s="239"/>
      <c r="M301" s="239"/>
      <c r="N301" s="239"/>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c r="AJ301" s="239"/>
      <c r="AK301" s="239"/>
    </row>
    <row r="302">
      <c r="A302" s="239"/>
      <c r="B302" s="239"/>
      <c r="C302" s="239"/>
      <c r="D302" s="239"/>
      <c r="E302" s="239"/>
      <c r="F302" s="239"/>
      <c r="G302" s="239"/>
      <c r="H302" s="239"/>
      <c r="I302" s="239"/>
      <c r="J302" s="239"/>
      <c r="K302" s="239"/>
      <c r="L302" s="239"/>
      <c r="M302" s="239"/>
      <c r="N302" s="239"/>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c r="AJ302" s="239"/>
      <c r="AK302" s="239"/>
    </row>
    <row r="303">
      <c r="A303" s="239"/>
      <c r="B303" s="239"/>
      <c r="C303" s="239"/>
      <c r="D303" s="239"/>
      <c r="E303" s="239"/>
      <c r="F303" s="239"/>
      <c r="G303" s="239"/>
      <c r="H303" s="239"/>
      <c r="I303" s="239"/>
      <c r="J303" s="239"/>
      <c r="K303" s="239"/>
      <c r="L303" s="239"/>
      <c r="M303" s="239"/>
      <c r="N303" s="239"/>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c r="AJ303" s="239"/>
      <c r="AK303" s="239"/>
    </row>
    <row r="304">
      <c r="A304" s="239"/>
      <c r="B304" s="239"/>
      <c r="C304" s="239"/>
      <c r="D304" s="239"/>
      <c r="E304" s="239"/>
      <c r="F304" s="239"/>
      <c r="G304" s="239"/>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c r="AK304" s="239"/>
    </row>
    <row r="305">
      <c r="A305" s="239"/>
      <c r="B305" s="239"/>
      <c r="C305" s="239"/>
      <c r="D305" s="239"/>
      <c r="E305" s="239"/>
      <c r="F305" s="239"/>
      <c r="G305" s="239"/>
      <c r="H305" s="239"/>
      <c r="I305" s="239"/>
      <c r="J305" s="239"/>
      <c r="K305" s="239"/>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c r="AK305" s="239"/>
    </row>
    <row r="306">
      <c r="A306" s="239"/>
      <c r="B306" s="239"/>
      <c r="C306" s="239"/>
      <c r="D306" s="239"/>
      <c r="E306" s="239"/>
      <c r="F306" s="239"/>
      <c r="G306" s="239"/>
      <c r="H306" s="239"/>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c r="AK306" s="239"/>
    </row>
    <row r="307">
      <c r="A307" s="239"/>
      <c r="B307" s="239"/>
      <c r="C307" s="239"/>
      <c r="D307" s="239"/>
      <c r="E307" s="239"/>
      <c r="F307" s="239"/>
      <c r="G307" s="239"/>
      <c r="H307" s="239"/>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c r="AK307" s="239"/>
    </row>
    <row r="308">
      <c r="A308" s="239"/>
      <c r="B308" s="239"/>
      <c r="C308" s="239"/>
      <c r="D308" s="239"/>
      <c r="E308" s="239"/>
      <c r="F308" s="239"/>
      <c r="G308" s="239"/>
      <c r="H308" s="239"/>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c r="AK308" s="239"/>
    </row>
    <row r="309">
      <c r="A309" s="239"/>
      <c r="B309" s="239"/>
      <c r="C309" s="239"/>
      <c r="D309" s="239"/>
      <c r="E309" s="239"/>
      <c r="F309" s="239"/>
      <c r="G309" s="239"/>
      <c r="H309" s="239"/>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c r="AK309" s="239"/>
    </row>
    <row r="310">
      <c r="A310" s="239"/>
      <c r="B310" s="239"/>
      <c r="C310" s="239"/>
      <c r="D310" s="239"/>
      <c r="E310" s="239"/>
      <c r="F310" s="239"/>
      <c r="G310" s="239"/>
      <c r="H310" s="239"/>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c r="AK310" s="239"/>
    </row>
    <row r="311">
      <c r="A311" s="239"/>
      <c r="B311" s="239"/>
      <c r="C311" s="239"/>
      <c r="D311" s="239"/>
      <c r="E311" s="239"/>
      <c r="F311" s="239"/>
      <c r="G311" s="239"/>
      <c r="H311" s="239"/>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c r="AK311" s="239"/>
    </row>
    <row r="312">
      <c r="A312" s="239"/>
      <c r="B312" s="239"/>
      <c r="C312" s="239"/>
      <c r="D312" s="239"/>
      <c r="E312" s="239"/>
      <c r="F312" s="239"/>
      <c r="G312" s="239"/>
      <c r="H312" s="239"/>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c r="AK312" s="239"/>
    </row>
    <row r="313">
      <c r="A313" s="239"/>
      <c r="B313" s="239"/>
      <c r="C313" s="239"/>
      <c r="D313" s="239"/>
      <c r="E313" s="239"/>
      <c r="F313" s="239"/>
      <c r="G313" s="239"/>
      <c r="H313" s="239"/>
      <c r="I313" s="239"/>
      <c r="J313" s="239"/>
      <c r="K313" s="239"/>
      <c r="L313" s="239"/>
      <c r="M313" s="239"/>
      <c r="N313" s="239"/>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c r="AJ313" s="239"/>
      <c r="AK313" s="239"/>
    </row>
    <row r="314">
      <c r="A314" s="239"/>
      <c r="B314" s="239"/>
      <c r="C314" s="239"/>
      <c r="D314" s="239"/>
      <c r="E314" s="239"/>
      <c r="F314" s="239"/>
      <c r="G314" s="239"/>
      <c r="H314" s="239"/>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c r="AK314" s="239"/>
    </row>
    <row r="315">
      <c r="A315" s="239"/>
      <c r="B315" s="239"/>
      <c r="C315" s="239"/>
      <c r="D315" s="239"/>
      <c r="E315" s="239"/>
      <c r="F315" s="239"/>
      <c r="G315" s="239"/>
      <c r="H315" s="239"/>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c r="AK315" s="239"/>
    </row>
    <row r="316">
      <c r="A316" s="239"/>
      <c r="B316" s="239"/>
      <c r="C316" s="239"/>
      <c r="D316" s="239"/>
      <c r="E316" s="239"/>
      <c r="F316" s="239"/>
      <c r="G316" s="239"/>
      <c r="H316" s="239"/>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c r="AK316" s="239"/>
    </row>
    <row r="317">
      <c r="A317" s="239"/>
      <c r="B317" s="239"/>
      <c r="C317" s="239"/>
      <c r="D317" s="239"/>
      <c r="E317" s="239"/>
      <c r="F317" s="239"/>
      <c r="G317" s="239"/>
      <c r="H317" s="239"/>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row>
    <row r="318">
      <c r="A318" s="239"/>
      <c r="B318" s="239"/>
      <c r="C318" s="239"/>
      <c r="D318" s="239"/>
      <c r="E318" s="239"/>
      <c r="F318" s="239"/>
      <c r="G318" s="239"/>
      <c r="H318" s="239"/>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row>
    <row r="319">
      <c r="A319" s="239"/>
      <c r="B319" s="239"/>
      <c r="C319" s="239"/>
      <c r="D319" s="239"/>
      <c r="E319" s="239"/>
      <c r="F319" s="239"/>
      <c r="G319" s="239"/>
      <c r="H319" s="239"/>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row>
    <row r="320">
      <c r="A320" s="239"/>
      <c r="B320" s="239"/>
      <c r="C320" s="239"/>
      <c r="D320" s="239"/>
      <c r="E320" s="239"/>
      <c r="F320" s="239"/>
      <c r="G320" s="239"/>
      <c r="H320" s="239"/>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row>
    <row r="321">
      <c r="A321" s="239"/>
      <c r="B321" s="239"/>
      <c r="C321" s="239"/>
      <c r="D321" s="239"/>
      <c r="E321" s="239"/>
      <c r="F321" s="239"/>
      <c r="G321" s="239"/>
      <c r="H321" s="239"/>
      <c r="I321" s="239"/>
      <c r="J321" s="239"/>
      <c r="K321" s="239"/>
      <c r="L321" s="239"/>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c r="AK321" s="239"/>
    </row>
    <row r="322">
      <c r="A322" s="239"/>
      <c r="B322" s="239"/>
      <c r="C322" s="239"/>
      <c r="D322" s="239"/>
      <c r="E322" s="239"/>
      <c r="F322" s="239"/>
      <c r="G322" s="239"/>
      <c r="H322" s="239"/>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row>
    <row r="323">
      <c r="A323" s="239"/>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row>
    <row r="324">
      <c r="A324" s="239"/>
      <c r="B324" s="239"/>
      <c r="C324" s="239"/>
      <c r="D324" s="239"/>
      <c r="E324" s="239"/>
      <c r="F324" s="239"/>
      <c r="G324" s="239"/>
      <c r="H324" s="239"/>
      <c r="I324" s="239"/>
      <c r="J324" s="239"/>
      <c r="K324" s="239"/>
      <c r="L324" s="239"/>
      <c r="M324" s="239"/>
      <c r="N324" s="239"/>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c r="AJ324" s="239"/>
      <c r="AK324" s="239"/>
    </row>
    <row r="325">
      <c r="A325" s="239"/>
      <c r="B325" s="239"/>
      <c r="C325" s="239"/>
      <c r="D325" s="239"/>
      <c r="E325" s="239"/>
      <c r="F325" s="239"/>
      <c r="G325" s="239"/>
      <c r="H325" s="239"/>
      <c r="I325" s="239"/>
      <c r="J325" s="239"/>
      <c r="K325" s="239"/>
      <c r="L325" s="239"/>
      <c r="M325" s="239"/>
      <c r="N325" s="239"/>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c r="AJ325" s="239"/>
      <c r="AK325" s="239"/>
    </row>
    <row r="326">
      <c r="A326" s="239"/>
      <c r="B326" s="239"/>
      <c r="C326" s="239"/>
      <c r="D326" s="239"/>
      <c r="E326" s="239"/>
      <c r="F326" s="239"/>
      <c r="G326" s="239"/>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c r="AK326" s="239"/>
    </row>
    <row r="327">
      <c r="A327" s="239"/>
      <c r="B327" s="239"/>
      <c r="C327" s="239"/>
      <c r="D327" s="239"/>
      <c r="E327" s="239"/>
      <c r="F327" s="239"/>
      <c r="G327" s="239"/>
      <c r="H327" s="239"/>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c r="AK327" s="239"/>
    </row>
    <row r="328">
      <c r="A328" s="239"/>
      <c r="B328" s="239"/>
      <c r="C328" s="239"/>
      <c r="D328" s="239"/>
      <c r="E328" s="239"/>
      <c r="F328" s="239"/>
      <c r="G328" s="239"/>
      <c r="H328" s="239"/>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c r="AK328" s="239"/>
    </row>
    <row r="329">
      <c r="A329" s="239"/>
      <c r="B329" s="239"/>
      <c r="C329" s="239"/>
      <c r="D329" s="239"/>
      <c r="E329" s="239"/>
      <c r="F329" s="239"/>
      <c r="G329" s="239"/>
      <c r="H329" s="239"/>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c r="AK329" s="239"/>
    </row>
    <row r="330">
      <c r="A330" s="239"/>
      <c r="B330" s="239"/>
      <c r="C330" s="239"/>
      <c r="D330" s="239"/>
      <c r="E330" s="239"/>
      <c r="F330" s="239"/>
      <c r="G330" s="239"/>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c r="AK330" s="239"/>
    </row>
    <row r="331">
      <c r="A331" s="239"/>
      <c r="B331" s="239"/>
      <c r="C331" s="239"/>
      <c r="D331" s="239"/>
      <c r="E331" s="239"/>
      <c r="F331" s="239"/>
      <c r="G331" s="239"/>
      <c r="H331" s="239"/>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c r="AK331" s="239"/>
    </row>
    <row r="332">
      <c r="A332" s="239"/>
      <c r="B332" s="239"/>
      <c r="C332" s="239"/>
      <c r="D332" s="239"/>
      <c r="E332" s="239"/>
      <c r="F332" s="239"/>
      <c r="G332" s="239"/>
      <c r="H332" s="239"/>
      <c r="I332" s="239"/>
      <c r="J332" s="239"/>
      <c r="K332" s="239"/>
      <c r="L332" s="239"/>
      <c r="M332" s="239"/>
      <c r="N332" s="239"/>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c r="AJ332" s="239"/>
      <c r="AK332" s="239"/>
    </row>
    <row r="333">
      <c r="A333" s="239"/>
      <c r="B333" s="239"/>
      <c r="C333" s="239"/>
      <c r="D333" s="239"/>
      <c r="E333" s="239"/>
      <c r="F333" s="239"/>
      <c r="G333" s="239"/>
      <c r="H333" s="239"/>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c r="AK333" s="239"/>
    </row>
    <row r="334">
      <c r="A334" s="239"/>
      <c r="B334" s="239"/>
      <c r="C334" s="239"/>
      <c r="D334" s="239"/>
      <c r="E334" s="239"/>
      <c r="F334" s="239"/>
      <c r="G334" s="239"/>
      <c r="H334" s="239"/>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c r="AK334" s="239"/>
    </row>
    <row r="335">
      <c r="A335" s="239"/>
      <c r="B335" s="239"/>
      <c r="C335" s="239"/>
      <c r="D335" s="239"/>
      <c r="E335" s="239"/>
      <c r="F335" s="239"/>
      <c r="G335" s="239"/>
      <c r="H335" s="239"/>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c r="AK335" s="239"/>
    </row>
    <row r="336">
      <c r="A336" s="239"/>
      <c r="B336" s="239"/>
      <c r="C336" s="239"/>
      <c r="D336" s="239"/>
      <c r="E336" s="239"/>
      <c r="F336" s="239"/>
      <c r="G336" s="239"/>
      <c r="H336" s="239"/>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c r="AK336" s="239"/>
    </row>
    <row r="337">
      <c r="A337" s="239"/>
      <c r="B337" s="239"/>
      <c r="C337" s="239"/>
      <c r="D337" s="239"/>
      <c r="E337" s="239"/>
      <c r="F337" s="239"/>
      <c r="G337" s="239"/>
      <c r="H337" s="239"/>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c r="AK337" s="239"/>
    </row>
    <row r="338">
      <c r="A338" s="239"/>
      <c r="B338" s="239"/>
      <c r="C338" s="239"/>
      <c r="D338" s="239"/>
      <c r="E338" s="239"/>
      <c r="F338" s="239"/>
      <c r="G338" s="239"/>
      <c r="H338" s="239"/>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c r="AK338" s="239"/>
    </row>
    <row r="339">
      <c r="A339" s="239"/>
      <c r="B339" s="239"/>
      <c r="C339" s="239"/>
      <c r="D339" s="239"/>
      <c r="E339" s="239"/>
      <c r="F339" s="239"/>
      <c r="G339" s="239"/>
      <c r="H339" s="239"/>
      <c r="I339" s="239"/>
      <c r="J339" s="239"/>
      <c r="K339" s="239"/>
      <c r="L339" s="239"/>
      <c r="M339" s="239"/>
      <c r="N339" s="239"/>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c r="AJ339" s="239"/>
      <c r="AK339" s="239"/>
    </row>
    <row r="340">
      <c r="A340" s="239"/>
      <c r="B340" s="239"/>
      <c r="C340" s="239"/>
      <c r="D340" s="239"/>
      <c r="E340" s="239"/>
      <c r="F340" s="239"/>
      <c r="G340" s="239"/>
      <c r="H340" s="239"/>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c r="AK340" s="239"/>
    </row>
    <row r="341">
      <c r="A341" s="239"/>
      <c r="B341" s="239"/>
      <c r="C341" s="239"/>
      <c r="D341" s="239"/>
      <c r="E341" s="239"/>
      <c r="F341" s="239"/>
      <c r="G341" s="239"/>
      <c r="H341" s="239"/>
      <c r="I341" s="239"/>
      <c r="J341" s="239"/>
      <c r="K341" s="239"/>
      <c r="L341" s="239"/>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c r="AJ341" s="239"/>
      <c r="AK341" s="239"/>
    </row>
    <row r="342">
      <c r="A342" s="239"/>
      <c r="B342" s="239"/>
      <c r="C342" s="239"/>
      <c r="D342" s="239"/>
      <c r="E342" s="239"/>
      <c r="F342" s="239"/>
      <c r="G342" s="239"/>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c r="AK342" s="239"/>
    </row>
    <row r="343">
      <c r="A343" s="239"/>
      <c r="B343" s="239"/>
      <c r="C343" s="239"/>
      <c r="D343" s="239"/>
      <c r="E343" s="239"/>
      <c r="F343" s="239"/>
      <c r="G343" s="239"/>
      <c r="H343" s="239"/>
      <c r="I343" s="239"/>
      <c r="J343" s="239"/>
      <c r="K343" s="239"/>
      <c r="L343" s="239"/>
      <c r="M343" s="239"/>
      <c r="N343" s="239"/>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c r="AJ343" s="239"/>
      <c r="AK343" s="239"/>
    </row>
    <row r="344">
      <c r="A344" s="239"/>
      <c r="B344" s="239"/>
      <c r="C344" s="239"/>
      <c r="D344" s="239"/>
      <c r="E344" s="239"/>
      <c r="F344" s="239"/>
      <c r="G344" s="239"/>
      <c r="H344" s="239"/>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c r="AK344" s="239"/>
    </row>
    <row r="345">
      <c r="A345" s="239"/>
      <c r="B345" s="239"/>
      <c r="C345" s="239"/>
      <c r="D345" s="239"/>
      <c r="E345" s="239"/>
      <c r="F345" s="239"/>
      <c r="G345" s="239"/>
      <c r="H345" s="239"/>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c r="AK345" s="239"/>
    </row>
    <row r="346">
      <c r="A346" s="239"/>
      <c r="B346" s="239"/>
      <c r="C346" s="239"/>
      <c r="D346" s="239"/>
      <c r="E346" s="239"/>
      <c r="F346" s="239"/>
      <c r="G346" s="239"/>
      <c r="H346" s="239"/>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c r="AK346" s="239"/>
    </row>
    <row r="347">
      <c r="A347" s="239"/>
      <c r="B347" s="239"/>
      <c r="C347" s="239"/>
      <c r="D347" s="239"/>
      <c r="E347" s="239"/>
      <c r="F347" s="239"/>
      <c r="G347" s="239"/>
      <c r="H347" s="239"/>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c r="AK347" s="239"/>
    </row>
    <row r="348">
      <c r="A348" s="239"/>
      <c r="B348" s="239"/>
      <c r="C348" s="239"/>
      <c r="D348" s="239"/>
      <c r="E348" s="239"/>
      <c r="F348" s="239"/>
      <c r="G348" s="239"/>
      <c r="H348" s="239"/>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c r="AK348" s="239"/>
    </row>
    <row r="349">
      <c r="A349" s="239"/>
      <c r="B349" s="239"/>
      <c r="C349" s="239"/>
      <c r="D349" s="239"/>
      <c r="E349" s="239"/>
      <c r="F349" s="239"/>
      <c r="G349" s="239"/>
      <c r="H349" s="239"/>
      <c r="I349" s="239"/>
      <c r="J349" s="239"/>
      <c r="K349" s="239"/>
      <c r="L349" s="239"/>
      <c r="M349" s="239"/>
      <c r="N349" s="239"/>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c r="AJ349" s="239"/>
      <c r="AK349" s="239"/>
    </row>
    <row r="350">
      <c r="A350" s="239"/>
      <c r="B350" s="239"/>
      <c r="C350" s="239"/>
      <c r="D350" s="239"/>
      <c r="E350" s="239"/>
      <c r="F350" s="239"/>
      <c r="G350" s="239"/>
      <c r="H350" s="239"/>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c r="AK350" s="239"/>
    </row>
    <row r="351">
      <c r="A351" s="239"/>
      <c r="B351" s="239"/>
      <c r="C351" s="239"/>
      <c r="D351" s="239"/>
      <c r="E351" s="239"/>
      <c r="F351" s="239"/>
      <c r="G351" s="239"/>
      <c r="H351" s="239"/>
      <c r="I351" s="239"/>
      <c r="J351" s="239"/>
      <c r="K351" s="239"/>
      <c r="L351" s="239"/>
      <c r="M351" s="239"/>
      <c r="N351" s="239"/>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c r="AJ351" s="239"/>
      <c r="AK351" s="239"/>
    </row>
    <row r="352">
      <c r="A352" s="239"/>
      <c r="B352" s="239"/>
      <c r="C352" s="239"/>
      <c r="D352" s="239"/>
      <c r="E352" s="239"/>
      <c r="F352" s="239"/>
      <c r="G352" s="239"/>
      <c r="H352" s="239"/>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c r="AK352" s="239"/>
    </row>
    <row r="353">
      <c r="A353" s="239"/>
      <c r="B353" s="239"/>
      <c r="C353" s="239"/>
      <c r="D353" s="239"/>
      <c r="E353" s="239"/>
      <c r="F353" s="239"/>
      <c r="G353" s="239"/>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c r="AK353" s="239"/>
    </row>
    <row r="354">
      <c r="A354" s="239"/>
      <c r="B354" s="239"/>
      <c r="C354" s="239"/>
      <c r="D354" s="239"/>
      <c r="E354" s="239"/>
      <c r="F354" s="239"/>
      <c r="G354" s="239"/>
      <c r="H354" s="239"/>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c r="AK354" s="239"/>
    </row>
    <row r="355">
      <c r="A355" s="239"/>
      <c r="B355" s="239"/>
      <c r="C355" s="239"/>
      <c r="D355" s="239"/>
      <c r="E355" s="239"/>
      <c r="F355" s="239"/>
      <c r="G355" s="239"/>
      <c r="H355" s="239"/>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c r="AK355" s="239"/>
    </row>
    <row r="356">
      <c r="A356" s="239"/>
      <c r="B356" s="239"/>
      <c r="C356" s="239"/>
      <c r="D356" s="239"/>
      <c r="E356" s="239"/>
      <c r="F356" s="239"/>
      <c r="G356" s="239"/>
      <c r="H356" s="239"/>
      <c r="I356" s="239"/>
      <c r="J356" s="239"/>
      <c r="K356" s="239"/>
      <c r="L356" s="239"/>
      <c r="M356" s="239"/>
      <c r="N356" s="239"/>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c r="AJ356" s="239"/>
      <c r="AK356" s="239"/>
    </row>
    <row r="357">
      <c r="A357" s="239"/>
      <c r="B357" s="239"/>
      <c r="C357" s="239"/>
      <c r="D357" s="239"/>
      <c r="E357" s="239"/>
      <c r="F357" s="239"/>
      <c r="G357" s="239"/>
      <c r="H357" s="239"/>
      <c r="I357" s="239"/>
      <c r="J357" s="239"/>
      <c r="K357" s="239"/>
      <c r="L357" s="239"/>
      <c r="M357" s="239"/>
      <c r="N357" s="239"/>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c r="AJ357" s="239"/>
      <c r="AK357" s="239"/>
    </row>
    <row r="358">
      <c r="A358" s="239"/>
      <c r="B358" s="239"/>
      <c r="C358" s="239"/>
      <c r="D358" s="239"/>
      <c r="E358" s="239"/>
      <c r="F358" s="239"/>
      <c r="G358" s="239"/>
      <c r="H358" s="239"/>
      <c r="I358" s="239"/>
      <c r="J358" s="239"/>
      <c r="K358" s="239"/>
      <c r="L358" s="239"/>
      <c r="M358" s="239"/>
      <c r="N358" s="239"/>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c r="AJ358" s="239"/>
      <c r="AK358" s="239"/>
    </row>
    <row r="359">
      <c r="A359" s="239"/>
      <c r="B359" s="239"/>
      <c r="C359" s="239"/>
      <c r="D359" s="239"/>
      <c r="E359" s="239"/>
      <c r="F359" s="239"/>
      <c r="G359" s="239"/>
      <c r="H359" s="239"/>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c r="AK359" s="239"/>
    </row>
    <row r="360">
      <c r="A360" s="239"/>
      <c r="B360" s="239"/>
      <c r="C360" s="239"/>
      <c r="D360" s="239"/>
      <c r="E360" s="239"/>
      <c r="F360" s="239"/>
      <c r="G360" s="239"/>
      <c r="H360" s="239"/>
      <c r="I360" s="239"/>
      <c r="J360" s="239"/>
      <c r="K360" s="239"/>
      <c r="L360" s="239"/>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c r="AJ360" s="239"/>
      <c r="AK360" s="239"/>
    </row>
    <row r="361">
      <c r="A361" s="239"/>
      <c r="B361" s="239"/>
      <c r="C361" s="239"/>
      <c r="D361" s="239"/>
      <c r="E361" s="239"/>
      <c r="F361" s="239"/>
      <c r="G361" s="239"/>
      <c r="H361" s="239"/>
      <c r="I361" s="239"/>
      <c r="J361" s="239"/>
      <c r="K361" s="239"/>
      <c r="L361" s="239"/>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c r="AK361" s="239"/>
    </row>
    <row r="362">
      <c r="A362" s="239"/>
      <c r="B362" s="239"/>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c r="AK362" s="239"/>
    </row>
    <row r="363">
      <c r="A363" s="239"/>
      <c r="B363" s="239"/>
      <c r="C363" s="239"/>
      <c r="D363" s="239"/>
      <c r="E363" s="239"/>
      <c r="F363" s="239"/>
      <c r="G363" s="239"/>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row>
    <row r="364">
      <c r="A364" s="239"/>
      <c r="B364" s="239"/>
      <c r="C364" s="239"/>
      <c r="D364" s="239"/>
      <c r="E364" s="239"/>
      <c r="F364" s="239"/>
      <c r="G364" s="239"/>
      <c r="H364" s="239"/>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row>
    <row r="365">
      <c r="A365" s="239"/>
      <c r="B365" s="239"/>
      <c r="C365" s="239"/>
      <c r="D365" s="239"/>
      <c r="E365" s="239"/>
      <c r="F365" s="239"/>
      <c r="G365" s="239"/>
      <c r="H365" s="239"/>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row>
    <row r="366">
      <c r="A366" s="239"/>
      <c r="B366" s="239"/>
      <c r="C366" s="239"/>
      <c r="D366" s="239"/>
      <c r="E366" s="239"/>
      <c r="F366" s="239"/>
      <c r="G366" s="239"/>
      <c r="H366" s="239"/>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row>
    <row r="367">
      <c r="A367" s="239"/>
      <c r="B367" s="239"/>
      <c r="C367" s="239"/>
      <c r="D367" s="239"/>
      <c r="E367" s="239"/>
      <c r="F367" s="239"/>
      <c r="G367" s="239"/>
      <c r="H367" s="239"/>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row>
    <row r="368">
      <c r="A368" s="239"/>
      <c r="B368" s="239"/>
      <c r="C368" s="239"/>
      <c r="D368" s="239"/>
      <c r="E368" s="239"/>
      <c r="F368" s="239"/>
      <c r="G368" s="239"/>
      <c r="H368" s="239"/>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row>
    <row r="369">
      <c r="A369" s="239"/>
      <c r="B369" s="239"/>
      <c r="C369" s="239"/>
      <c r="D369" s="239"/>
      <c r="E369" s="239"/>
      <c r="F369" s="239"/>
      <c r="G369" s="239"/>
      <c r="H369" s="239"/>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row>
    <row r="370">
      <c r="A370" s="239"/>
      <c r="B370" s="239"/>
      <c r="C370" s="239"/>
      <c r="D370" s="239"/>
      <c r="E370" s="239"/>
      <c r="F370" s="239"/>
      <c r="G370" s="239"/>
      <c r="H370" s="239"/>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row>
    <row r="371">
      <c r="A371" s="239"/>
      <c r="B371" s="239"/>
      <c r="C371" s="239"/>
      <c r="D371" s="239"/>
      <c r="E371" s="239"/>
      <c r="F371" s="239"/>
      <c r="G371" s="239"/>
      <c r="H371" s="239"/>
      <c r="I371" s="239"/>
      <c r="J371" s="239"/>
      <c r="K371" s="239"/>
      <c r="L371" s="239"/>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c r="AK371" s="239"/>
    </row>
    <row r="372">
      <c r="A372" s="239"/>
      <c r="B372" s="239"/>
      <c r="C372" s="239"/>
      <c r="D372" s="239"/>
      <c r="E372" s="239"/>
      <c r="F372" s="239"/>
      <c r="G372" s="239"/>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row>
    <row r="373">
      <c r="A373" s="239"/>
      <c r="B373" s="239"/>
      <c r="C373" s="239"/>
      <c r="D373" s="239"/>
      <c r="E373" s="239"/>
      <c r="F373" s="239"/>
      <c r="G373" s="239"/>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row>
    <row r="374">
      <c r="A374" s="239"/>
      <c r="B374" s="239"/>
      <c r="C374" s="239"/>
      <c r="D374" s="239"/>
      <c r="E374" s="239"/>
      <c r="F374" s="239"/>
      <c r="G374" s="239"/>
      <c r="H374" s="239"/>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row>
    <row r="375">
      <c r="A375" s="239"/>
      <c r="B375" s="239"/>
      <c r="C375" s="239"/>
      <c r="D375" s="239"/>
      <c r="E375" s="239"/>
      <c r="F375" s="239"/>
      <c r="G375" s="239"/>
      <c r="H375" s="239"/>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row>
    <row r="376">
      <c r="A376" s="239"/>
      <c r="B376" s="239"/>
      <c r="C376" s="239"/>
      <c r="D376" s="239"/>
      <c r="E376" s="239"/>
      <c r="F376" s="239"/>
      <c r="G376" s="239"/>
      <c r="H376" s="239"/>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row>
    <row r="377">
      <c r="A377" s="239"/>
      <c r="B377" s="239"/>
      <c r="C377" s="239"/>
      <c r="D377" s="239"/>
      <c r="E377" s="239"/>
      <c r="F377" s="239"/>
      <c r="G377" s="239"/>
      <c r="H377" s="239"/>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row>
    <row r="378">
      <c r="A378" s="239"/>
      <c r="B378" s="239"/>
      <c r="C378" s="239"/>
      <c r="D378" s="239"/>
      <c r="E378" s="239"/>
      <c r="F378" s="239"/>
      <c r="G378" s="239"/>
      <c r="H378" s="239"/>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row>
    <row r="379">
      <c r="A379" s="239"/>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row>
    <row r="380">
      <c r="A380" s="239"/>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c r="AK380" s="239"/>
    </row>
    <row r="381">
      <c r="A381" s="239"/>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row>
    <row r="382">
      <c r="A382" s="239"/>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c r="AK382" s="239"/>
    </row>
    <row r="383">
      <c r="A383" s="239"/>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row>
    <row r="384">
      <c r="A384" s="239"/>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row>
    <row r="385">
      <c r="A385" s="239"/>
      <c r="B385" s="239"/>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c r="AK385" s="239"/>
    </row>
    <row r="386">
      <c r="A386" s="239"/>
      <c r="B386" s="239"/>
      <c r="C386" s="239"/>
      <c r="D386" s="239"/>
      <c r="E386" s="239"/>
      <c r="F386" s="239"/>
      <c r="G386" s="239"/>
      <c r="H386" s="239"/>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c r="AK386" s="239"/>
    </row>
    <row r="387">
      <c r="A387" s="239"/>
      <c r="B387" s="239"/>
      <c r="C387" s="239"/>
      <c r="D387" s="239"/>
      <c r="E387" s="239"/>
      <c r="F387" s="239"/>
      <c r="G387" s="239"/>
      <c r="H387" s="239"/>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c r="AK387" s="239"/>
    </row>
    <row r="388">
      <c r="A388" s="239"/>
      <c r="B388" s="239"/>
      <c r="C388" s="239"/>
      <c r="D388" s="239"/>
      <c r="E388" s="239"/>
      <c r="F388" s="239"/>
      <c r="G388" s="239"/>
      <c r="H388" s="239"/>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row>
    <row r="389">
      <c r="A389" s="239"/>
      <c r="B389" s="239"/>
      <c r="C389" s="239"/>
      <c r="D389" s="239"/>
      <c r="E389" s="239"/>
      <c r="F389" s="239"/>
      <c r="G389" s="239"/>
      <c r="H389" s="239"/>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row>
    <row r="390">
      <c r="A390" s="239"/>
      <c r="B390" s="239"/>
      <c r="C390" s="239"/>
      <c r="D390" s="239"/>
      <c r="E390" s="239"/>
      <c r="F390" s="239"/>
      <c r="G390" s="239"/>
      <c r="H390" s="239"/>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c r="AK390" s="239"/>
    </row>
    <row r="391">
      <c r="A391" s="239"/>
      <c r="B391" s="239"/>
      <c r="C391" s="239"/>
      <c r="D391" s="239"/>
      <c r="E391" s="239"/>
      <c r="F391" s="239"/>
      <c r="G391" s="239"/>
      <c r="H391" s="239"/>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c r="AK391" s="239"/>
    </row>
    <row r="392">
      <c r="A392" s="239"/>
      <c r="B392" s="239"/>
      <c r="C392" s="239"/>
      <c r="D392" s="239"/>
      <c r="E392" s="239"/>
      <c r="F392" s="239"/>
      <c r="G392" s="239"/>
      <c r="H392" s="239"/>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c r="AK392" s="239"/>
    </row>
    <row r="393">
      <c r="A393" s="239"/>
      <c r="B393" s="239"/>
      <c r="C393" s="239"/>
      <c r="D393" s="239"/>
      <c r="E393" s="239"/>
      <c r="F393" s="239"/>
      <c r="G393" s="239"/>
      <c r="H393" s="239"/>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c r="AK393" s="239"/>
    </row>
    <row r="394">
      <c r="A394" s="239"/>
      <c r="B394" s="239"/>
      <c r="C394" s="239"/>
      <c r="D394" s="239"/>
      <c r="E394" s="239"/>
      <c r="F394" s="239"/>
      <c r="G394" s="239"/>
      <c r="H394" s="239"/>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row>
    <row r="395">
      <c r="A395" s="239"/>
      <c r="B395" s="239"/>
      <c r="C395" s="239"/>
      <c r="D395" s="239"/>
      <c r="E395" s="239"/>
      <c r="F395" s="239"/>
      <c r="G395" s="239"/>
      <c r="H395" s="239"/>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row>
    <row r="396">
      <c r="A396" s="239"/>
      <c r="B396" s="239"/>
      <c r="C396" s="239"/>
      <c r="D396" s="239"/>
      <c r="E396" s="239"/>
      <c r="F396" s="239"/>
      <c r="G396" s="239"/>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row>
    <row r="397">
      <c r="A397" s="239"/>
      <c r="B397" s="239"/>
      <c r="C397" s="239"/>
      <c r="D397" s="239"/>
      <c r="E397" s="239"/>
      <c r="F397" s="239"/>
      <c r="G397" s="239"/>
      <c r="H397" s="239"/>
      <c r="I397" s="239"/>
      <c r="J397" s="239"/>
      <c r="K397" s="239"/>
      <c r="L397" s="239"/>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c r="AK397" s="239"/>
    </row>
    <row r="398">
      <c r="A398" s="239"/>
      <c r="B398" s="239"/>
      <c r="C398" s="239"/>
      <c r="D398" s="239"/>
      <c r="E398" s="239"/>
      <c r="F398" s="239"/>
      <c r="G398" s="239"/>
      <c r="H398" s="239"/>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row>
    <row r="399">
      <c r="A399" s="239"/>
      <c r="B399" s="239"/>
      <c r="C399" s="239"/>
      <c r="D399" s="239"/>
      <c r="E399" s="239"/>
      <c r="F399" s="239"/>
      <c r="G399" s="239"/>
      <c r="H399" s="239"/>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row>
    <row r="400">
      <c r="A400" s="239"/>
      <c r="B400" s="239"/>
      <c r="C400" s="239"/>
      <c r="D400" s="239"/>
      <c r="E400" s="239"/>
      <c r="F400" s="239"/>
      <c r="G400" s="239"/>
      <c r="H400" s="239"/>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c r="AK400" s="239"/>
    </row>
    <row r="401">
      <c r="A401" s="239"/>
      <c r="B401" s="239"/>
      <c r="C401" s="239"/>
      <c r="D401" s="239"/>
      <c r="E401" s="239"/>
      <c r="F401" s="239"/>
      <c r="G401" s="239"/>
      <c r="H401" s="239"/>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c r="AK401" s="239"/>
    </row>
    <row r="402">
      <c r="A402" s="239"/>
      <c r="B402" s="239"/>
      <c r="C402" s="239"/>
      <c r="D402" s="239"/>
      <c r="E402" s="239"/>
      <c r="F402" s="239"/>
      <c r="G402" s="239"/>
      <c r="H402" s="239"/>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row>
    <row r="403">
      <c r="A403" s="239"/>
      <c r="B403" s="239"/>
      <c r="C403" s="239"/>
      <c r="D403" s="239"/>
      <c r="E403" s="239"/>
      <c r="F403" s="239"/>
      <c r="G403" s="239"/>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row>
    <row r="404">
      <c r="A404" s="239"/>
      <c r="B404" s="239"/>
      <c r="C404" s="239"/>
      <c r="D404" s="239"/>
      <c r="E404" s="239"/>
      <c r="F404" s="239"/>
      <c r="G404" s="239"/>
      <c r="H404" s="239"/>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row>
    <row r="405">
      <c r="A405" s="239"/>
      <c r="B405" s="239"/>
      <c r="C405" s="239"/>
      <c r="D405" s="239"/>
      <c r="E405" s="239"/>
      <c r="F405" s="239"/>
      <c r="G405" s="239"/>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row>
    <row r="406">
      <c r="A406" s="239"/>
      <c r="B406" s="239"/>
      <c r="C406" s="239"/>
      <c r="D406" s="239"/>
      <c r="E406" s="239"/>
      <c r="F406" s="239"/>
      <c r="G406" s="239"/>
      <c r="H406" s="239"/>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row>
    <row r="407">
      <c r="A407" s="239"/>
      <c r="B407" s="239"/>
      <c r="C407" s="239"/>
      <c r="D407" s="239"/>
      <c r="E407" s="239"/>
      <c r="F407" s="239"/>
      <c r="G407" s="239"/>
      <c r="H407" s="239"/>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c r="AK407" s="239"/>
    </row>
    <row r="408">
      <c r="A408" s="239"/>
      <c r="B408" s="239"/>
      <c r="C408" s="239"/>
      <c r="D408" s="239"/>
      <c r="E408" s="239"/>
      <c r="F408" s="239"/>
      <c r="G408" s="239"/>
      <c r="H408" s="239"/>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c r="AK408" s="239"/>
    </row>
    <row r="409">
      <c r="A409" s="239"/>
      <c r="B409" s="239"/>
      <c r="C409" s="239"/>
      <c r="D409" s="239"/>
      <c r="E409" s="239"/>
      <c r="F409" s="239"/>
      <c r="G409" s="239"/>
      <c r="H409" s="239"/>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c r="AK409" s="239"/>
    </row>
    <row r="410">
      <c r="A410" s="239"/>
      <c r="B410" s="239"/>
      <c r="C410" s="239"/>
      <c r="D410" s="239"/>
      <c r="E410" s="239"/>
      <c r="F410" s="239"/>
      <c r="G410" s="239"/>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row>
    <row r="411">
      <c r="A411" s="239"/>
      <c r="B411" s="239"/>
      <c r="C411" s="239"/>
      <c r="D411" s="239"/>
      <c r="E411" s="239"/>
      <c r="F411" s="239"/>
      <c r="G411" s="239"/>
      <c r="H411" s="239"/>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row>
    <row r="412">
      <c r="A412" s="239"/>
      <c r="B412" s="239"/>
      <c r="C412" s="239"/>
      <c r="D412" s="239"/>
      <c r="E412" s="239"/>
      <c r="F412" s="239"/>
      <c r="G412" s="239"/>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row>
    <row r="413">
      <c r="A413" s="239"/>
      <c r="B413" s="239"/>
      <c r="C413" s="239"/>
      <c r="D413" s="239"/>
      <c r="E413" s="239"/>
      <c r="F413" s="239"/>
      <c r="G413" s="239"/>
      <c r="H413" s="239"/>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row>
    <row r="414">
      <c r="A414" s="239"/>
      <c r="B414" s="239"/>
      <c r="C414" s="239"/>
      <c r="D414" s="239"/>
      <c r="E414" s="239"/>
      <c r="F414" s="239"/>
      <c r="G414" s="239"/>
      <c r="H414" s="239"/>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row>
    <row r="415">
      <c r="A415" s="239"/>
      <c r="B415" s="239"/>
      <c r="C415" s="239"/>
      <c r="D415" s="239"/>
      <c r="E415" s="239"/>
      <c r="F415" s="239"/>
      <c r="G415" s="239"/>
      <c r="H415" s="239"/>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row>
    <row r="416">
      <c r="A416" s="239"/>
      <c r="B416" s="239"/>
      <c r="C416" s="239"/>
      <c r="D416" s="239"/>
      <c r="E416" s="239"/>
      <c r="F416" s="239"/>
      <c r="G416" s="239"/>
      <c r="H416" s="239"/>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row>
    <row r="417">
      <c r="A417" s="239"/>
      <c r="B417" s="239"/>
      <c r="C417" s="239"/>
      <c r="D417" s="239"/>
      <c r="E417" s="239"/>
      <c r="F417" s="239"/>
      <c r="G417" s="239"/>
      <c r="H417" s="239"/>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row>
    <row r="418">
      <c r="A418" s="239"/>
      <c r="B418" s="239"/>
      <c r="C418" s="239"/>
      <c r="D418" s="239"/>
      <c r="E418" s="239"/>
      <c r="F418" s="239"/>
      <c r="G418" s="239"/>
      <c r="H418" s="239"/>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row>
    <row r="419">
      <c r="A419" s="239"/>
      <c r="B419" s="239"/>
      <c r="C419" s="239"/>
      <c r="D419" s="239"/>
      <c r="E419" s="239"/>
      <c r="F419" s="239"/>
      <c r="G419" s="239"/>
      <c r="H419" s="239"/>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row>
    <row r="420">
      <c r="A420" s="239"/>
      <c r="B420" s="239"/>
      <c r="C420" s="239"/>
      <c r="D420" s="239"/>
      <c r="E420" s="239"/>
      <c r="F420" s="239"/>
      <c r="G420" s="239"/>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row>
    <row r="421">
      <c r="A421" s="239"/>
      <c r="B421" s="239"/>
      <c r="C421" s="239"/>
      <c r="D421" s="239"/>
      <c r="E421" s="239"/>
      <c r="F421" s="239"/>
      <c r="G421" s="239"/>
      <c r="H421" s="239"/>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row>
    <row r="422">
      <c r="A422" s="239"/>
      <c r="B422" s="239"/>
      <c r="C422" s="239"/>
      <c r="D422" s="239"/>
      <c r="E422" s="239"/>
      <c r="F422" s="239"/>
      <c r="G422" s="239"/>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row>
    <row r="423">
      <c r="A423" s="239"/>
      <c r="B423" s="239"/>
      <c r="C423" s="239"/>
      <c r="D423" s="239"/>
      <c r="E423" s="239"/>
      <c r="F423" s="239"/>
      <c r="G423" s="239"/>
      <c r="H423" s="239"/>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row>
    <row r="424">
      <c r="A424" s="239"/>
      <c r="B424" s="239"/>
      <c r="C424" s="239"/>
      <c r="D424" s="239"/>
      <c r="E424" s="239"/>
      <c r="F424" s="239"/>
      <c r="G424" s="239"/>
      <c r="H424" s="239"/>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row>
    <row r="425">
      <c r="A425" s="239"/>
      <c r="B425" s="239"/>
      <c r="C425" s="239"/>
      <c r="D425" s="239"/>
      <c r="E425" s="239"/>
      <c r="F425" s="239"/>
      <c r="G425" s="239"/>
      <c r="H425" s="239"/>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row>
    <row r="426">
      <c r="A426" s="239"/>
      <c r="B426" s="239"/>
      <c r="C426" s="239"/>
      <c r="D426" s="239"/>
      <c r="E426" s="239"/>
      <c r="F426" s="239"/>
      <c r="G426" s="239"/>
      <c r="H426" s="239"/>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row>
    <row r="427">
      <c r="A427" s="239"/>
      <c r="B427" s="239"/>
      <c r="C427" s="239"/>
      <c r="D427" s="239"/>
      <c r="E427" s="239"/>
      <c r="F427" s="239"/>
      <c r="G427" s="239"/>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c r="AK427" s="239"/>
    </row>
    <row r="428">
      <c r="A428" s="239"/>
      <c r="B428" s="239"/>
      <c r="C428" s="239"/>
      <c r="D428" s="239"/>
      <c r="E428" s="239"/>
      <c r="F428" s="239"/>
      <c r="G428" s="239"/>
      <c r="H428" s="239"/>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c r="AK428" s="239"/>
    </row>
    <row r="429">
      <c r="A429" s="239"/>
      <c r="B429" s="239"/>
      <c r="C429" s="239"/>
      <c r="D429" s="239"/>
      <c r="E429" s="239"/>
      <c r="F429" s="239"/>
      <c r="G429" s="239"/>
      <c r="H429" s="239"/>
      <c r="I429" s="239"/>
      <c r="J429" s="239"/>
      <c r="K429" s="239"/>
      <c r="L429" s="239"/>
      <c r="M429" s="239"/>
      <c r="N429" s="239"/>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c r="AJ429" s="239"/>
      <c r="AK429" s="239"/>
    </row>
    <row r="430">
      <c r="A430" s="239"/>
      <c r="B430" s="239"/>
      <c r="C430" s="239"/>
      <c r="D430" s="239"/>
      <c r="E430" s="239"/>
      <c r="F430" s="239"/>
      <c r="G430" s="239"/>
      <c r="H430" s="239"/>
      <c r="I430" s="239"/>
      <c r="J430" s="239"/>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c r="AK430" s="239"/>
    </row>
    <row r="431">
      <c r="A431" s="239"/>
      <c r="B431" s="239"/>
      <c r="C431" s="239"/>
      <c r="D431" s="239"/>
      <c r="E431" s="239"/>
      <c r="F431" s="239"/>
      <c r="G431" s="239"/>
      <c r="H431" s="239"/>
      <c r="I431" s="239"/>
      <c r="J431" s="239"/>
      <c r="K431" s="239"/>
      <c r="L431" s="239"/>
      <c r="M431" s="239"/>
      <c r="N431" s="239"/>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c r="AJ431" s="239"/>
      <c r="AK431" s="239"/>
    </row>
    <row r="432">
      <c r="A432" s="239"/>
      <c r="B432" s="239"/>
      <c r="C432" s="239"/>
      <c r="D432" s="239"/>
      <c r="E432" s="239"/>
      <c r="F432" s="239"/>
      <c r="G432" s="239"/>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c r="AK432" s="239"/>
    </row>
    <row r="433">
      <c r="A433" s="239"/>
      <c r="B433" s="239"/>
      <c r="C433" s="239"/>
      <c r="D433" s="239"/>
      <c r="E433" s="239"/>
      <c r="F433" s="239"/>
      <c r="G433" s="239"/>
      <c r="H433" s="239"/>
      <c r="I433" s="239"/>
      <c r="J433" s="239"/>
      <c r="K433" s="239"/>
      <c r="L433" s="239"/>
      <c r="M433" s="239"/>
      <c r="N433" s="239"/>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c r="AK433" s="239"/>
    </row>
    <row r="434">
      <c r="A434" s="239"/>
      <c r="B434" s="239"/>
      <c r="C434" s="239"/>
      <c r="D434" s="239"/>
      <c r="E434" s="239"/>
      <c r="F434" s="239"/>
      <c r="G434" s="239"/>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row>
    <row r="435">
      <c r="A435" s="239"/>
      <c r="B435" s="239"/>
      <c r="C435" s="239"/>
      <c r="D435" s="239"/>
      <c r="E435" s="239"/>
      <c r="F435" s="239"/>
      <c r="G435" s="239"/>
      <c r="H435" s="239"/>
      <c r="I435" s="239"/>
      <c r="J435" s="239"/>
      <c r="K435" s="239"/>
      <c r="L435" s="239"/>
      <c r="M435" s="239"/>
      <c r="N435" s="239"/>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c r="AK435" s="239"/>
    </row>
    <row r="436">
      <c r="A436" s="239"/>
      <c r="B436" s="239"/>
      <c r="C436" s="239"/>
      <c r="D436" s="239"/>
      <c r="E436" s="239"/>
      <c r="F436" s="239"/>
      <c r="G436" s="239"/>
      <c r="H436" s="239"/>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row>
    <row r="437">
      <c r="A437" s="239"/>
      <c r="B437" s="239"/>
      <c r="C437" s="239"/>
      <c r="D437" s="239"/>
      <c r="E437" s="239"/>
      <c r="F437" s="239"/>
      <c r="G437" s="239"/>
      <c r="H437" s="239"/>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row>
    <row r="438">
      <c r="A438" s="239"/>
      <c r="B438" s="239"/>
      <c r="C438" s="239"/>
      <c r="D438" s="239"/>
      <c r="E438" s="239"/>
      <c r="F438" s="239"/>
      <c r="G438" s="239"/>
      <c r="H438" s="239"/>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row>
    <row r="439">
      <c r="A439" s="239"/>
      <c r="B439" s="239"/>
      <c r="C439" s="239"/>
      <c r="D439" s="239"/>
      <c r="E439" s="239"/>
      <c r="F439" s="239"/>
      <c r="G439" s="239"/>
      <c r="H439" s="239"/>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row>
    <row r="440">
      <c r="A440" s="239"/>
      <c r="B440" s="239"/>
      <c r="C440" s="239"/>
      <c r="D440" s="239"/>
      <c r="E440" s="239"/>
      <c r="F440" s="239"/>
      <c r="G440" s="239"/>
      <c r="H440" s="239"/>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row>
    <row r="441">
      <c r="A441" s="239"/>
      <c r="B441" s="239"/>
      <c r="C441" s="239"/>
      <c r="D441" s="239"/>
      <c r="E441" s="239"/>
      <c r="F441" s="239"/>
      <c r="G441" s="239"/>
      <c r="H441" s="239"/>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row>
    <row r="442">
      <c r="A442" s="239"/>
      <c r="B442" s="239"/>
      <c r="C442" s="239"/>
      <c r="D442" s="239"/>
      <c r="E442" s="239"/>
      <c r="F442" s="239"/>
      <c r="G442" s="239"/>
      <c r="H442" s="239"/>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row>
    <row r="443">
      <c r="A443" s="239"/>
      <c r="B443" s="239"/>
      <c r="C443" s="239"/>
      <c r="D443" s="239"/>
      <c r="E443" s="239"/>
      <c r="F443" s="239"/>
      <c r="G443" s="239"/>
      <c r="H443" s="239"/>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c r="AK443" s="239"/>
    </row>
    <row r="444">
      <c r="A444" s="239"/>
      <c r="B444" s="239"/>
      <c r="C444" s="239"/>
      <c r="D444" s="239"/>
      <c r="E444" s="239"/>
      <c r="F444" s="239"/>
      <c r="G444" s="239"/>
      <c r="H444" s="239"/>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row>
    <row r="445">
      <c r="A445" s="239"/>
      <c r="B445" s="239"/>
      <c r="C445" s="239"/>
      <c r="D445" s="239"/>
      <c r="E445" s="239"/>
      <c r="F445" s="239"/>
      <c r="G445" s="239"/>
      <c r="H445" s="239"/>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row>
    <row r="446">
      <c r="A446" s="239"/>
      <c r="B446" s="239"/>
      <c r="C446" s="239"/>
      <c r="D446" s="239"/>
      <c r="E446" s="239"/>
      <c r="F446" s="239"/>
      <c r="G446" s="239"/>
      <c r="H446" s="239"/>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row>
    <row r="447">
      <c r="A447" s="239"/>
      <c r="B447" s="239"/>
      <c r="C447" s="239"/>
      <c r="D447" s="239"/>
      <c r="E447" s="239"/>
      <c r="F447" s="239"/>
      <c r="G447" s="239"/>
      <c r="H447" s="239"/>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row>
    <row r="448">
      <c r="A448" s="239"/>
      <c r="B448" s="239"/>
      <c r="C448" s="239"/>
      <c r="D448" s="239"/>
      <c r="E448" s="239"/>
      <c r="F448" s="239"/>
      <c r="G448" s="239"/>
      <c r="H448" s="239"/>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row>
    <row r="449">
      <c r="A449" s="239"/>
      <c r="B449" s="239"/>
      <c r="C449" s="239"/>
      <c r="D449" s="239"/>
      <c r="E449" s="239"/>
      <c r="F449" s="239"/>
      <c r="G449" s="239"/>
      <c r="H449" s="239"/>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row>
    <row r="450">
      <c r="A450" s="239"/>
      <c r="B450" s="239"/>
      <c r="C450" s="239"/>
      <c r="D450" s="239"/>
      <c r="E450" s="239"/>
      <c r="F450" s="239"/>
      <c r="G450" s="239"/>
      <c r="H450" s="239"/>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row>
    <row r="451">
      <c r="A451" s="239"/>
      <c r="B451" s="239"/>
      <c r="C451" s="239"/>
      <c r="D451" s="239"/>
      <c r="E451" s="239"/>
      <c r="F451" s="239"/>
      <c r="G451" s="239"/>
      <c r="H451" s="239"/>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c r="AK451" s="239"/>
    </row>
    <row r="452">
      <c r="A452" s="239"/>
      <c r="B452" s="239"/>
      <c r="C452" s="239"/>
      <c r="D452" s="239"/>
      <c r="E452" s="239"/>
      <c r="F452" s="239"/>
      <c r="G452" s="239"/>
      <c r="H452" s="239"/>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row>
    <row r="453">
      <c r="A453" s="239"/>
      <c r="B453" s="239"/>
      <c r="C453" s="239"/>
      <c r="D453" s="239"/>
      <c r="E453" s="239"/>
      <c r="F453" s="239"/>
      <c r="G453" s="239"/>
      <c r="H453" s="239"/>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row>
    <row r="454">
      <c r="A454" s="239"/>
      <c r="B454" s="239"/>
      <c r="C454" s="239"/>
      <c r="D454" s="239"/>
      <c r="E454" s="239"/>
      <c r="F454" s="239"/>
      <c r="G454" s="239"/>
      <c r="H454" s="239"/>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c r="AK454" s="239"/>
    </row>
    <row r="455">
      <c r="A455" s="239"/>
      <c r="B455" s="239"/>
      <c r="C455" s="239"/>
      <c r="D455" s="239"/>
      <c r="E455" s="239"/>
      <c r="F455" s="239"/>
      <c r="G455" s="239"/>
      <c r="H455" s="239"/>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c r="AK455" s="239"/>
    </row>
    <row r="456">
      <c r="A456" s="239"/>
      <c r="B456" s="239"/>
      <c r="C456" s="239"/>
      <c r="D456" s="239"/>
      <c r="E456" s="239"/>
      <c r="F456" s="239"/>
      <c r="G456" s="239"/>
      <c r="H456" s="239"/>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row>
    <row r="457">
      <c r="A457" s="239"/>
      <c r="B457" s="239"/>
      <c r="C457" s="239"/>
      <c r="D457" s="239"/>
      <c r="E457" s="239"/>
      <c r="F457" s="239"/>
      <c r="G457" s="239"/>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row>
    <row r="458">
      <c r="A458" s="239"/>
      <c r="B458" s="239"/>
      <c r="C458" s="239"/>
      <c r="D458" s="239"/>
      <c r="E458" s="239"/>
      <c r="F458" s="239"/>
      <c r="G458" s="239"/>
      <c r="H458" s="239"/>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row>
    <row r="459">
      <c r="A459" s="239"/>
      <c r="B459" s="239"/>
      <c r="C459" s="239"/>
      <c r="D459" s="239"/>
      <c r="E459" s="239"/>
      <c r="F459" s="239"/>
      <c r="G459" s="239"/>
      <c r="H459" s="239"/>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row>
    <row r="460">
      <c r="A460" s="239"/>
      <c r="B460" s="239"/>
      <c r="C460" s="239"/>
      <c r="D460" s="239"/>
      <c r="E460" s="239"/>
      <c r="F460" s="239"/>
      <c r="G460" s="239"/>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row>
    <row r="461">
      <c r="A461" s="239"/>
      <c r="B461" s="239"/>
      <c r="C461" s="239"/>
      <c r="D461" s="239"/>
      <c r="E461" s="239"/>
      <c r="F461" s="239"/>
      <c r="G461" s="239"/>
      <c r="H461" s="239"/>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row>
    <row r="462">
      <c r="A462" s="239"/>
      <c r="B462" s="239"/>
      <c r="C462" s="239"/>
      <c r="D462" s="239"/>
      <c r="E462" s="239"/>
      <c r="F462" s="239"/>
      <c r="G462" s="239"/>
      <c r="H462" s="239"/>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c r="AK462" s="239"/>
    </row>
    <row r="463">
      <c r="A463" s="239"/>
      <c r="B463" s="239"/>
      <c r="C463" s="239"/>
      <c r="D463" s="239"/>
      <c r="E463" s="239"/>
      <c r="F463" s="239"/>
      <c r="G463" s="239"/>
      <c r="H463" s="239"/>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row>
    <row r="464">
      <c r="A464" s="239"/>
      <c r="B464" s="239"/>
      <c r="C464" s="239"/>
      <c r="D464" s="239"/>
      <c r="E464" s="239"/>
      <c r="F464" s="239"/>
      <c r="G464" s="239"/>
      <c r="H464" s="239"/>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row>
    <row r="465">
      <c r="A465" s="239"/>
      <c r="B465" s="239"/>
      <c r="C465" s="239"/>
      <c r="D465" s="239"/>
      <c r="E465" s="239"/>
      <c r="F465" s="239"/>
      <c r="G465" s="239"/>
      <c r="H465" s="239"/>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row>
    <row r="466">
      <c r="A466" s="239"/>
      <c r="B466" s="239"/>
      <c r="C466" s="239"/>
      <c r="D466" s="239"/>
      <c r="E466" s="239"/>
      <c r="F466" s="239"/>
      <c r="G466" s="239"/>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row>
    <row r="467">
      <c r="A467" s="239"/>
      <c r="B467" s="239"/>
      <c r="C467" s="239"/>
      <c r="D467" s="239"/>
      <c r="E467" s="239"/>
      <c r="F467" s="239"/>
      <c r="G467" s="239"/>
      <c r="H467" s="239"/>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row>
    <row r="468">
      <c r="A468" s="239"/>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row>
    <row r="469">
      <c r="A469" s="239"/>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c r="AK469" s="239"/>
    </row>
    <row r="470">
      <c r="A470" s="239"/>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row>
    <row r="471">
      <c r="A471" s="239"/>
      <c r="B471" s="239"/>
      <c r="C471" s="239"/>
      <c r="D471" s="239"/>
      <c r="E471" s="239"/>
      <c r="F471" s="239"/>
      <c r="G471" s="239"/>
      <c r="H471" s="239"/>
      <c r="I471" s="239"/>
      <c r="J471" s="239"/>
      <c r="K471" s="239"/>
      <c r="L471" s="239"/>
      <c r="M471" s="239"/>
      <c r="N471" s="239"/>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c r="AK471" s="239"/>
    </row>
    <row r="472">
      <c r="A472" s="239"/>
      <c r="B472" s="239"/>
      <c r="C472" s="239"/>
      <c r="D472" s="239"/>
      <c r="E472" s="239"/>
      <c r="F472" s="239"/>
      <c r="G472" s="239"/>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row>
    <row r="473">
      <c r="A473" s="239"/>
      <c r="B473" s="239"/>
      <c r="C473" s="239"/>
      <c r="D473" s="239"/>
      <c r="E473" s="239"/>
      <c r="F473" s="239"/>
      <c r="G473" s="239"/>
      <c r="H473" s="239"/>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c r="AK473" s="239"/>
    </row>
    <row r="474">
      <c r="A474" s="239"/>
      <c r="B474" s="239"/>
      <c r="C474" s="239"/>
      <c r="D474" s="239"/>
      <c r="E474" s="239"/>
      <c r="F474" s="239"/>
      <c r="G474" s="239"/>
      <c r="H474" s="239"/>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row>
    <row r="475">
      <c r="A475" s="239"/>
      <c r="B475" s="239"/>
      <c r="C475" s="239"/>
      <c r="D475" s="239"/>
      <c r="E475" s="239"/>
      <c r="F475" s="239"/>
      <c r="G475" s="239"/>
      <c r="H475" s="239"/>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row>
    <row r="476">
      <c r="A476" s="239"/>
      <c r="B476" s="239"/>
      <c r="C476" s="239"/>
      <c r="D476" s="239"/>
      <c r="E476" s="239"/>
      <c r="F476" s="239"/>
      <c r="G476" s="239"/>
      <c r="H476" s="239"/>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row>
    <row r="477">
      <c r="A477" s="239"/>
      <c r="B477" s="239"/>
      <c r="C477" s="239"/>
      <c r="D477" s="239"/>
      <c r="E477" s="239"/>
      <c r="F477" s="239"/>
      <c r="G477" s="239"/>
      <c r="H477" s="239"/>
      <c r="I477" s="239"/>
      <c r="J477" s="239"/>
      <c r="K477" s="239"/>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c r="AK477" s="239"/>
    </row>
    <row r="478">
      <c r="A478" s="239"/>
      <c r="B478" s="239"/>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row>
    <row r="479">
      <c r="A479" s="239"/>
      <c r="B479" s="239"/>
      <c r="C479" s="239"/>
      <c r="D479" s="239"/>
      <c r="E479" s="239"/>
      <c r="F479" s="239"/>
      <c r="G479" s="239"/>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c r="AK479" s="239"/>
    </row>
    <row r="480">
      <c r="A480" s="239"/>
      <c r="B480" s="239"/>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row>
    <row r="481">
      <c r="A481" s="239"/>
      <c r="B481" s="239"/>
      <c r="C481" s="239"/>
      <c r="D481" s="239"/>
      <c r="E481" s="239"/>
      <c r="F481" s="239"/>
      <c r="G481" s="239"/>
      <c r="H481" s="239"/>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c r="AK481" s="239"/>
    </row>
    <row r="482">
      <c r="A482" s="239"/>
      <c r="B482" s="239"/>
      <c r="C482" s="239"/>
      <c r="D482" s="239"/>
      <c r="E482" s="239"/>
      <c r="F482" s="239"/>
      <c r="G482" s="239"/>
      <c r="H482" s="239"/>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row>
    <row r="483">
      <c r="A483" s="239"/>
      <c r="B483" s="239"/>
      <c r="C483" s="239"/>
      <c r="D483" s="239"/>
      <c r="E483" s="239"/>
      <c r="F483" s="239"/>
      <c r="G483" s="239"/>
      <c r="H483" s="239"/>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row>
    <row r="484">
      <c r="A484" s="239"/>
      <c r="B484" s="239"/>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row>
    <row r="485">
      <c r="A485" s="239"/>
      <c r="B485" s="239"/>
      <c r="C485" s="239"/>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row>
    <row r="486">
      <c r="A486" s="239"/>
      <c r="B486" s="239"/>
      <c r="C486" s="239"/>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row>
    <row r="487">
      <c r="A487" s="239"/>
      <c r="B487" s="239"/>
      <c r="C487" s="239"/>
      <c r="D487" s="239"/>
      <c r="E487" s="239"/>
      <c r="F487" s="239"/>
      <c r="G487" s="239"/>
      <c r="H487" s="239"/>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c r="AK487" s="239"/>
    </row>
    <row r="488">
      <c r="A488" s="239"/>
      <c r="B488" s="239"/>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c r="AK488" s="239"/>
    </row>
    <row r="489">
      <c r="A489" s="239"/>
      <c r="B489" s="239"/>
      <c r="C489" s="239"/>
      <c r="D489" s="239"/>
      <c r="E489" s="239"/>
      <c r="F489" s="239"/>
      <c r="G489" s="239"/>
      <c r="H489" s="239"/>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row>
    <row r="490">
      <c r="A490" s="239"/>
      <c r="B490" s="239"/>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c r="AK490" s="239"/>
    </row>
    <row r="491">
      <c r="A491" s="239"/>
      <c r="B491" s="239"/>
      <c r="C491" s="239"/>
      <c r="D491" s="239"/>
      <c r="E491" s="239"/>
      <c r="F491" s="239"/>
      <c r="G491" s="239"/>
      <c r="H491" s="239"/>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c r="AK491" s="239"/>
    </row>
    <row r="492">
      <c r="A492" s="239"/>
      <c r="B492" s="239"/>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c r="AK492" s="239"/>
    </row>
    <row r="493">
      <c r="A493" s="239"/>
      <c r="B493" s="239"/>
      <c r="C493" s="239"/>
      <c r="D493" s="239"/>
      <c r="E493" s="239"/>
      <c r="F493" s="239"/>
      <c r="G493" s="239"/>
      <c r="H493" s="239"/>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row>
    <row r="494">
      <c r="A494" s="239"/>
      <c r="B494" s="239"/>
      <c r="C494" s="239"/>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row>
    <row r="495">
      <c r="A495" s="239"/>
      <c r="B495" s="239"/>
      <c r="C495" s="239"/>
      <c r="D495" s="239"/>
      <c r="E495" s="239"/>
      <c r="F495" s="239"/>
      <c r="G495" s="239"/>
      <c r="H495" s="239"/>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row>
    <row r="496">
      <c r="A496" s="239"/>
      <c r="B496" s="239"/>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row>
    <row r="497">
      <c r="A497" s="239"/>
      <c r="B497" s="239"/>
      <c r="C497" s="239"/>
      <c r="D497" s="239"/>
      <c r="E497" s="239"/>
      <c r="F497" s="239"/>
      <c r="G497" s="239"/>
      <c r="H497" s="239"/>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row>
    <row r="498">
      <c r="A498" s="239"/>
      <c r="B498" s="239"/>
      <c r="C498" s="239"/>
      <c r="D498" s="239"/>
      <c r="E498" s="239"/>
      <c r="F498" s="239"/>
      <c r="G498" s="239"/>
      <c r="H498" s="239"/>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row>
    <row r="499">
      <c r="A499" s="239"/>
      <c r="B499" s="239"/>
      <c r="C499" s="239"/>
      <c r="D499" s="239"/>
      <c r="E499" s="239"/>
      <c r="F499" s="239"/>
      <c r="G499" s="239"/>
      <c r="H499" s="239"/>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row>
    <row r="500">
      <c r="A500" s="239"/>
      <c r="B500" s="239"/>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row>
    <row r="501">
      <c r="A501" s="239"/>
      <c r="B501" s="239"/>
      <c r="C501" s="239"/>
      <c r="D501" s="239"/>
      <c r="E501" s="239"/>
      <c r="F501" s="239"/>
      <c r="G501" s="239"/>
      <c r="H501" s="239"/>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row>
    <row r="502">
      <c r="A502" s="239"/>
      <c r="B502" s="239"/>
      <c r="C502" s="239"/>
      <c r="D502" s="239"/>
      <c r="E502" s="239"/>
      <c r="F502" s="239"/>
      <c r="G502" s="239"/>
      <c r="H502" s="239"/>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row>
    <row r="503">
      <c r="A503" s="239"/>
      <c r="B503" s="239"/>
      <c r="C503" s="239"/>
      <c r="D503" s="239"/>
      <c r="E503" s="239"/>
      <c r="F503" s="239"/>
      <c r="G503" s="239"/>
      <c r="H503" s="239"/>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row>
    <row r="504">
      <c r="A504" s="239"/>
      <c r="B504" s="239"/>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row>
    <row r="505">
      <c r="A505" s="239"/>
      <c r="B505" s="239"/>
      <c r="C505" s="239"/>
      <c r="D505" s="239"/>
      <c r="E505" s="239"/>
      <c r="F505" s="239"/>
      <c r="G505" s="239"/>
      <c r="H505" s="239"/>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row>
    <row r="506">
      <c r="A506" s="239"/>
      <c r="B506" s="239"/>
      <c r="C506" s="239"/>
      <c r="D506" s="239"/>
      <c r="E506" s="239"/>
      <c r="F506" s="239"/>
      <c r="G506" s="239"/>
      <c r="H506" s="239"/>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row>
    <row r="507">
      <c r="A507" s="239"/>
      <c r="B507" s="239"/>
      <c r="C507" s="239"/>
      <c r="D507" s="239"/>
      <c r="E507" s="239"/>
      <c r="F507" s="239"/>
      <c r="G507" s="239"/>
      <c r="H507" s="239"/>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row>
    <row r="508">
      <c r="A508" s="239"/>
      <c r="B508" s="239"/>
      <c r="C508" s="239"/>
      <c r="D508" s="239"/>
      <c r="E508" s="239"/>
      <c r="F508" s="239"/>
      <c r="G508" s="239"/>
      <c r="H508" s="239"/>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row>
    <row r="509">
      <c r="A509" s="239"/>
      <c r="B509" s="239"/>
      <c r="C509" s="239"/>
      <c r="D509" s="239"/>
      <c r="E509" s="239"/>
      <c r="F509" s="239"/>
      <c r="G509" s="239"/>
      <c r="H509" s="239"/>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c r="AK509" s="239"/>
    </row>
    <row r="510">
      <c r="A510" s="239"/>
      <c r="B510" s="239"/>
      <c r="C510" s="239"/>
      <c r="D510" s="239"/>
      <c r="E510" s="239"/>
      <c r="F510" s="239"/>
      <c r="G510" s="239"/>
      <c r="H510" s="239"/>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row>
    <row r="511">
      <c r="A511" s="239"/>
      <c r="B511" s="239"/>
      <c r="C511" s="239"/>
      <c r="D511" s="239"/>
      <c r="E511" s="239"/>
      <c r="F511" s="239"/>
      <c r="G511" s="239"/>
      <c r="H511" s="239"/>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row>
    <row r="512">
      <c r="A512" s="239"/>
      <c r="B512" s="239"/>
      <c r="C512" s="239"/>
      <c r="D512" s="239"/>
      <c r="E512" s="239"/>
      <c r="F512" s="239"/>
      <c r="G512" s="239"/>
      <c r="H512" s="239"/>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row>
    <row r="513">
      <c r="A513" s="239"/>
      <c r="B513" s="239"/>
      <c r="C513" s="239"/>
      <c r="D513" s="239"/>
      <c r="E513" s="239"/>
      <c r="F513" s="239"/>
      <c r="G513" s="239"/>
      <c r="H513" s="239"/>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row>
    <row r="514">
      <c r="A514" s="239"/>
      <c r="B514" s="239"/>
      <c r="C514" s="239"/>
      <c r="D514" s="239"/>
      <c r="E514" s="239"/>
      <c r="F514" s="239"/>
      <c r="G514" s="239"/>
      <c r="H514" s="239"/>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row>
    <row r="515">
      <c r="A515" s="239"/>
      <c r="B515" s="239"/>
      <c r="C515" s="239"/>
      <c r="D515" s="239"/>
      <c r="E515" s="239"/>
      <c r="F515" s="239"/>
      <c r="G515" s="239"/>
      <c r="H515" s="239"/>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row>
    <row r="516">
      <c r="A516" s="239"/>
      <c r="B516" s="239"/>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row>
    <row r="517">
      <c r="A517" s="239"/>
      <c r="B517" s="239"/>
      <c r="C517" s="239"/>
      <c r="D517" s="239"/>
      <c r="E517" s="239"/>
      <c r="F517" s="239"/>
      <c r="G517" s="239"/>
      <c r="H517" s="239"/>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row>
    <row r="518">
      <c r="A518" s="239"/>
      <c r="B518" s="239"/>
      <c r="C518" s="239"/>
      <c r="D518" s="239"/>
      <c r="E518" s="239"/>
      <c r="F518" s="239"/>
      <c r="G518" s="239"/>
      <c r="H518" s="239"/>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c r="AK518" s="239"/>
    </row>
    <row r="519">
      <c r="A519" s="239"/>
      <c r="B519" s="239"/>
      <c r="C519" s="239"/>
      <c r="D519" s="239"/>
      <c r="E519" s="239"/>
      <c r="F519" s="239"/>
      <c r="G519" s="239"/>
      <c r="H519" s="239"/>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row>
    <row r="520">
      <c r="A520" s="239"/>
      <c r="B520" s="239"/>
      <c r="C520" s="239"/>
      <c r="D520" s="239"/>
      <c r="E520" s="239"/>
      <c r="F520" s="239"/>
      <c r="G520" s="239"/>
      <c r="H520" s="239"/>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c r="AK520" s="239"/>
    </row>
    <row r="521">
      <c r="A521" s="239"/>
      <c r="B521" s="239"/>
      <c r="C521" s="239"/>
      <c r="D521" s="239"/>
      <c r="E521" s="239"/>
      <c r="F521" s="239"/>
      <c r="G521" s="239"/>
      <c r="H521" s="239"/>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row>
    <row r="522">
      <c r="A522" s="239"/>
      <c r="B522" s="239"/>
      <c r="C522" s="239"/>
      <c r="D522" s="239"/>
      <c r="E522" s="239"/>
      <c r="F522" s="239"/>
      <c r="G522" s="239"/>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row>
    <row r="523">
      <c r="A523" s="239"/>
      <c r="B523" s="239"/>
      <c r="C523" s="239"/>
      <c r="D523" s="239"/>
      <c r="E523" s="239"/>
      <c r="F523" s="239"/>
      <c r="G523" s="239"/>
      <c r="H523" s="239"/>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row>
    <row r="524">
      <c r="A524" s="239"/>
      <c r="B524" s="239"/>
      <c r="C524" s="239"/>
      <c r="D524" s="239"/>
      <c r="E524" s="239"/>
      <c r="F524" s="239"/>
      <c r="G524" s="239"/>
      <c r="H524" s="239"/>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row>
    <row r="525">
      <c r="A525" s="239"/>
      <c r="B525" s="239"/>
      <c r="C525" s="239"/>
      <c r="D525" s="239"/>
      <c r="E525" s="239"/>
      <c r="F525" s="239"/>
      <c r="G525" s="239"/>
      <c r="H525" s="239"/>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row>
    <row r="526">
      <c r="A526" s="239"/>
      <c r="B526" s="239"/>
      <c r="C526" s="239"/>
      <c r="D526" s="239"/>
      <c r="E526" s="239"/>
      <c r="F526" s="239"/>
      <c r="G526" s="239"/>
      <c r="H526" s="239"/>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row>
    <row r="527">
      <c r="A527" s="239"/>
      <c r="B527" s="239"/>
      <c r="C527" s="239"/>
      <c r="D527" s="239"/>
      <c r="E527" s="239"/>
      <c r="F527" s="239"/>
      <c r="G527" s="239"/>
      <c r="H527" s="239"/>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row>
    <row r="528">
      <c r="A528" s="239"/>
      <c r="B528" s="239"/>
      <c r="C528" s="239"/>
      <c r="D528" s="239"/>
      <c r="E528" s="239"/>
      <c r="F528" s="239"/>
      <c r="G528" s="239"/>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row>
    <row r="529">
      <c r="A529" s="239"/>
      <c r="B529" s="239"/>
      <c r="C529" s="239"/>
      <c r="D529" s="239"/>
      <c r="E529" s="239"/>
      <c r="F529" s="239"/>
      <c r="G529" s="239"/>
      <c r="H529" s="239"/>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row>
    <row r="530">
      <c r="A530" s="239"/>
      <c r="B530" s="239"/>
      <c r="C530" s="239"/>
      <c r="D530" s="239"/>
      <c r="E530" s="239"/>
      <c r="F530" s="239"/>
      <c r="G530" s="239"/>
      <c r="H530" s="239"/>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row>
    <row r="531">
      <c r="A531" s="239"/>
      <c r="B531" s="239"/>
      <c r="C531" s="239"/>
      <c r="D531" s="239"/>
      <c r="E531" s="239"/>
      <c r="F531" s="239"/>
      <c r="G531" s="239"/>
      <c r="H531" s="239"/>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row>
    <row r="532">
      <c r="A532" s="239"/>
      <c r="B532" s="239"/>
      <c r="C532" s="239"/>
      <c r="D532" s="239"/>
      <c r="E532" s="239"/>
      <c r="F532" s="239"/>
      <c r="G532" s="239"/>
      <c r="H532" s="239"/>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row>
    <row r="533">
      <c r="A533" s="239"/>
      <c r="B533" s="239"/>
      <c r="C533" s="239"/>
      <c r="D533" s="239"/>
      <c r="E533" s="239"/>
      <c r="F533" s="239"/>
      <c r="G533" s="239"/>
      <c r="H533" s="239"/>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row>
    <row r="534">
      <c r="A534" s="239"/>
      <c r="B534" s="239"/>
      <c r="C534" s="239"/>
      <c r="D534" s="239"/>
      <c r="E534" s="239"/>
      <c r="F534" s="239"/>
      <c r="G534" s="239"/>
      <c r="H534" s="239"/>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row>
    <row r="535">
      <c r="A535" s="239"/>
      <c r="B535" s="239"/>
      <c r="C535" s="239"/>
      <c r="D535" s="239"/>
      <c r="E535" s="239"/>
      <c r="F535" s="239"/>
      <c r="G535" s="239"/>
      <c r="H535" s="239"/>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c r="AK535" s="239"/>
    </row>
    <row r="536">
      <c r="A536" s="239"/>
      <c r="B536" s="239"/>
      <c r="C536" s="239"/>
      <c r="D536" s="239"/>
      <c r="E536" s="239"/>
      <c r="F536" s="239"/>
      <c r="G536" s="239"/>
      <c r="H536" s="239"/>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row>
    <row r="537">
      <c r="A537" s="239"/>
      <c r="B537" s="239"/>
      <c r="C537" s="239"/>
      <c r="D537" s="239"/>
      <c r="E537" s="239"/>
      <c r="F537" s="239"/>
      <c r="G537" s="239"/>
      <c r="H537" s="239"/>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row>
    <row r="538">
      <c r="A538" s="239"/>
      <c r="B538" s="239"/>
      <c r="C538" s="239"/>
      <c r="D538" s="239"/>
      <c r="E538" s="239"/>
      <c r="F538" s="239"/>
      <c r="G538" s="239"/>
      <c r="H538" s="239"/>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row>
    <row r="539">
      <c r="A539" s="239"/>
      <c r="B539" s="239"/>
      <c r="C539" s="239"/>
      <c r="D539" s="239"/>
      <c r="E539" s="239"/>
      <c r="F539" s="239"/>
      <c r="G539" s="239"/>
      <c r="H539" s="239"/>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row>
    <row r="540">
      <c r="A540" s="239"/>
      <c r="B540" s="239"/>
      <c r="C540" s="239"/>
      <c r="D540" s="239"/>
      <c r="E540" s="239"/>
      <c r="F540" s="239"/>
      <c r="G540" s="239"/>
      <c r="H540" s="239"/>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row>
    <row r="541">
      <c r="A541" s="239"/>
      <c r="B541" s="239"/>
      <c r="C541" s="239"/>
      <c r="D541" s="239"/>
      <c r="E541" s="239"/>
      <c r="F541" s="239"/>
      <c r="G541" s="239"/>
      <c r="H541" s="239"/>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row>
    <row r="542">
      <c r="A542" s="239"/>
      <c r="B542" s="239"/>
      <c r="C542" s="239"/>
      <c r="D542" s="239"/>
      <c r="E542" s="239"/>
      <c r="F542" s="239"/>
      <c r="G542" s="239"/>
      <c r="H542" s="239"/>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row>
    <row r="543">
      <c r="A543" s="239"/>
      <c r="B543" s="239"/>
      <c r="C543" s="239"/>
      <c r="D543" s="239"/>
      <c r="E543" s="239"/>
      <c r="F543" s="239"/>
      <c r="G543" s="239"/>
      <c r="H543" s="239"/>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row>
    <row r="544">
      <c r="A544" s="239"/>
      <c r="B544" s="239"/>
      <c r="C544" s="239"/>
      <c r="D544" s="239"/>
      <c r="E544" s="239"/>
      <c r="F544" s="239"/>
      <c r="G544" s="239"/>
      <c r="H544" s="239"/>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row>
    <row r="545">
      <c r="A545" s="239"/>
      <c r="B545" s="239"/>
      <c r="C545" s="239"/>
      <c r="D545" s="239"/>
      <c r="E545" s="239"/>
      <c r="F545" s="239"/>
      <c r="G545" s="239"/>
      <c r="H545" s="239"/>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row>
    <row r="546">
      <c r="A546" s="239"/>
      <c r="B546" s="239"/>
      <c r="C546" s="239"/>
      <c r="D546" s="239"/>
      <c r="E546" s="239"/>
      <c r="F546" s="239"/>
      <c r="G546" s="239"/>
      <c r="H546" s="239"/>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row>
    <row r="547">
      <c r="A547" s="239"/>
      <c r="B547" s="239"/>
      <c r="C547" s="239"/>
      <c r="D547" s="239"/>
      <c r="E547" s="239"/>
      <c r="F547" s="239"/>
      <c r="G547" s="239"/>
      <c r="H547" s="239"/>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row>
    <row r="548">
      <c r="A548" s="239"/>
      <c r="B548" s="239"/>
      <c r="C548" s="239"/>
      <c r="D548" s="239"/>
      <c r="E548" s="239"/>
      <c r="F548" s="239"/>
      <c r="G548" s="239"/>
      <c r="H548" s="239"/>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row>
    <row r="549">
      <c r="A549" s="239"/>
      <c r="B549" s="239"/>
      <c r="C549" s="239"/>
      <c r="D549" s="239"/>
      <c r="E549" s="239"/>
      <c r="F549" s="239"/>
      <c r="G549" s="239"/>
      <c r="H549" s="239"/>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row>
    <row r="550">
      <c r="A550" s="239"/>
      <c r="B550" s="239"/>
      <c r="C550" s="239"/>
      <c r="D550" s="239"/>
      <c r="E550" s="239"/>
      <c r="F550" s="239"/>
      <c r="G550" s="239"/>
      <c r="H550" s="239"/>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row>
    <row r="551">
      <c r="A551" s="239"/>
      <c r="B551" s="239"/>
      <c r="C551" s="239"/>
      <c r="D551" s="239"/>
      <c r="E551" s="239"/>
      <c r="F551" s="239"/>
      <c r="G551" s="239"/>
      <c r="H551" s="239"/>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row>
    <row r="552">
      <c r="A552" s="239"/>
      <c r="B552" s="239"/>
      <c r="C552" s="239"/>
      <c r="D552" s="239"/>
      <c r="E552" s="239"/>
      <c r="F552" s="239"/>
      <c r="G552" s="239"/>
      <c r="H552" s="239"/>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row>
    <row r="553">
      <c r="A553" s="239"/>
      <c r="B553" s="239"/>
      <c r="C553" s="239"/>
      <c r="D553" s="239"/>
      <c r="E553" s="239"/>
      <c r="F553" s="239"/>
      <c r="G553" s="239"/>
      <c r="H553" s="239"/>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row>
    <row r="554">
      <c r="A554" s="239"/>
      <c r="B554" s="239"/>
      <c r="C554" s="239"/>
      <c r="D554" s="239"/>
      <c r="E554" s="239"/>
      <c r="F554" s="239"/>
      <c r="G554" s="239"/>
      <c r="H554" s="239"/>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row>
    <row r="555">
      <c r="A555" s="239"/>
      <c r="B555" s="239"/>
      <c r="C555" s="239"/>
      <c r="D555" s="239"/>
      <c r="E555" s="239"/>
      <c r="F555" s="239"/>
      <c r="G555" s="239"/>
      <c r="H555" s="239"/>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row>
    <row r="556">
      <c r="A556" s="239"/>
      <c r="B556" s="239"/>
      <c r="C556" s="239"/>
      <c r="D556" s="239"/>
      <c r="E556" s="239"/>
      <c r="F556" s="239"/>
      <c r="G556" s="239"/>
      <c r="H556" s="239"/>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row>
    <row r="557">
      <c r="A557" s="239"/>
      <c r="B557" s="239"/>
      <c r="C557" s="239"/>
      <c r="D557" s="239"/>
      <c r="E557" s="239"/>
      <c r="F557" s="239"/>
      <c r="G557" s="239"/>
      <c r="H557" s="239"/>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row>
    <row r="558">
      <c r="A558" s="239"/>
      <c r="B558" s="239"/>
      <c r="C558" s="239"/>
      <c r="D558" s="239"/>
      <c r="E558" s="239"/>
      <c r="F558" s="239"/>
      <c r="G558" s="239"/>
      <c r="H558" s="239"/>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row>
    <row r="559">
      <c r="A559" s="239"/>
      <c r="B559" s="239"/>
      <c r="C559" s="239"/>
      <c r="D559" s="239"/>
      <c r="E559" s="239"/>
      <c r="F559" s="239"/>
      <c r="G559" s="239"/>
      <c r="H559" s="239"/>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row>
    <row r="560">
      <c r="A560" s="239"/>
      <c r="B560" s="239"/>
      <c r="C560" s="239"/>
      <c r="D560" s="239"/>
      <c r="E560" s="239"/>
      <c r="F560" s="239"/>
      <c r="G560" s="239"/>
      <c r="H560" s="239"/>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row>
    <row r="561">
      <c r="A561" s="239"/>
      <c r="B561" s="239"/>
      <c r="C561" s="239"/>
      <c r="D561" s="239"/>
      <c r="E561" s="239"/>
      <c r="F561" s="239"/>
      <c r="G561" s="239"/>
      <c r="H561" s="239"/>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row>
    <row r="562">
      <c r="A562" s="239"/>
      <c r="B562" s="239"/>
      <c r="C562" s="239"/>
      <c r="D562" s="239"/>
      <c r="E562" s="239"/>
      <c r="F562" s="239"/>
      <c r="G562" s="239"/>
      <c r="H562" s="239"/>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row>
    <row r="563">
      <c r="A563" s="239"/>
      <c r="B563" s="239"/>
      <c r="C563" s="239"/>
      <c r="D563" s="239"/>
      <c r="E563" s="239"/>
      <c r="F563" s="239"/>
      <c r="G563" s="239"/>
      <c r="H563" s="239"/>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row>
    <row r="564">
      <c r="A564" s="239"/>
      <c r="B564" s="239"/>
      <c r="C564" s="239"/>
      <c r="D564" s="239"/>
      <c r="E564" s="239"/>
      <c r="F564" s="239"/>
      <c r="G564" s="239"/>
      <c r="H564" s="239"/>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row>
    <row r="565">
      <c r="A565" s="239"/>
      <c r="B565" s="239"/>
      <c r="C565" s="239"/>
      <c r="D565" s="239"/>
      <c r="E565" s="239"/>
      <c r="F565" s="239"/>
      <c r="G565" s="239"/>
      <c r="H565" s="239"/>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row>
    <row r="566">
      <c r="A566" s="239"/>
      <c r="B566" s="239"/>
      <c r="C566" s="239"/>
      <c r="D566" s="239"/>
      <c r="E566" s="239"/>
      <c r="F566" s="239"/>
      <c r="G566" s="239"/>
      <c r="H566" s="239"/>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row>
    <row r="567">
      <c r="A567" s="239"/>
      <c r="B567" s="239"/>
      <c r="C567" s="239"/>
      <c r="D567" s="239"/>
      <c r="E567" s="239"/>
      <c r="F567" s="239"/>
      <c r="G567" s="239"/>
      <c r="H567" s="239"/>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c r="AK567" s="239"/>
    </row>
    <row r="568">
      <c r="A568" s="239"/>
      <c r="B568" s="239"/>
      <c r="C568" s="239"/>
      <c r="D568" s="239"/>
      <c r="E568" s="239"/>
      <c r="F568" s="239"/>
      <c r="G568" s="239"/>
      <c r="H568" s="239"/>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c r="AK568" s="239"/>
    </row>
    <row r="569">
      <c r="A569" s="239"/>
      <c r="B569" s="239"/>
      <c r="C569" s="239"/>
      <c r="D569" s="239"/>
      <c r="E569" s="239"/>
      <c r="F569" s="239"/>
      <c r="G569" s="239"/>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c r="AK569" s="239"/>
    </row>
    <row r="570">
      <c r="A570" s="239"/>
      <c r="B570" s="239"/>
      <c r="C570" s="239"/>
      <c r="D570" s="239"/>
      <c r="E570" s="239"/>
      <c r="F570" s="239"/>
      <c r="G570" s="239"/>
      <c r="H570" s="239"/>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row>
    <row r="571">
      <c r="A571" s="239"/>
      <c r="B571" s="239"/>
      <c r="C571" s="239"/>
      <c r="D571" s="239"/>
      <c r="E571" s="239"/>
      <c r="F571" s="239"/>
      <c r="G571" s="239"/>
      <c r="H571" s="239"/>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c r="AK571" s="239"/>
    </row>
    <row r="572">
      <c r="A572" s="239"/>
      <c r="B572" s="239"/>
      <c r="C572" s="239"/>
      <c r="D572" s="239"/>
      <c r="E572" s="239"/>
      <c r="F572" s="239"/>
      <c r="G572" s="239"/>
      <c r="H572" s="239"/>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row>
    <row r="573">
      <c r="A573" s="239"/>
      <c r="B573" s="239"/>
      <c r="C573" s="239"/>
      <c r="D573" s="239"/>
      <c r="E573" s="239"/>
      <c r="F573" s="239"/>
      <c r="G573" s="239"/>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c r="AK573" s="239"/>
    </row>
    <row r="574">
      <c r="A574" s="239"/>
      <c r="B574" s="239"/>
      <c r="C574" s="239"/>
      <c r="D574" s="239"/>
      <c r="E574" s="239"/>
      <c r="F574" s="239"/>
      <c r="G574" s="239"/>
      <c r="H574" s="239"/>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row>
    <row r="575">
      <c r="A575" s="239"/>
      <c r="B575" s="239"/>
      <c r="C575" s="239"/>
      <c r="D575" s="239"/>
      <c r="E575" s="239"/>
      <c r="F575" s="239"/>
      <c r="G575" s="239"/>
      <c r="H575" s="239"/>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row>
    <row r="576">
      <c r="A576" s="239"/>
      <c r="B576" s="239"/>
      <c r="C576" s="239"/>
      <c r="D576" s="239"/>
      <c r="E576" s="239"/>
      <c r="F576" s="239"/>
      <c r="G576" s="239"/>
      <c r="H576" s="239"/>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row>
    <row r="577">
      <c r="A577" s="239"/>
      <c r="B577" s="239"/>
      <c r="C577" s="239"/>
      <c r="D577" s="239"/>
      <c r="E577" s="239"/>
      <c r="F577" s="239"/>
      <c r="G577" s="239"/>
      <c r="H577" s="239"/>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row>
    <row r="578">
      <c r="A578" s="239"/>
      <c r="B578" s="239"/>
      <c r="C578" s="239"/>
      <c r="D578" s="239"/>
      <c r="E578" s="239"/>
      <c r="F578" s="239"/>
      <c r="G578" s="239"/>
      <c r="H578" s="239"/>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row>
    <row r="579">
      <c r="A579" s="239"/>
      <c r="B579" s="239"/>
      <c r="C579" s="239"/>
      <c r="D579" s="239"/>
      <c r="E579" s="239"/>
      <c r="F579" s="239"/>
      <c r="G579" s="239"/>
      <c r="H579" s="239"/>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row>
    <row r="580">
      <c r="A580" s="239"/>
      <c r="B580" s="239"/>
      <c r="C580" s="239"/>
      <c r="D580" s="239"/>
      <c r="E580" s="239"/>
      <c r="F580" s="239"/>
      <c r="G580" s="239"/>
      <c r="H580" s="239"/>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row>
    <row r="581">
      <c r="A581" s="239"/>
      <c r="B581" s="239"/>
      <c r="C581" s="239"/>
      <c r="D581" s="239"/>
      <c r="E581" s="239"/>
      <c r="F581" s="239"/>
      <c r="G581" s="239"/>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row>
    <row r="582">
      <c r="A582" s="239"/>
      <c r="B582" s="239"/>
      <c r="C582" s="239"/>
      <c r="D582" s="239"/>
      <c r="E582" s="239"/>
      <c r="F582" s="239"/>
      <c r="G582" s="239"/>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row>
    <row r="583">
      <c r="A583" s="239"/>
      <c r="B583" s="239"/>
      <c r="C583" s="239"/>
      <c r="D583" s="239"/>
      <c r="E583" s="239"/>
      <c r="F583" s="239"/>
      <c r="G583" s="239"/>
      <c r="H583" s="239"/>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row>
    <row r="584">
      <c r="A584" s="239"/>
      <c r="B584" s="239"/>
      <c r="C584" s="239"/>
      <c r="D584" s="239"/>
      <c r="E584" s="239"/>
      <c r="F584" s="239"/>
      <c r="G584" s="239"/>
      <c r="H584" s="239"/>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row>
    <row r="585">
      <c r="A585" s="239"/>
      <c r="B585" s="239"/>
      <c r="C585" s="239"/>
      <c r="D585" s="239"/>
      <c r="E585" s="239"/>
      <c r="F585" s="239"/>
      <c r="G585" s="239"/>
      <c r="H585" s="239"/>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row>
    <row r="586">
      <c r="A586" s="239"/>
      <c r="B586" s="239"/>
      <c r="C586" s="239"/>
      <c r="D586" s="239"/>
      <c r="E586" s="239"/>
      <c r="F586" s="239"/>
      <c r="G586" s="239"/>
      <c r="H586" s="239"/>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row>
    <row r="587">
      <c r="A587" s="239"/>
      <c r="B587" s="239"/>
      <c r="C587" s="239"/>
      <c r="D587" s="239"/>
      <c r="E587" s="239"/>
      <c r="F587" s="239"/>
      <c r="G587" s="239"/>
      <c r="H587" s="239"/>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row>
    <row r="588">
      <c r="A588" s="239"/>
      <c r="B588" s="239"/>
      <c r="C588" s="239"/>
      <c r="D588" s="239"/>
      <c r="E588" s="239"/>
      <c r="F588" s="239"/>
      <c r="G588" s="239"/>
      <c r="H588" s="239"/>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row>
    <row r="589">
      <c r="A589" s="239"/>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row>
    <row r="590">
      <c r="A590" s="239"/>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row>
    <row r="591">
      <c r="A591" s="239"/>
      <c r="B591" s="239"/>
      <c r="C591" s="239"/>
      <c r="D591" s="239"/>
      <c r="E591" s="239"/>
      <c r="F591" s="239"/>
      <c r="G591" s="239"/>
      <c r="H591" s="239"/>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row>
    <row r="592">
      <c r="A592" s="239"/>
      <c r="B592" s="239"/>
      <c r="C592" s="239"/>
      <c r="D592" s="239"/>
      <c r="E592" s="239"/>
      <c r="F592" s="239"/>
      <c r="G592" s="239"/>
      <c r="H592" s="239"/>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row>
    <row r="593">
      <c r="A593" s="239"/>
      <c r="B593" s="239"/>
      <c r="C593" s="239"/>
      <c r="D593" s="239"/>
      <c r="E593" s="239"/>
      <c r="F593" s="239"/>
      <c r="G593" s="239"/>
      <c r="H593" s="239"/>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row>
    <row r="594">
      <c r="A594" s="239"/>
      <c r="B594" s="239"/>
      <c r="C594" s="239"/>
      <c r="D594" s="239"/>
      <c r="E594" s="239"/>
      <c r="F594" s="239"/>
      <c r="G594" s="239"/>
      <c r="H594" s="239"/>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row>
    <row r="595">
      <c r="A595" s="239"/>
      <c r="B595" s="239"/>
      <c r="C595" s="239"/>
      <c r="D595" s="239"/>
      <c r="E595" s="239"/>
      <c r="F595" s="239"/>
      <c r="G595" s="239"/>
      <c r="H595" s="239"/>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row>
    <row r="596">
      <c r="A596" s="239"/>
      <c r="B596" s="239"/>
      <c r="C596" s="239"/>
      <c r="D596" s="239"/>
      <c r="E596" s="239"/>
      <c r="F596" s="239"/>
      <c r="G596" s="239"/>
      <c r="H596" s="239"/>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row>
    <row r="597">
      <c r="A597" s="239"/>
      <c r="B597" s="239"/>
      <c r="C597" s="239"/>
      <c r="D597" s="239"/>
      <c r="E597" s="239"/>
      <c r="F597" s="239"/>
      <c r="G597" s="239"/>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row>
    <row r="598">
      <c r="A598" s="239"/>
      <c r="B598" s="239"/>
      <c r="C598" s="239"/>
      <c r="D598" s="239"/>
      <c r="E598" s="239"/>
      <c r="F598" s="239"/>
      <c r="G598" s="239"/>
      <c r="H598" s="239"/>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row>
    <row r="599">
      <c r="A599" s="239"/>
      <c r="B599" s="239"/>
      <c r="C599" s="239"/>
      <c r="D599" s="239"/>
      <c r="E599" s="239"/>
      <c r="F599" s="239"/>
      <c r="G599" s="239"/>
      <c r="H599" s="239"/>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row>
    <row r="600">
      <c r="A600" s="239"/>
      <c r="B600" s="239"/>
      <c r="C600" s="239"/>
      <c r="D600" s="239"/>
      <c r="E600" s="239"/>
      <c r="F600" s="239"/>
      <c r="G600" s="239"/>
      <c r="H600" s="239"/>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row>
    <row r="601">
      <c r="A601" s="239"/>
      <c r="B601" s="239"/>
      <c r="C601" s="239"/>
      <c r="D601" s="239"/>
      <c r="E601" s="239"/>
      <c r="F601" s="239"/>
      <c r="G601" s="239"/>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row>
    <row r="602">
      <c r="A602" s="239"/>
      <c r="B602" s="239"/>
      <c r="C602" s="239"/>
      <c r="D602" s="239"/>
      <c r="E602" s="239"/>
      <c r="F602" s="239"/>
      <c r="G602" s="239"/>
      <c r="H602" s="239"/>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row>
    <row r="603">
      <c r="A603" s="239"/>
      <c r="B603" s="239"/>
      <c r="C603" s="239"/>
      <c r="D603" s="239"/>
      <c r="E603" s="239"/>
      <c r="F603" s="239"/>
      <c r="G603" s="239"/>
      <c r="H603" s="239"/>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row>
    <row r="604">
      <c r="A604" s="239"/>
      <c r="B604" s="239"/>
      <c r="C604" s="239"/>
      <c r="D604" s="239"/>
      <c r="E604" s="239"/>
      <c r="F604" s="239"/>
      <c r="G604" s="239"/>
      <c r="H604" s="239"/>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row>
    <row r="605">
      <c r="A605" s="239"/>
      <c r="B605" s="239"/>
      <c r="C605" s="239"/>
      <c r="D605" s="239"/>
      <c r="E605" s="239"/>
      <c r="F605" s="239"/>
      <c r="G605" s="239"/>
      <c r="H605" s="239"/>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row>
    <row r="606">
      <c r="A606" s="239"/>
      <c r="B606" s="239"/>
      <c r="C606" s="239"/>
      <c r="D606" s="239"/>
      <c r="E606" s="239"/>
      <c r="F606" s="239"/>
      <c r="G606" s="239"/>
      <c r="H606" s="239"/>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row>
    <row r="607">
      <c r="A607" s="239"/>
      <c r="B607" s="239"/>
      <c r="C607" s="239"/>
      <c r="D607" s="239"/>
      <c r="E607" s="239"/>
      <c r="F607" s="239"/>
      <c r="G607" s="239"/>
      <c r="H607" s="239"/>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row>
    <row r="608">
      <c r="A608" s="239"/>
      <c r="B608" s="239"/>
      <c r="C608" s="239"/>
      <c r="D608" s="239"/>
      <c r="E608" s="239"/>
      <c r="F608" s="239"/>
      <c r="G608" s="239"/>
      <c r="H608" s="239"/>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row>
    <row r="609">
      <c r="A609" s="239"/>
      <c r="B609" s="239"/>
      <c r="C609" s="239"/>
      <c r="D609" s="239"/>
      <c r="E609" s="239"/>
      <c r="F609" s="239"/>
      <c r="G609" s="239"/>
      <c r="H609" s="239"/>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c r="AK609" s="239"/>
    </row>
    <row r="610">
      <c r="A610" s="239"/>
      <c r="B610" s="239"/>
      <c r="C610" s="239"/>
      <c r="D610" s="239"/>
      <c r="E610" s="239"/>
      <c r="F610" s="239"/>
      <c r="G610" s="239"/>
      <c r="H610" s="239"/>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row>
    <row r="611">
      <c r="A611" s="239"/>
      <c r="B611" s="239"/>
      <c r="C611" s="239"/>
      <c r="D611" s="239"/>
      <c r="E611" s="239"/>
      <c r="F611" s="239"/>
      <c r="G611" s="239"/>
      <c r="H611" s="239"/>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row>
    <row r="612">
      <c r="A612" s="239"/>
      <c r="B612" s="239"/>
      <c r="C612" s="239"/>
      <c r="D612" s="239"/>
      <c r="E612" s="239"/>
      <c r="F612" s="239"/>
      <c r="G612" s="239"/>
      <c r="H612" s="239"/>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row>
    <row r="613">
      <c r="A613" s="239"/>
      <c r="B613" s="239"/>
      <c r="C613" s="239"/>
      <c r="D613" s="239"/>
      <c r="E613" s="239"/>
      <c r="F613" s="239"/>
      <c r="G613" s="239"/>
      <c r="H613" s="239"/>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row>
    <row r="614">
      <c r="A614" s="239"/>
      <c r="B614" s="239"/>
      <c r="C614" s="239"/>
      <c r="D614" s="239"/>
      <c r="E614" s="239"/>
      <c r="F614" s="239"/>
      <c r="G614" s="239"/>
      <c r="H614" s="239"/>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row>
    <row r="615">
      <c r="A615" s="239"/>
      <c r="B615" s="239"/>
      <c r="C615" s="239"/>
      <c r="D615" s="239"/>
      <c r="E615" s="239"/>
      <c r="F615" s="239"/>
      <c r="G615" s="239"/>
      <c r="H615" s="239"/>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c r="AK615" s="239"/>
    </row>
    <row r="616">
      <c r="A616" s="239"/>
      <c r="B616" s="239"/>
      <c r="C616" s="239"/>
      <c r="D616" s="239"/>
      <c r="E616" s="239"/>
      <c r="F616" s="239"/>
      <c r="G616" s="239"/>
      <c r="H616" s="239"/>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row>
    <row r="617">
      <c r="A617" s="239"/>
      <c r="B617" s="239"/>
      <c r="C617" s="239"/>
      <c r="D617" s="239"/>
      <c r="E617" s="239"/>
      <c r="F617" s="239"/>
      <c r="G617" s="239"/>
      <c r="H617" s="239"/>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row>
    <row r="618">
      <c r="A618" s="239"/>
      <c r="B618" s="239"/>
      <c r="C618" s="239"/>
      <c r="D618" s="239"/>
      <c r="E618" s="239"/>
      <c r="F618" s="239"/>
      <c r="G618" s="239"/>
      <c r="H618" s="239"/>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row>
    <row r="619">
      <c r="A619" s="239"/>
      <c r="B619" s="239"/>
      <c r="C619" s="239"/>
      <c r="D619" s="239"/>
      <c r="E619" s="239"/>
      <c r="F619" s="239"/>
      <c r="G619" s="239"/>
      <c r="H619" s="239"/>
      <c r="I619" s="239"/>
      <c r="J619" s="239"/>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c r="AK619" s="239"/>
    </row>
    <row r="620">
      <c r="A620" s="239"/>
      <c r="B620" s="239"/>
      <c r="C620" s="239"/>
      <c r="D620" s="239"/>
      <c r="E620" s="239"/>
      <c r="F620" s="239"/>
      <c r="G620" s="239"/>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row>
    <row r="621">
      <c r="A621" s="239"/>
      <c r="B621" s="239"/>
      <c r="C621" s="239"/>
      <c r="D621" s="239"/>
      <c r="E621" s="239"/>
      <c r="F621" s="239"/>
      <c r="G621" s="239"/>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row>
    <row r="622">
      <c r="A622" s="239"/>
      <c r="B622" s="239"/>
      <c r="C622" s="239"/>
      <c r="D622" s="239"/>
      <c r="E622" s="239"/>
      <c r="F622" s="239"/>
      <c r="G622" s="239"/>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row>
    <row r="623">
      <c r="A623" s="239"/>
      <c r="B623" s="239"/>
      <c r="C623" s="239"/>
      <c r="D623" s="239"/>
      <c r="E623" s="239"/>
      <c r="F623" s="239"/>
      <c r="G623" s="239"/>
      <c r="H623" s="239"/>
      <c r="I623" s="239"/>
      <c r="J623" s="239"/>
      <c r="K623" s="239"/>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row>
    <row r="624">
      <c r="A624" s="239"/>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row>
    <row r="625">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row>
    <row r="626">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row>
    <row r="627">
      <c r="A627" s="239"/>
      <c r="B627" s="239"/>
      <c r="C627" s="239"/>
      <c r="D627" s="239"/>
      <c r="E627" s="239"/>
      <c r="F627" s="239"/>
      <c r="G627" s="239"/>
      <c r="H627" s="239"/>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row>
    <row r="628">
      <c r="A628" s="239"/>
      <c r="B628" s="239"/>
      <c r="C628" s="239"/>
      <c r="D628" s="239"/>
      <c r="E628" s="239"/>
      <c r="F628" s="239"/>
      <c r="G628" s="239"/>
      <c r="H628" s="239"/>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row>
    <row r="629">
      <c r="A629" s="239"/>
      <c r="B629" s="239"/>
      <c r="C629" s="239"/>
      <c r="D629" s="239"/>
      <c r="E629" s="239"/>
      <c r="F629" s="239"/>
      <c r="G629" s="239"/>
      <c r="H629" s="239"/>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row>
    <row r="630">
      <c r="A630" s="239"/>
      <c r="B630" s="239"/>
      <c r="C630" s="239"/>
      <c r="D630" s="239"/>
      <c r="E630" s="239"/>
      <c r="F630" s="239"/>
      <c r="G630" s="239"/>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row>
    <row r="631">
      <c r="A631" s="239"/>
      <c r="B631" s="239"/>
      <c r="C631" s="239"/>
      <c r="D631" s="239"/>
      <c r="E631" s="239"/>
      <c r="F631" s="239"/>
      <c r="G631" s="239"/>
      <c r="H631" s="239"/>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row>
    <row r="632">
      <c r="A632" s="239"/>
      <c r="B632" s="239"/>
      <c r="C632" s="239"/>
      <c r="D632" s="239"/>
      <c r="E632" s="239"/>
      <c r="F632" s="239"/>
      <c r="G632" s="239"/>
      <c r="H632" s="239"/>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row>
    <row r="633">
      <c r="A633" s="239"/>
      <c r="B633" s="239"/>
      <c r="C633" s="239"/>
      <c r="D633" s="239"/>
      <c r="E633" s="239"/>
      <c r="F633" s="239"/>
      <c r="G633" s="239"/>
      <c r="H633" s="239"/>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row>
    <row r="634">
      <c r="A634" s="239"/>
      <c r="B634" s="239"/>
      <c r="C634" s="239"/>
      <c r="D634" s="239"/>
      <c r="E634" s="239"/>
      <c r="F634" s="239"/>
      <c r="G634" s="239"/>
      <c r="H634" s="239"/>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row>
    <row r="635">
      <c r="A635" s="239"/>
      <c r="B635" s="239"/>
      <c r="C635" s="239"/>
      <c r="D635" s="239"/>
      <c r="E635" s="239"/>
      <c r="F635" s="239"/>
      <c r="G635" s="239"/>
      <c r="H635" s="239"/>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row>
    <row r="636">
      <c r="A636" s="239"/>
      <c r="B636" s="239"/>
      <c r="C636" s="239"/>
      <c r="D636" s="239"/>
      <c r="E636" s="239"/>
      <c r="F636" s="239"/>
      <c r="G636" s="239"/>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row>
    <row r="637">
      <c r="A637" s="239"/>
      <c r="B637" s="239"/>
      <c r="C637" s="239"/>
      <c r="D637" s="239"/>
      <c r="E637" s="239"/>
      <c r="F637" s="239"/>
      <c r="G637" s="239"/>
      <c r="H637" s="239"/>
      <c r="I637" s="239"/>
      <c r="J637" s="239"/>
      <c r="K637" s="239"/>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row>
    <row r="638">
      <c r="A638" s="239"/>
      <c r="B638" s="239"/>
      <c r="C638" s="239"/>
      <c r="D638" s="239"/>
      <c r="E638" s="239"/>
      <c r="F638" s="239"/>
      <c r="G638" s="239"/>
      <c r="H638" s="239"/>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row>
    <row r="639">
      <c r="A639" s="239"/>
      <c r="B639" s="239"/>
      <c r="C639" s="239"/>
      <c r="D639" s="239"/>
      <c r="E639" s="239"/>
      <c r="F639" s="239"/>
      <c r="G639" s="239"/>
      <c r="H639" s="239"/>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row>
    <row r="640">
      <c r="A640" s="239"/>
      <c r="B640" s="239"/>
      <c r="C640" s="239"/>
      <c r="D640" s="239"/>
      <c r="E640" s="239"/>
      <c r="F640" s="239"/>
      <c r="G640" s="239"/>
      <c r="H640" s="239"/>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row>
    <row r="641">
      <c r="A641" s="239"/>
      <c r="B641" s="239"/>
      <c r="C641" s="239"/>
      <c r="D641" s="239"/>
      <c r="E641" s="239"/>
      <c r="F641" s="239"/>
      <c r="G641" s="239"/>
      <c r="H641" s="239"/>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row>
    <row r="642">
      <c r="A642" s="239"/>
      <c r="B642" s="239"/>
      <c r="C642" s="239"/>
      <c r="D642" s="239"/>
      <c r="E642" s="239"/>
      <c r="F642" s="239"/>
      <c r="G642" s="239"/>
      <c r="H642" s="239"/>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row>
    <row r="643">
      <c r="A643" s="239"/>
      <c r="B643" s="239"/>
      <c r="C643" s="239"/>
      <c r="D643" s="239"/>
      <c r="E643" s="239"/>
      <c r="F643" s="239"/>
      <c r="G643" s="239"/>
      <c r="H643" s="239"/>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row>
    <row r="644">
      <c r="A644" s="239"/>
      <c r="B644" s="239"/>
      <c r="C644" s="239"/>
      <c r="D644" s="239"/>
      <c r="E644" s="239"/>
      <c r="F644" s="239"/>
      <c r="G644" s="239"/>
      <c r="H644" s="239"/>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row>
    <row r="645">
      <c r="A645" s="239"/>
      <c r="B645" s="239"/>
      <c r="C645" s="239"/>
      <c r="D645" s="239"/>
      <c r="E645" s="239"/>
      <c r="F645" s="239"/>
      <c r="G645" s="239"/>
      <c r="H645" s="239"/>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row>
    <row r="646">
      <c r="A646" s="239"/>
      <c r="B646" s="239"/>
      <c r="C646" s="239"/>
      <c r="D646" s="239"/>
      <c r="E646" s="239"/>
      <c r="F646" s="239"/>
      <c r="G646" s="239"/>
      <c r="H646" s="239"/>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row>
    <row r="647">
      <c r="A647" s="239"/>
      <c r="B647" s="239"/>
      <c r="C647" s="239"/>
      <c r="D647" s="239"/>
      <c r="E647" s="239"/>
      <c r="F647" s="239"/>
      <c r="G647" s="239"/>
      <c r="H647" s="239"/>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row>
    <row r="648">
      <c r="A648" s="239"/>
      <c r="B648" s="239"/>
      <c r="C648" s="239"/>
      <c r="D648" s="239"/>
      <c r="E648" s="239"/>
      <c r="F648" s="239"/>
      <c r="G648" s="239"/>
      <c r="H648" s="239"/>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row>
    <row r="649">
      <c r="A649" s="239"/>
      <c r="B649" s="239"/>
      <c r="C649" s="239"/>
      <c r="D649" s="239"/>
      <c r="E649" s="239"/>
      <c r="F649" s="239"/>
      <c r="G649" s="239"/>
      <c r="H649" s="239"/>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row>
    <row r="650">
      <c r="A650" s="239"/>
      <c r="B650" s="239"/>
      <c r="C650" s="239"/>
      <c r="D650" s="239"/>
      <c r="E650" s="239"/>
      <c r="F650" s="239"/>
      <c r="G650" s="239"/>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row>
    <row r="651">
      <c r="A651" s="239"/>
      <c r="B651" s="239"/>
      <c r="C651" s="239"/>
      <c r="D651" s="239"/>
      <c r="E651" s="239"/>
      <c r="F651" s="239"/>
      <c r="G651" s="239"/>
      <c r="H651" s="239"/>
      <c r="I651" s="239"/>
      <c r="J651" s="239"/>
      <c r="K651" s="239"/>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c r="AK651" s="239"/>
    </row>
    <row r="652">
      <c r="A652" s="239"/>
      <c r="B652" s="239"/>
      <c r="C652" s="239"/>
      <c r="D652" s="239"/>
      <c r="E652" s="239"/>
      <c r="F652" s="239"/>
      <c r="G652" s="239"/>
      <c r="H652" s="239"/>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row>
    <row r="653">
      <c r="A653" s="239"/>
      <c r="B653" s="239"/>
      <c r="C653" s="239"/>
      <c r="D653" s="239"/>
      <c r="E653" s="239"/>
      <c r="F653" s="239"/>
      <c r="G653" s="239"/>
      <c r="H653" s="239"/>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row>
    <row r="654">
      <c r="A654" s="239"/>
      <c r="B654" s="239"/>
      <c r="C654" s="239"/>
      <c r="D654" s="239"/>
      <c r="E654" s="239"/>
      <c r="F654" s="239"/>
      <c r="G654" s="239"/>
      <c r="H654" s="239"/>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row>
    <row r="655">
      <c r="A655" s="239"/>
      <c r="B655" s="239"/>
      <c r="C655" s="239"/>
      <c r="D655" s="239"/>
      <c r="E655" s="239"/>
      <c r="F655" s="239"/>
      <c r="G655" s="239"/>
      <c r="H655" s="239"/>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row>
    <row r="656">
      <c r="A656" s="239"/>
      <c r="B656" s="239"/>
      <c r="C656" s="239"/>
      <c r="D656" s="239"/>
      <c r="E656" s="239"/>
      <c r="F656" s="239"/>
      <c r="G656" s="239"/>
      <c r="H656" s="239"/>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row>
    <row r="657">
      <c r="A657" s="239"/>
      <c r="B657" s="239"/>
      <c r="C657" s="239"/>
      <c r="D657" s="239"/>
      <c r="E657" s="239"/>
      <c r="F657" s="239"/>
      <c r="G657" s="239"/>
      <c r="H657" s="239"/>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row>
    <row r="658">
      <c r="A658" s="239"/>
      <c r="B658" s="239"/>
      <c r="C658" s="239"/>
      <c r="D658" s="239"/>
      <c r="E658" s="239"/>
      <c r="F658" s="239"/>
      <c r="G658" s="239"/>
      <c r="H658" s="239"/>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row>
    <row r="659">
      <c r="A659" s="239"/>
      <c r="B659" s="239"/>
      <c r="C659" s="239"/>
      <c r="D659" s="239"/>
      <c r="E659" s="239"/>
      <c r="F659" s="239"/>
      <c r="G659" s="239"/>
      <c r="H659" s="239"/>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row>
    <row r="660">
      <c r="A660" s="239"/>
      <c r="B660" s="239"/>
      <c r="C660" s="239"/>
      <c r="D660" s="239"/>
      <c r="E660" s="239"/>
      <c r="F660" s="239"/>
      <c r="G660" s="239"/>
      <c r="H660" s="239"/>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row>
    <row r="661">
      <c r="A661" s="239"/>
      <c r="B661" s="239"/>
      <c r="C661" s="239"/>
      <c r="D661" s="239"/>
      <c r="E661" s="239"/>
      <c r="F661" s="239"/>
      <c r="G661" s="239"/>
      <c r="H661" s="239"/>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row>
    <row r="662">
      <c r="A662" s="239"/>
      <c r="B662" s="239"/>
      <c r="C662" s="239"/>
      <c r="D662" s="239"/>
      <c r="E662" s="239"/>
      <c r="F662" s="239"/>
      <c r="G662" s="239"/>
      <c r="H662" s="239"/>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row>
    <row r="663">
      <c r="A663" s="239"/>
      <c r="B663" s="239"/>
      <c r="C663" s="239"/>
      <c r="D663" s="239"/>
      <c r="E663" s="239"/>
      <c r="F663" s="239"/>
      <c r="G663" s="239"/>
      <c r="H663" s="239"/>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row>
    <row r="664">
      <c r="A664" s="239"/>
      <c r="B664" s="239"/>
      <c r="C664" s="239"/>
      <c r="D664" s="239"/>
      <c r="E664" s="239"/>
      <c r="F664" s="239"/>
      <c r="G664" s="239"/>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row>
    <row r="665">
      <c r="A665" s="239"/>
      <c r="B665" s="239"/>
      <c r="C665" s="239"/>
      <c r="D665" s="239"/>
      <c r="E665" s="239"/>
      <c r="F665" s="239"/>
      <c r="G665" s="239"/>
      <c r="H665" s="239"/>
      <c r="I665" s="239"/>
      <c r="J665" s="239"/>
      <c r="K665" s="239"/>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c r="AK665" s="239"/>
    </row>
    <row r="666">
      <c r="A666" s="239"/>
      <c r="B666" s="239"/>
      <c r="C666" s="239"/>
      <c r="D666" s="239"/>
      <c r="E666" s="239"/>
      <c r="F666" s="239"/>
      <c r="G666" s="239"/>
      <c r="H666" s="239"/>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row>
    <row r="667">
      <c r="A667" s="239"/>
      <c r="B667" s="239"/>
      <c r="C667" s="239"/>
      <c r="D667" s="239"/>
      <c r="E667" s="239"/>
      <c r="F667" s="239"/>
      <c r="G667" s="239"/>
      <c r="H667" s="239"/>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row>
    <row r="668">
      <c r="A668" s="239"/>
      <c r="B668" s="239"/>
      <c r="C668" s="239"/>
      <c r="D668" s="239"/>
      <c r="E668" s="239"/>
      <c r="F668" s="239"/>
      <c r="G668" s="239"/>
      <c r="H668" s="239"/>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row>
    <row r="669">
      <c r="A669" s="239"/>
      <c r="B669" s="239"/>
      <c r="C669" s="239"/>
      <c r="D669" s="239"/>
      <c r="E669" s="239"/>
      <c r="F669" s="239"/>
      <c r="G669" s="239"/>
      <c r="H669" s="239"/>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row>
    <row r="670">
      <c r="A670" s="239"/>
      <c r="B670" s="239"/>
      <c r="C670" s="239"/>
      <c r="D670" s="239"/>
      <c r="E670" s="239"/>
      <c r="F670" s="239"/>
      <c r="G670" s="239"/>
      <c r="H670" s="239"/>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row>
    <row r="671">
      <c r="A671" s="239"/>
      <c r="B671" s="239"/>
      <c r="C671" s="239"/>
      <c r="D671" s="239"/>
      <c r="E671" s="239"/>
      <c r="F671" s="239"/>
      <c r="G671" s="239"/>
      <c r="H671" s="239"/>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row>
    <row r="672">
      <c r="A672" s="239"/>
      <c r="B672" s="239"/>
      <c r="C672" s="239"/>
      <c r="D672" s="239"/>
      <c r="E672" s="239"/>
      <c r="F672" s="239"/>
      <c r="G672" s="239"/>
      <c r="H672" s="239"/>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row>
    <row r="673">
      <c r="A673" s="239"/>
      <c r="B673" s="239"/>
      <c r="C673" s="239"/>
      <c r="D673" s="239"/>
      <c r="E673" s="239"/>
      <c r="F673" s="239"/>
      <c r="G673" s="239"/>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row>
    <row r="674">
      <c r="A674" s="239"/>
      <c r="B674" s="239"/>
      <c r="C674" s="239"/>
      <c r="D674" s="239"/>
      <c r="E674" s="239"/>
      <c r="F674" s="239"/>
      <c r="G674" s="239"/>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row>
    <row r="675">
      <c r="A675" s="239"/>
      <c r="B675" s="239"/>
      <c r="C675" s="239"/>
      <c r="D675" s="239"/>
      <c r="E675" s="239"/>
      <c r="F675" s="239"/>
      <c r="G675" s="239"/>
      <c r="H675" s="239"/>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row>
    <row r="676">
      <c r="A676" s="239"/>
      <c r="B676" s="239"/>
      <c r="C676" s="239"/>
      <c r="D676" s="239"/>
      <c r="E676" s="239"/>
      <c r="F676" s="239"/>
      <c r="G676" s="239"/>
      <c r="H676" s="239"/>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row>
    <row r="677">
      <c r="A677" s="239"/>
      <c r="B677" s="239"/>
      <c r="C677" s="239"/>
      <c r="D677" s="239"/>
      <c r="E677" s="239"/>
      <c r="F677" s="239"/>
      <c r="G677" s="239"/>
      <c r="H677" s="239"/>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row>
    <row r="678">
      <c r="A678" s="239"/>
      <c r="B678" s="239"/>
      <c r="C678" s="239"/>
      <c r="D678" s="239"/>
      <c r="E678" s="239"/>
      <c r="F678" s="239"/>
      <c r="G678" s="239"/>
      <c r="H678" s="239"/>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row>
    <row r="679">
      <c r="A679" s="239"/>
      <c r="B679" s="239"/>
      <c r="C679" s="239"/>
      <c r="D679" s="239"/>
      <c r="E679" s="239"/>
      <c r="F679" s="239"/>
      <c r="G679" s="239"/>
      <c r="H679" s="239"/>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row>
    <row r="680">
      <c r="A680" s="239"/>
      <c r="B680" s="239"/>
      <c r="C680" s="239"/>
      <c r="D680" s="239"/>
      <c r="E680" s="239"/>
      <c r="F680" s="239"/>
      <c r="G680" s="239"/>
      <c r="H680" s="239"/>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row>
    <row r="681">
      <c r="A681" s="239"/>
      <c r="B681" s="239"/>
      <c r="C681" s="239"/>
      <c r="D681" s="239"/>
      <c r="E681" s="239"/>
      <c r="F681" s="239"/>
      <c r="G681" s="239"/>
      <c r="H681" s="239"/>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row>
    <row r="682">
      <c r="A682" s="239"/>
      <c r="B682" s="239"/>
      <c r="C682" s="239"/>
      <c r="D682" s="239"/>
      <c r="E682" s="239"/>
      <c r="F682" s="239"/>
      <c r="G682" s="239"/>
      <c r="H682" s="239"/>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row>
    <row r="683">
      <c r="A683" s="239"/>
      <c r="B683" s="239"/>
      <c r="C683" s="239"/>
      <c r="D683" s="239"/>
      <c r="E683" s="239"/>
      <c r="F683" s="239"/>
      <c r="G683" s="239"/>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row>
    <row r="684">
      <c r="A684" s="239"/>
      <c r="B684" s="239"/>
      <c r="C684" s="239"/>
      <c r="D684" s="239"/>
      <c r="E684" s="239"/>
      <c r="F684" s="239"/>
      <c r="G684" s="239"/>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row>
    <row r="685">
      <c r="A685" s="239"/>
      <c r="B685" s="239"/>
      <c r="C685" s="239"/>
      <c r="D685" s="239"/>
      <c r="E685" s="239"/>
      <c r="F685" s="239"/>
      <c r="G685" s="239"/>
      <c r="H685" s="239"/>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row>
    <row r="686">
      <c r="A686" s="239"/>
      <c r="B686" s="239"/>
      <c r="C686" s="239"/>
      <c r="D686" s="239"/>
      <c r="E686" s="239"/>
      <c r="F686" s="239"/>
      <c r="G686" s="239"/>
      <c r="H686" s="239"/>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row>
    <row r="687">
      <c r="A687" s="239"/>
      <c r="B687" s="239"/>
      <c r="C687" s="239"/>
      <c r="D687" s="239"/>
      <c r="E687" s="239"/>
      <c r="F687" s="239"/>
      <c r="G687" s="239"/>
      <c r="H687" s="239"/>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row>
    <row r="688">
      <c r="A688" s="239"/>
      <c r="B688" s="239"/>
      <c r="C688" s="239"/>
      <c r="D688" s="239"/>
      <c r="E688" s="239"/>
      <c r="F688" s="239"/>
      <c r="G688" s="239"/>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row>
    <row r="689">
      <c r="A689" s="239"/>
      <c r="B689" s="239"/>
      <c r="C689" s="239"/>
      <c r="D689" s="239"/>
      <c r="E689" s="239"/>
      <c r="F689" s="239"/>
      <c r="G689" s="239"/>
      <c r="H689" s="239"/>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row>
    <row r="690">
      <c r="A690" s="239"/>
      <c r="B690" s="239"/>
      <c r="C690" s="239"/>
      <c r="D690" s="239"/>
      <c r="E690" s="239"/>
      <c r="F690" s="239"/>
      <c r="G690" s="239"/>
      <c r="H690" s="239"/>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row>
    <row r="691">
      <c r="A691" s="239"/>
      <c r="B691" s="239"/>
      <c r="C691" s="239"/>
      <c r="D691" s="239"/>
      <c r="E691" s="239"/>
      <c r="F691" s="239"/>
      <c r="G691" s="239"/>
      <c r="H691" s="239"/>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row>
    <row r="692">
      <c r="A692" s="239"/>
      <c r="B692" s="239"/>
      <c r="C692" s="239"/>
      <c r="D692" s="239"/>
      <c r="E692" s="239"/>
      <c r="F692" s="239"/>
      <c r="G692" s="239"/>
      <c r="H692" s="239"/>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row>
    <row r="693">
      <c r="A693" s="239"/>
      <c r="B693" s="239"/>
      <c r="C693" s="239"/>
      <c r="D693" s="239"/>
      <c r="E693" s="239"/>
      <c r="F693" s="239"/>
      <c r="G693" s="239"/>
      <c r="H693" s="239"/>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row>
    <row r="694">
      <c r="A694" s="239"/>
      <c r="B694" s="239"/>
      <c r="C694" s="239"/>
      <c r="D694" s="239"/>
      <c r="E694" s="239"/>
      <c r="F694" s="239"/>
      <c r="G694" s="239"/>
      <c r="H694" s="239"/>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row>
    <row r="695">
      <c r="A695" s="239"/>
      <c r="B695" s="239"/>
      <c r="C695" s="239"/>
      <c r="D695" s="239"/>
      <c r="E695" s="239"/>
      <c r="F695" s="239"/>
      <c r="G695" s="239"/>
      <c r="H695" s="239"/>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row>
    <row r="696">
      <c r="A696" s="239"/>
      <c r="B696" s="239"/>
      <c r="C696" s="239"/>
      <c r="D696" s="239"/>
      <c r="E696" s="239"/>
      <c r="F696" s="239"/>
      <c r="G696" s="239"/>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row>
    <row r="697">
      <c r="A697" s="239"/>
      <c r="B697" s="239"/>
      <c r="C697" s="239"/>
      <c r="D697" s="239"/>
      <c r="E697" s="239"/>
      <c r="F697" s="239"/>
      <c r="G697" s="239"/>
      <c r="H697" s="239"/>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row>
    <row r="698">
      <c r="A698" s="239"/>
      <c r="B698" s="239"/>
      <c r="C698" s="239"/>
      <c r="D698" s="239"/>
      <c r="E698" s="239"/>
      <c r="F698" s="239"/>
      <c r="G698" s="239"/>
      <c r="H698" s="239"/>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row>
    <row r="699">
      <c r="A699" s="239"/>
      <c r="B699" s="239"/>
      <c r="C699" s="239"/>
      <c r="D699" s="239"/>
      <c r="E699" s="239"/>
      <c r="F699" s="239"/>
      <c r="G699" s="239"/>
      <c r="H699" s="239"/>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row>
    <row r="700">
      <c r="A700" s="239"/>
      <c r="B700" s="239"/>
      <c r="C700" s="239"/>
      <c r="D700" s="239"/>
      <c r="E700" s="239"/>
      <c r="F700" s="239"/>
      <c r="G700" s="239"/>
      <c r="H700" s="239"/>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row>
    <row r="701">
      <c r="A701" s="239"/>
      <c r="B701" s="239"/>
      <c r="C701" s="239"/>
      <c r="D701" s="239"/>
      <c r="E701" s="239"/>
      <c r="F701" s="239"/>
      <c r="G701" s="239"/>
      <c r="H701" s="239"/>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row>
    <row r="702">
      <c r="A702" s="239"/>
      <c r="B702" s="239"/>
      <c r="C702" s="239"/>
      <c r="D702" s="239"/>
      <c r="E702" s="239"/>
      <c r="F702" s="239"/>
      <c r="G702" s="239"/>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row>
    <row r="703">
      <c r="A703" s="239"/>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row>
    <row r="704">
      <c r="A704" s="239"/>
      <c r="B704" s="239"/>
      <c r="C704" s="239"/>
      <c r="D704" s="239"/>
      <c r="E704" s="239"/>
      <c r="F704" s="239"/>
      <c r="G704" s="239"/>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row>
    <row r="705">
      <c r="A705" s="239"/>
      <c r="B705" s="239"/>
      <c r="C705" s="239"/>
      <c r="D705" s="239"/>
      <c r="E705" s="239"/>
      <c r="F705" s="239"/>
      <c r="G705" s="239"/>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row>
    <row r="706">
      <c r="A706" s="239"/>
      <c r="B706" s="239"/>
      <c r="C706" s="239"/>
      <c r="D706" s="239"/>
      <c r="E706" s="239"/>
      <c r="F706" s="239"/>
      <c r="G706" s="239"/>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row>
    <row r="707">
      <c r="A707" s="239"/>
      <c r="B707" s="239"/>
      <c r="C707" s="239"/>
      <c r="D707" s="239"/>
      <c r="E707" s="239"/>
      <c r="F707" s="239"/>
      <c r="G707" s="239"/>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row>
    <row r="708">
      <c r="A708" s="239"/>
      <c r="B708" s="239"/>
      <c r="C708" s="239"/>
      <c r="D708" s="239"/>
      <c r="E708" s="239"/>
      <c r="F708" s="239"/>
      <c r="G708" s="239"/>
      <c r="H708" s="239"/>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row>
    <row r="709">
      <c r="A709" s="239"/>
      <c r="B709" s="239"/>
      <c r="C709" s="239"/>
      <c r="D709" s="239"/>
      <c r="E709" s="239"/>
      <c r="F709" s="239"/>
      <c r="G709" s="239"/>
      <c r="H709" s="239"/>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row>
    <row r="710">
      <c r="A710" s="239"/>
      <c r="B710" s="239"/>
      <c r="C710" s="239"/>
      <c r="D710" s="239"/>
      <c r="E710" s="239"/>
      <c r="F710" s="239"/>
      <c r="G710" s="239"/>
      <c r="H710" s="239"/>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row>
    <row r="711">
      <c r="A711" s="239"/>
      <c r="B711" s="239"/>
      <c r="C711" s="239"/>
      <c r="D711" s="239"/>
      <c r="E711" s="239"/>
      <c r="F711" s="239"/>
      <c r="G711" s="239"/>
      <c r="H711" s="239"/>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row>
    <row r="712">
      <c r="A712" s="239"/>
      <c r="B712" s="239"/>
      <c r="C712" s="239"/>
      <c r="D712" s="239"/>
      <c r="E712" s="239"/>
      <c r="F712" s="239"/>
      <c r="G712" s="239"/>
      <c r="H712" s="239"/>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row>
    <row r="713">
      <c r="A713" s="239"/>
      <c r="B713" s="239"/>
      <c r="C713" s="239"/>
      <c r="D713" s="239"/>
      <c r="E713" s="239"/>
      <c r="F713" s="239"/>
      <c r="G713" s="239"/>
      <c r="H713" s="239"/>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row>
    <row r="714">
      <c r="A714" s="239"/>
      <c r="B714" s="239"/>
      <c r="C714" s="239"/>
      <c r="D714" s="239"/>
      <c r="E714" s="239"/>
      <c r="F714" s="239"/>
      <c r="G714" s="239"/>
      <c r="H714" s="239"/>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row>
    <row r="715">
      <c r="A715" s="239"/>
      <c r="B715" s="239"/>
      <c r="C715" s="239"/>
      <c r="D715" s="239"/>
      <c r="E715" s="239"/>
      <c r="F715" s="239"/>
      <c r="G715" s="239"/>
      <c r="H715" s="239"/>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row>
    <row r="716">
      <c r="A716" s="239"/>
      <c r="B716" s="239"/>
      <c r="C716" s="239"/>
      <c r="D716" s="239"/>
      <c r="E716" s="239"/>
      <c r="F716" s="239"/>
      <c r="G716" s="239"/>
      <c r="H716" s="239"/>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row>
    <row r="717">
      <c r="A717" s="239"/>
      <c r="B717" s="239"/>
      <c r="C717" s="239"/>
      <c r="D717" s="239"/>
      <c r="E717" s="239"/>
      <c r="F717" s="239"/>
      <c r="G717" s="239"/>
      <c r="H717" s="239"/>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row>
    <row r="718">
      <c r="A718" s="239"/>
      <c r="B718" s="239"/>
      <c r="C718" s="239"/>
      <c r="D718" s="239"/>
      <c r="E718" s="239"/>
      <c r="F718" s="239"/>
      <c r="G718" s="239"/>
      <c r="H718" s="239"/>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row>
    <row r="719">
      <c r="A719" s="239"/>
      <c r="B719" s="239"/>
      <c r="C719" s="239"/>
      <c r="D719" s="239"/>
      <c r="E719" s="239"/>
      <c r="F719" s="239"/>
      <c r="G719" s="239"/>
      <c r="H719" s="239"/>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row>
    <row r="720">
      <c r="A720" s="239"/>
      <c r="B720" s="239"/>
      <c r="C720" s="239"/>
      <c r="D720" s="239"/>
      <c r="E720" s="239"/>
      <c r="F720" s="239"/>
      <c r="G720" s="239"/>
      <c r="H720" s="239"/>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row>
    <row r="721">
      <c r="A721" s="239"/>
      <c r="B721" s="239"/>
      <c r="C721" s="239"/>
      <c r="D721" s="239"/>
      <c r="E721" s="239"/>
      <c r="F721" s="239"/>
      <c r="G721" s="239"/>
      <c r="H721" s="239"/>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row>
    <row r="722">
      <c r="A722" s="239"/>
      <c r="B722" s="239"/>
      <c r="C722" s="239"/>
      <c r="D722" s="239"/>
      <c r="E722" s="239"/>
      <c r="F722" s="239"/>
      <c r="G722" s="239"/>
      <c r="H722" s="239"/>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row>
    <row r="723">
      <c r="A723" s="239"/>
      <c r="B723" s="239"/>
      <c r="C723" s="239"/>
      <c r="D723" s="239"/>
      <c r="E723" s="239"/>
      <c r="F723" s="239"/>
      <c r="G723" s="239"/>
      <c r="H723" s="239"/>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row>
    <row r="724">
      <c r="A724" s="239"/>
      <c r="B724" s="239"/>
      <c r="C724" s="239"/>
      <c r="D724" s="239"/>
      <c r="E724" s="239"/>
      <c r="F724" s="239"/>
      <c r="G724" s="239"/>
      <c r="H724" s="239"/>
      <c r="I724" s="239"/>
      <c r="J724" s="239"/>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c r="AK724" s="239"/>
    </row>
    <row r="725">
      <c r="A725" s="239"/>
      <c r="B725" s="239"/>
      <c r="C725" s="239"/>
      <c r="D725" s="239"/>
      <c r="E725" s="239"/>
      <c r="F725" s="239"/>
      <c r="G725" s="239"/>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row>
    <row r="726">
      <c r="A726" s="239"/>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row>
    <row r="727">
      <c r="A727" s="239"/>
      <c r="B727" s="239"/>
      <c r="C727" s="239"/>
      <c r="D727" s="239"/>
      <c r="E727" s="239"/>
      <c r="F727" s="239"/>
      <c r="G727" s="239"/>
      <c r="H727" s="239"/>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row>
    <row r="728">
      <c r="A728" s="239"/>
      <c r="B728" s="239"/>
      <c r="C728" s="239"/>
      <c r="D728" s="239"/>
      <c r="E728" s="239"/>
      <c r="F728" s="239"/>
      <c r="G728" s="239"/>
      <c r="H728" s="239"/>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row>
    <row r="729">
      <c r="A729" s="239"/>
      <c r="B729" s="239"/>
      <c r="C729" s="239"/>
      <c r="D729" s="239"/>
      <c r="E729" s="239"/>
      <c r="F729" s="239"/>
      <c r="G729" s="239"/>
      <c r="H729" s="239"/>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row>
    <row r="730">
      <c r="A730" s="239"/>
      <c r="B730" s="239"/>
      <c r="C730" s="239"/>
      <c r="D730" s="239"/>
      <c r="E730" s="239"/>
      <c r="F730" s="239"/>
      <c r="G730" s="239"/>
      <c r="H730" s="239"/>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row>
    <row r="731">
      <c r="A731" s="239"/>
      <c r="B731" s="239"/>
      <c r="C731" s="239"/>
      <c r="D731" s="239"/>
      <c r="E731" s="239"/>
      <c r="F731" s="239"/>
      <c r="G731" s="239"/>
      <c r="H731" s="239"/>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row>
    <row r="732">
      <c r="A732" s="239"/>
      <c r="B732" s="239"/>
      <c r="C732" s="239"/>
      <c r="D732" s="239"/>
      <c r="E732" s="239"/>
      <c r="F732" s="239"/>
      <c r="G732" s="239"/>
      <c r="H732" s="239"/>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row>
    <row r="733">
      <c r="A733" s="239"/>
      <c r="B733" s="239"/>
      <c r="C733" s="239"/>
      <c r="D733" s="239"/>
      <c r="E733" s="239"/>
      <c r="F733" s="239"/>
      <c r="G733" s="239"/>
      <c r="H733" s="239"/>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row>
    <row r="734">
      <c r="A734" s="239"/>
      <c r="B734" s="239"/>
      <c r="C734" s="239"/>
      <c r="D734" s="239"/>
      <c r="E734" s="239"/>
      <c r="F734" s="239"/>
      <c r="G734" s="239"/>
      <c r="H734" s="239"/>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row>
    <row r="735">
      <c r="A735" s="239"/>
      <c r="B735" s="239"/>
      <c r="C735" s="239"/>
      <c r="D735" s="239"/>
      <c r="E735" s="239"/>
      <c r="F735" s="239"/>
      <c r="G735" s="239"/>
      <c r="H735" s="239"/>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row>
    <row r="736">
      <c r="A736" s="239"/>
      <c r="B736" s="239"/>
      <c r="C736" s="239"/>
      <c r="D736" s="239"/>
      <c r="E736" s="239"/>
      <c r="F736" s="239"/>
      <c r="G736" s="239"/>
      <c r="H736" s="239"/>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row>
    <row r="737">
      <c r="A737" s="239"/>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c r="AK737" s="239"/>
    </row>
    <row r="738">
      <c r="A738" s="239"/>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row>
    <row r="739">
      <c r="A739" s="239"/>
      <c r="B739" s="239"/>
      <c r="C739" s="239"/>
      <c r="D739" s="239"/>
      <c r="E739" s="239"/>
      <c r="F739" s="239"/>
      <c r="G739" s="239"/>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row>
    <row r="740">
      <c r="A740" s="239"/>
      <c r="B740" s="239"/>
      <c r="C740" s="239"/>
      <c r="D740" s="239"/>
      <c r="E740" s="239"/>
      <c r="F740" s="239"/>
      <c r="G740" s="239"/>
      <c r="H740" s="239"/>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row>
    <row r="741">
      <c r="A741" s="239"/>
      <c r="B741" s="239"/>
      <c r="C741" s="239"/>
      <c r="D741" s="239"/>
      <c r="E741" s="239"/>
      <c r="F741" s="239"/>
      <c r="G741" s="239"/>
      <c r="H741" s="239"/>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row>
    <row r="742">
      <c r="A742" s="239"/>
      <c r="B742" s="239"/>
      <c r="C742" s="239"/>
      <c r="D742" s="239"/>
      <c r="E742" s="239"/>
      <c r="F742" s="239"/>
      <c r="G742" s="239"/>
      <c r="H742" s="239"/>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row>
    <row r="743">
      <c r="A743" s="239"/>
      <c r="B743" s="239"/>
      <c r="C743" s="239"/>
      <c r="D743" s="239"/>
      <c r="E743" s="239"/>
      <c r="F743" s="239"/>
      <c r="G743" s="239"/>
      <c r="H743" s="239"/>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row>
    <row r="744">
      <c r="A744" s="239"/>
      <c r="B744" s="239"/>
      <c r="C744" s="239"/>
      <c r="D744" s="239"/>
      <c r="E744" s="239"/>
      <c r="F744" s="239"/>
      <c r="G744" s="239"/>
      <c r="H744" s="239"/>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row>
    <row r="745">
      <c r="A745" s="239"/>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row>
    <row r="746">
      <c r="A746" s="239"/>
      <c r="B746" s="239"/>
      <c r="C746" s="239"/>
      <c r="D746" s="239"/>
      <c r="E746" s="239"/>
      <c r="F746" s="239"/>
      <c r="G746" s="239"/>
      <c r="H746" s="239"/>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row>
    <row r="747">
      <c r="A747" s="239"/>
      <c r="B747" s="239"/>
      <c r="C747" s="239"/>
      <c r="D747" s="239"/>
      <c r="E747" s="239"/>
      <c r="F747" s="239"/>
      <c r="G747" s="239"/>
      <c r="H747" s="239"/>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row>
    <row r="748">
      <c r="A748" s="239"/>
      <c r="B748" s="239"/>
      <c r="C748" s="239"/>
      <c r="D748" s="239"/>
      <c r="E748" s="239"/>
      <c r="F748" s="239"/>
      <c r="G748" s="239"/>
      <c r="H748" s="239"/>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row>
    <row r="749">
      <c r="A749" s="239"/>
      <c r="B749" s="239"/>
      <c r="C749" s="239"/>
      <c r="D749" s="239"/>
      <c r="E749" s="239"/>
      <c r="F749" s="239"/>
      <c r="G749" s="239"/>
      <c r="H749" s="239"/>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row>
    <row r="750">
      <c r="A750" s="239"/>
      <c r="B750" s="239"/>
      <c r="C750" s="239"/>
      <c r="D750" s="239"/>
      <c r="E750" s="239"/>
      <c r="F750" s="239"/>
      <c r="G750" s="239"/>
      <c r="H750" s="239"/>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row>
    <row r="751">
      <c r="A751" s="239"/>
      <c r="B751" s="239"/>
      <c r="C751" s="239"/>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row>
    <row r="752">
      <c r="A752" s="239"/>
      <c r="B752" s="239"/>
      <c r="C752" s="239"/>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row>
    <row r="753">
      <c r="A753" s="239"/>
      <c r="B753" s="239"/>
      <c r="C753" s="239"/>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row>
    <row r="754">
      <c r="A754" s="239"/>
      <c r="B754" s="239"/>
      <c r="C754" s="239"/>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row>
    <row r="755">
      <c r="A755" s="239"/>
      <c r="B755" s="239"/>
      <c r="C755" s="239"/>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row>
    <row r="756">
      <c r="A756" s="239"/>
      <c r="B756" s="239"/>
      <c r="C756" s="239"/>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row>
    <row r="757">
      <c r="A757" s="239"/>
      <c r="B757" s="239"/>
      <c r="C757" s="239"/>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row>
    <row r="758">
      <c r="A758" s="239"/>
      <c r="B758" s="239"/>
      <c r="C758" s="239"/>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row>
    <row r="759">
      <c r="A759" s="239"/>
      <c r="B759" s="239"/>
      <c r="C759" s="239"/>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row>
    <row r="760">
      <c r="A760" s="239"/>
      <c r="B760" s="239"/>
      <c r="C760" s="239"/>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row>
    <row r="761">
      <c r="A761" s="239"/>
      <c r="B761" s="239"/>
      <c r="C761" s="239"/>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row>
    <row r="762">
      <c r="A762" s="239"/>
      <c r="B762" s="239"/>
      <c r="C762" s="239"/>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row>
    <row r="763">
      <c r="A763" s="239"/>
      <c r="B763" s="239"/>
      <c r="C763" s="239"/>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row>
    <row r="764">
      <c r="A764" s="239"/>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row>
    <row r="765">
      <c r="A765" s="239"/>
      <c r="B765" s="239"/>
      <c r="C765" s="239"/>
      <c r="D765" s="239"/>
      <c r="E765" s="239"/>
      <c r="F765" s="239"/>
      <c r="G765" s="239"/>
      <c r="H765" s="239"/>
      <c r="I765" s="239"/>
      <c r="J765" s="239"/>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c r="AK765" s="239"/>
    </row>
    <row r="766">
      <c r="A766" s="239"/>
      <c r="B766" s="239"/>
      <c r="C766" s="239"/>
      <c r="D766" s="239"/>
      <c r="E766" s="239"/>
      <c r="F766" s="239"/>
      <c r="G766" s="239"/>
      <c r="H766" s="239"/>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row>
    <row r="767">
      <c r="A767" s="239"/>
      <c r="B767" s="239"/>
      <c r="C767" s="239"/>
      <c r="D767" s="239"/>
      <c r="E767" s="239"/>
      <c r="F767" s="239"/>
      <c r="G767" s="239"/>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c r="AK767" s="239"/>
    </row>
    <row r="768">
      <c r="A768" s="239"/>
      <c r="B768" s="239"/>
      <c r="C768" s="239"/>
      <c r="D768" s="239"/>
      <c r="E768" s="239"/>
      <c r="F768" s="239"/>
      <c r="G768" s="239"/>
      <c r="H768" s="239"/>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row>
    <row r="769">
      <c r="A769" s="239"/>
      <c r="B769" s="239"/>
      <c r="C769" s="239"/>
      <c r="D769" s="239"/>
      <c r="E769" s="239"/>
      <c r="F769" s="239"/>
      <c r="G769" s="239"/>
      <c r="H769" s="239"/>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row>
    <row r="770">
      <c r="A770" s="239"/>
      <c r="B770" s="239"/>
      <c r="C770" s="239"/>
      <c r="D770" s="239"/>
      <c r="E770" s="239"/>
      <c r="F770" s="239"/>
      <c r="G770" s="239"/>
      <c r="H770" s="239"/>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row>
    <row r="771">
      <c r="A771" s="239"/>
      <c r="B771" s="239"/>
      <c r="C771" s="239"/>
      <c r="D771" s="239"/>
      <c r="E771" s="239"/>
      <c r="F771" s="239"/>
      <c r="G771" s="239"/>
      <c r="H771" s="239"/>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row>
    <row r="772">
      <c r="A772" s="239"/>
      <c r="B772" s="239"/>
      <c r="C772" s="239"/>
      <c r="D772" s="239"/>
      <c r="E772" s="239"/>
      <c r="F772" s="239"/>
      <c r="G772" s="239"/>
      <c r="H772" s="239"/>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row>
    <row r="773">
      <c r="A773" s="239"/>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row>
    <row r="774">
      <c r="A774" s="239"/>
      <c r="B774" s="239"/>
      <c r="C774" s="239"/>
      <c r="D774" s="239"/>
      <c r="E774" s="239"/>
      <c r="F774" s="239"/>
      <c r="G774" s="239"/>
      <c r="H774" s="239"/>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row>
    <row r="775">
      <c r="A775" s="239"/>
      <c r="B775" s="239"/>
      <c r="C775" s="239"/>
      <c r="D775" s="239"/>
      <c r="E775" s="239"/>
      <c r="F775" s="239"/>
      <c r="G775" s="239"/>
      <c r="H775" s="239"/>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row>
    <row r="776">
      <c r="A776" s="239"/>
      <c r="B776" s="239"/>
      <c r="C776" s="239"/>
      <c r="D776" s="239"/>
      <c r="E776" s="239"/>
      <c r="F776" s="239"/>
      <c r="G776" s="239"/>
      <c r="H776" s="239"/>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row>
    <row r="777">
      <c r="A777" s="239"/>
      <c r="B777" s="239"/>
      <c r="C777" s="239"/>
      <c r="D777" s="239"/>
      <c r="E777" s="239"/>
      <c r="F777" s="239"/>
      <c r="G777" s="239"/>
      <c r="H777" s="239"/>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row>
    <row r="778">
      <c r="A778" s="239"/>
      <c r="B778" s="239"/>
      <c r="C778" s="239"/>
      <c r="D778" s="239"/>
      <c r="E778" s="239"/>
      <c r="F778" s="239"/>
      <c r="G778" s="239"/>
      <c r="H778" s="239"/>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row>
    <row r="779">
      <c r="A779" s="239"/>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row>
    <row r="780">
      <c r="A780" s="239"/>
      <c r="B780" s="239"/>
      <c r="C780" s="239"/>
      <c r="D780" s="239"/>
      <c r="E780" s="239"/>
      <c r="F780" s="239"/>
      <c r="G780" s="239"/>
      <c r="H780" s="239"/>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row>
    <row r="781">
      <c r="A781" s="239"/>
      <c r="B781" s="239"/>
      <c r="C781" s="239"/>
      <c r="D781" s="239"/>
      <c r="E781" s="239"/>
      <c r="F781" s="239"/>
      <c r="G781" s="239"/>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row>
    <row r="782">
      <c r="A782" s="239"/>
      <c r="B782" s="239"/>
      <c r="C782" s="239"/>
      <c r="D782" s="239"/>
      <c r="E782" s="239"/>
      <c r="F782" s="239"/>
      <c r="G782" s="239"/>
      <c r="H782" s="239"/>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c r="AK782" s="239"/>
    </row>
    <row r="783">
      <c r="A783" s="239"/>
      <c r="B783" s="239"/>
      <c r="C783" s="239"/>
      <c r="D783" s="239"/>
      <c r="E783" s="239"/>
      <c r="F783" s="239"/>
      <c r="G783" s="239"/>
      <c r="H783" s="239"/>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row>
    <row r="784">
      <c r="A784" s="239"/>
      <c r="B784" s="239"/>
      <c r="C784" s="239"/>
      <c r="D784" s="239"/>
      <c r="E784" s="239"/>
      <c r="F784" s="239"/>
      <c r="G784" s="239"/>
      <c r="H784" s="239"/>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row>
    <row r="785">
      <c r="A785" s="239"/>
      <c r="B785" s="239"/>
      <c r="C785" s="239"/>
      <c r="D785" s="239"/>
      <c r="E785" s="239"/>
      <c r="F785" s="239"/>
      <c r="G785" s="239"/>
      <c r="H785" s="239"/>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row>
    <row r="786">
      <c r="A786" s="239"/>
      <c r="B786" s="239"/>
      <c r="C786" s="239"/>
      <c r="D786" s="239"/>
      <c r="E786" s="239"/>
      <c r="F786" s="239"/>
      <c r="G786" s="239"/>
      <c r="H786" s="239"/>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row>
    <row r="787">
      <c r="A787" s="239"/>
      <c r="B787" s="239"/>
      <c r="C787" s="239"/>
      <c r="D787" s="239"/>
      <c r="E787" s="239"/>
      <c r="F787" s="239"/>
      <c r="G787" s="239"/>
      <c r="H787" s="239"/>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row>
    <row r="788">
      <c r="A788" s="239"/>
      <c r="B788" s="239"/>
      <c r="C788" s="239"/>
      <c r="D788" s="239"/>
      <c r="E788" s="239"/>
      <c r="F788" s="239"/>
      <c r="G788" s="239"/>
      <c r="H788" s="239"/>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row>
    <row r="789">
      <c r="A789" s="239"/>
      <c r="B789" s="239"/>
      <c r="C789" s="239"/>
      <c r="D789" s="239"/>
      <c r="E789" s="239"/>
      <c r="F789" s="239"/>
      <c r="G789" s="239"/>
      <c r="H789" s="239"/>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row>
    <row r="790">
      <c r="A790" s="239"/>
      <c r="B790" s="239"/>
      <c r="C790" s="239"/>
      <c r="D790" s="239"/>
      <c r="E790" s="239"/>
      <c r="F790" s="239"/>
      <c r="G790" s="239"/>
      <c r="H790" s="239"/>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row>
    <row r="791">
      <c r="A791" s="239"/>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row>
    <row r="792">
      <c r="A792" s="239"/>
      <c r="B792" s="239"/>
      <c r="C792" s="239"/>
      <c r="D792" s="239"/>
      <c r="E792" s="239"/>
      <c r="F792" s="239"/>
      <c r="G792" s="239"/>
      <c r="H792" s="239"/>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row>
    <row r="793">
      <c r="A793" s="239"/>
      <c r="B793" s="239"/>
      <c r="C793" s="239"/>
      <c r="D793" s="239"/>
      <c r="E793" s="239"/>
      <c r="F793" s="239"/>
      <c r="G793" s="239"/>
      <c r="H793" s="239"/>
      <c r="I793" s="239"/>
      <c r="J793" s="239"/>
      <c r="K793" s="239"/>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c r="AK793" s="239"/>
    </row>
    <row r="794">
      <c r="A794" s="239"/>
      <c r="B794" s="239"/>
      <c r="C794" s="239"/>
      <c r="D794" s="239"/>
      <c r="E794" s="239"/>
      <c r="F794" s="239"/>
      <c r="G794" s="239"/>
      <c r="H794" s="239"/>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row>
    <row r="795">
      <c r="A795" s="239"/>
      <c r="B795" s="239"/>
      <c r="C795" s="239"/>
      <c r="D795" s="239"/>
      <c r="E795" s="239"/>
      <c r="F795" s="239"/>
      <c r="G795" s="239"/>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row>
    <row r="796">
      <c r="A796" s="239"/>
      <c r="B796" s="239"/>
      <c r="C796" s="239"/>
      <c r="D796" s="239"/>
      <c r="E796" s="239"/>
      <c r="F796" s="239"/>
      <c r="G796" s="239"/>
      <c r="H796" s="239"/>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row>
    <row r="797">
      <c r="A797" s="239"/>
      <c r="B797" s="239"/>
      <c r="C797" s="239"/>
      <c r="D797" s="239"/>
      <c r="E797" s="239"/>
      <c r="F797" s="239"/>
      <c r="G797" s="239"/>
      <c r="H797" s="239"/>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c r="AK797" s="239"/>
    </row>
    <row r="798">
      <c r="A798" s="239"/>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row>
    <row r="799">
      <c r="A799" s="239"/>
      <c r="B799" s="239"/>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row>
    <row r="800">
      <c r="A800" s="239"/>
      <c r="B800" s="239"/>
      <c r="C800" s="239"/>
      <c r="D800" s="239"/>
      <c r="E800" s="239"/>
      <c r="F800" s="239"/>
      <c r="G800" s="239"/>
      <c r="H800" s="239"/>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row>
    <row r="801">
      <c r="A801" s="239"/>
      <c r="B801" s="239"/>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row>
    <row r="802">
      <c r="A802" s="239"/>
      <c r="B802" s="239"/>
      <c r="C802" s="239"/>
      <c r="D802" s="239"/>
      <c r="E802" s="239"/>
      <c r="F802" s="239"/>
      <c r="G802" s="239"/>
      <c r="H802" s="239"/>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row>
    <row r="803">
      <c r="A803" s="239"/>
      <c r="B803" s="239"/>
      <c r="C803" s="239"/>
      <c r="D803" s="239"/>
      <c r="E803" s="239"/>
      <c r="F803" s="239"/>
      <c r="G803" s="239"/>
      <c r="H803" s="239"/>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row>
    <row r="804">
      <c r="A804" s="239"/>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row>
    <row r="805">
      <c r="A805" s="239"/>
      <c r="B805" s="239"/>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row>
    <row r="806">
      <c r="A806" s="239"/>
      <c r="B806" s="239"/>
      <c r="C806" s="239"/>
      <c r="D806" s="239"/>
      <c r="E806" s="239"/>
      <c r="F806" s="239"/>
      <c r="G806" s="239"/>
      <c r="H806" s="239"/>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row>
    <row r="807">
      <c r="A807" s="239"/>
      <c r="B807" s="239"/>
      <c r="C807" s="239"/>
      <c r="D807" s="239"/>
      <c r="E807" s="239"/>
      <c r="F807" s="239"/>
      <c r="G807" s="239"/>
      <c r="H807" s="239"/>
      <c r="I807" s="239"/>
      <c r="J807" s="239"/>
      <c r="K807" s="239"/>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c r="AK807" s="239"/>
    </row>
    <row r="808">
      <c r="A808" s="239"/>
      <c r="B808" s="239"/>
      <c r="C808" s="239"/>
      <c r="D808" s="239"/>
      <c r="E808" s="239"/>
      <c r="F808" s="239"/>
      <c r="G808" s="239"/>
      <c r="H808" s="239"/>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row>
    <row r="809">
      <c r="A809" s="239"/>
      <c r="B809" s="239"/>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row>
    <row r="810">
      <c r="A810" s="239"/>
      <c r="B810" s="239"/>
      <c r="C810" s="239"/>
      <c r="D810" s="239"/>
      <c r="E810" s="239"/>
      <c r="F810" s="239"/>
      <c r="G810" s="239"/>
      <c r="H810" s="239"/>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row>
    <row r="811">
      <c r="A811" s="239"/>
      <c r="B811" s="239"/>
      <c r="C811" s="239"/>
      <c r="D811" s="239"/>
      <c r="E811" s="239"/>
      <c r="F811" s="239"/>
      <c r="G811" s="239"/>
      <c r="H811" s="239"/>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c r="AK811" s="239"/>
    </row>
    <row r="812">
      <c r="A812" s="239"/>
      <c r="B812" s="239"/>
      <c r="C812" s="239"/>
      <c r="D812" s="239"/>
      <c r="E812" s="239"/>
      <c r="F812" s="239"/>
      <c r="G812" s="239"/>
      <c r="H812" s="239"/>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row>
    <row r="813">
      <c r="A813" s="239"/>
      <c r="B813" s="239"/>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row>
    <row r="814">
      <c r="A814" s="239"/>
      <c r="B814" s="239"/>
      <c r="C814" s="239"/>
      <c r="D814" s="239"/>
      <c r="E814" s="239"/>
      <c r="F814" s="239"/>
      <c r="G814" s="239"/>
      <c r="H814" s="239"/>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row>
    <row r="815">
      <c r="A815" s="239"/>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row>
    <row r="816">
      <c r="A816" s="239"/>
      <c r="B816" s="239"/>
      <c r="C816" s="239"/>
      <c r="D816" s="239"/>
      <c r="E816" s="239"/>
      <c r="F816" s="239"/>
      <c r="G816" s="239"/>
      <c r="H816" s="239"/>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row>
    <row r="817">
      <c r="A817" s="239"/>
      <c r="B817" s="239"/>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row>
    <row r="818">
      <c r="A818" s="239"/>
      <c r="B818" s="239"/>
      <c r="C818" s="239"/>
      <c r="D818" s="239"/>
      <c r="E818" s="239"/>
      <c r="F818" s="239"/>
      <c r="G818" s="239"/>
      <c r="H818" s="239"/>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row>
    <row r="819">
      <c r="A819" s="239"/>
      <c r="B819" s="239"/>
      <c r="C819" s="239"/>
      <c r="D819" s="239"/>
      <c r="E819" s="239"/>
      <c r="F819" s="239"/>
      <c r="G819" s="239"/>
      <c r="H819" s="239"/>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row>
    <row r="820">
      <c r="A820" s="239"/>
      <c r="B820" s="239"/>
      <c r="C820" s="239"/>
      <c r="D820" s="239"/>
      <c r="E820" s="239"/>
      <c r="F820" s="239"/>
      <c r="G820" s="239"/>
      <c r="H820" s="239"/>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row>
    <row r="821">
      <c r="A821" s="239"/>
      <c r="B821" s="239"/>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c r="AK821" s="239"/>
    </row>
    <row r="822">
      <c r="A822" s="239"/>
      <c r="B822" s="239"/>
      <c r="C822" s="239"/>
      <c r="D822" s="239"/>
      <c r="E822" s="239"/>
      <c r="F822" s="239"/>
      <c r="G822" s="239"/>
      <c r="H822" s="239"/>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row>
    <row r="823">
      <c r="A823" s="239"/>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row>
    <row r="824">
      <c r="A824" s="239"/>
      <c r="B824" s="239"/>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row>
    <row r="825">
      <c r="A825" s="239"/>
      <c r="B825" s="239"/>
      <c r="C825" s="239"/>
      <c r="D825" s="239"/>
      <c r="E825" s="239"/>
      <c r="F825" s="239"/>
      <c r="G825" s="239"/>
      <c r="H825" s="239"/>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row>
    <row r="826">
      <c r="A826" s="239"/>
      <c r="B826" s="239"/>
      <c r="C826" s="239"/>
      <c r="D826" s="239"/>
      <c r="E826" s="239"/>
      <c r="F826" s="239"/>
      <c r="G826" s="239"/>
      <c r="H826" s="239"/>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row>
    <row r="827">
      <c r="A827" s="239"/>
      <c r="B827" s="239"/>
      <c r="C827" s="239"/>
      <c r="D827" s="239"/>
      <c r="E827" s="239"/>
      <c r="F827" s="239"/>
      <c r="G827" s="239"/>
      <c r="H827" s="239"/>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row>
    <row r="828">
      <c r="A828" s="239"/>
      <c r="B828" s="239"/>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row>
    <row r="829">
      <c r="A829" s="239"/>
      <c r="B829" s="239"/>
      <c r="C829" s="239"/>
      <c r="D829" s="239"/>
      <c r="E829" s="239"/>
      <c r="F829" s="239"/>
      <c r="G829" s="239"/>
      <c r="H829" s="239"/>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row>
    <row r="830">
      <c r="A830" s="239"/>
      <c r="B830" s="239"/>
      <c r="C830" s="239"/>
      <c r="D830" s="239"/>
      <c r="E830" s="239"/>
      <c r="F830" s="239"/>
      <c r="G830" s="239"/>
      <c r="H830" s="239"/>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row>
    <row r="831">
      <c r="A831" s="239"/>
      <c r="B831" s="239"/>
      <c r="C831" s="239"/>
      <c r="D831" s="239"/>
      <c r="E831" s="239"/>
      <c r="F831" s="239"/>
      <c r="G831" s="239"/>
      <c r="H831" s="239"/>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row>
    <row r="832">
      <c r="A832" s="239"/>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row>
    <row r="833">
      <c r="A833" s="239"/>
      <c r="B833" s="239"/>
      <c r="C833" s="239"/>
      <c r="D833" s="239"/>
      <c r="E833" s="239"/>
      <c r="F833" s="239"/>
      <c r="G833" s="239"/>
      <c r="H833" s="239"/>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row>
    <row r="834">
      <c r="A834" s="239"/>
      <c r="B834" s="239"/>
      <c r="C834" s="239"/>
      <c r="D834" s="239"/>
      <c r="E834" s="239"/>
      <c r="F834" s="239"/>
      <c r="G834" s="239"/>
      <c r="H834" s="239"/>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row>
    <row r="835">
      <c r="A835" s="239"/>
      <c r="B835" s="239"/>
      <c r="C835" s="239"/>
      <c r="D835" s="239"/>
      <c r="E835" s="239"/>
      <c r="F835" s="239"/>
      <c r="G835" s="239"/>
      <c r="H835" s="239"/>
      <c r="I835" s="239"/>
      <c r="J835" s="239"/>
      <c r="K835" s="239"/>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c r="AK835" s="239"/>
    </row>
    <row r="836">
      <c r="A836" s="239"/>
      <c r="B836" s="239"/>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row>
    <row r="837">
      <c r="A837" s="239"/>
      <c r="B837" s="239"/>
      <c r="C837" s="239"/>
      <c r="D837" s="239"/>
      <c r="E837" s="239"/>
      <c r="F837" s="239"/>
      <c r="G837" s="239"/>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row>
    <row r="838">
      <c r="A838" s="239"/>
      <c r="B838" s="239"/>
      <c r="C838" s="239"/>
      <c r="D838" s="239"/>
      <c r="E838" s="239"/>
      <c r="F838" s="239"/>
      <c r="G838" s="239"/>
      <c r="H838" s="239"/>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row>
    <row r="839">
      <c r="A839" s="239"/>
      <c r="B839" s="239"/>
      <c r="C839" s="239"/>
      <c r="D839" s="239"/>
      <c r="E839" s="239"/>
      <c r="F839" s="239"/>
      <c r="G839" s="239"/>
      <c r="H839" s="239"/>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row>
    <row r="840">
      <c r="A840" s="239"/>
      <c r="B840" s="239"/>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row>
    <row r="841">
      <c r="A841" s="239"/>
      <c r="B841" s="239"/>
      <c r="C841" s="239"/>
      <c r="D841" s="239"/>
      <c r="E841" s="239"/>
      <c r="F841" s="239"/>
      <c r="G841" s="239"/>
      <c r="H841" s="239"/>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row>
    <row r="842">
      <c r="A842" s="239"/>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row>
    <row r="843">
      <c r="A843" s="239"/>
      <c r="B843" s="239"/>
      <c r="C843" s="239"/>
      <c r="D843" s="239"/>
      <c r="E843" s="239"/>
      <c r="F843" s="239"/>
      <c r="G843" s="239"/>
      <c r="H843" s="239"/>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row>
    <row r="844">
      <c r="A844" s="239"/>
      <c r="B844" s="239"/>
      <c r="C844" s="239"/>
      <c r="D844" s="239"/>
      <c r="E844" s="239"/>
      <c r="F844" s="239"/>
      <c r="G844" s="239"/>
      <c r="H844" s="239"/>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row>
    <row r="845">
      <c r="A845" s="239"/>
      <c r="B845" s="239"/>
      <c r="C845" s="239"/>
      <c r="D845" s="239"/>
      <c r="E845" s="239"/>
      <c r="F845" s="239"/>
      <c r="G845" s="239"/>
      <c r="H845" s="239"/>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row>
    <row r="846">
      <c r="A846" s="239"/>
      <c r="B846" s="239"/>
      <c r="C846" s="239"/>
      <c r="D846" s="239"/>
      <c r="E846" s="239"/>
      <c r="F846" s="239"/>
      <c r="G846" s="239"/>
      <c r="H846" s="239"/>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row>
    <row r="847">
      <c r="A847" s="239"/>
      <c r="B847" s="239"/>
      <c r="C847" s="239"/>
      <c r="D847" s="239"/>
      <c r="E847" s="239"/>
      <c r="F847" s="239"/>
      <c r="G847" s="239"/>
      <c r="H847" s="239"/>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row>
    <row r="848">
      <c r="A848" s="239"/>
      <c r="B848" s="239"/>
      <c r="C848" s="239"/>
      <c r="D848" s="239"/>
      <c r="E848" s="239"/>
      <c r="F848" s="239"/>
      <c r="G848" s="239"/>
      <c r="H848" s="239"/>
      <c r="I848" s="239"/>
      <c r="J848" s="239"/>
      <c r="K848" s="239"/>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c r="AK848" s="239"/>
    </row>
    <row r="849">
      <c r="A849" s="239"/>
      <c r="B849" s="239"/>
      <c r="C849" s="239"/>
      <c r="D849" s="239"/>
      <c r="E849" s="239"/>
      <c r="F849" s="239"/>
      <c r="G849" s="239"/>
      <c r="H849" s="239"/>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row>
    <row r="850">
      <c r="A850" s="239"/>
      <c r="B850" s="239"/>
      <c r="C850" s="239"/>
      <c r="D850" s="239"/>
      <c r="E850" s="239"/>
      <c r="F850" s="239"/>
      <c r="G850" s="239"/>
      <c r="H850" s="239"/>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row>
    <row r="851">
      <c r="A851" s="239"/>
      <c r="B851" s="239"/>
      <c r="C851" s="239"/>
      <c r="D851" s="239"/>
      <c r="E851" s="239"/>
      <c r="F851" s="239"/>
      <c r="G851" s="239"/>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row>
    <row r="852">
      <c r="A852" s="239"/>
      <c r="B852" s="239"/>
      <c r="C852" s="239"/>
      <c r="D852" s="239"/>
      <c r="E852" s="239"/>
      <c r="F852" s="239"/>
      <c r="G852" s="239"/>
      <c r="H852" s="239"/>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row>
    <row r="853">
      <c r="A853" s="239"/>
      <c r="B853" s="239"/>
      <c r="C853" s="239"/>
      <c r="D853" s="239"/>
      <c r="E853" s="239"/>
      <c r="F853" s="239"/>
      <c r="G853" s="239"/>
      <c r="H853" s="239"/>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row>
    <row r="854">
      <c r="A854" s="239"/>
      <c r="B854" s="239"/>
      <c r="C854" s="239"/>
      <c r="D854" s="239"/>
      <c r="E854" s="239"/>
      <c r="F854" s="239"/>
      <c r="G854" s="239"/>
      <c r="H854" s="239"/>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row>
    <row r="855">
      <c r="A855" s="239"/>
      <c r="B855" s="239"/>
      <c r="C855" s="239"/>
      <c r="D855" s="239"/>
      <c r="E855" s="239"/>
      <c r="F855" s="239"/>
      <c r="G855" s="239"/>
      <c r="H855" s="239"/>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row>
    <row r="856">
      <c r="A856" s="239"/>
      <c r="B856" s="239"/>
      <c r="C856" s="239"/>
      <c r="D856" s="239"/>
      <c r="E856" s="239"/>
      <c r="F856" s="239"/>
      <c r="G856" s="239"/>
      <c r="H856" s="239"/>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row>
    <row r="857">
      <c r="A857" s="239"/>
      <c r="B857" s="239"/>
      <c r="C857" s="239"/>
      <c r="D857" s="239"/>
      <c r="E857" s="239"/>
      <c r="F857" s="239"/>
      <c r="G857" s="239"/>
      <c r="H857" s="239"/>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row>
    <row r="858">
      <c r="A858" s="239"/>
      <c r="B858" s="239"/>
      <c r="C858" s="239"/>
      <c r="D858" s="239"/>
      <c r="E858" s="239"/>
      <c r="F858" s="239"/>
      <c r="G858" s="239"/>
      <c r="H858" s="239"/>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row>
    <row r="859">
      <c r="A859" s="239"/>
      <c r="B859" s="239"/>
      <c r="C859" s="239"/>
      <c r="D859" s="239"/>
      <c r="E859" s="239"/>
      <c r="F859" s="239"/>
      <c r="G859" s="239"/>
      <c r="H859" s="239"/>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row>
    <row r="860">
      <c r="A860" s="239"/>
      <c r="B860" s="239"/>
      <c r="C860" s="239"/>
      <c r="D860" s="239"/>
      <c r="E860" s="239"/>
      <c r="F860" s="239"/>
      <c r="G860" s="239"/>
      <c r="H860" s="239"/>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row>
    <row r="861">
      <c r="A861" s="239"/>
      <c r="B861" s="239"/>
      <c r="C861" s="239"/>
      <c r="D861" s="239"/>
      <c r="E861" s="239"/>
      <c r="F861" s="239"/>
      <c r="G861" s="239"/>
      <c r="H861" s="239"/>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row>
    <row r="862">
      <c r="A862" s="239"/>
      <c r="B862" s="239"/>
      <c r="C862" s="239"/>
      <c r="D862" s="239"/>
      <c r="E862" s="239"/>
      <c r="F862" s="239"/>
      <c r="G862" s="239"/>
      <c r="H862" s="239"/>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row>
    <row r="863">
      <c r="A863" s="239"/>
      <c r="B863" s="239"/>
      <c r="C863" s="239"/>
      <c r="D863" s="239"/>
      <c r="E863" s="239"/>
      <c r="F863" s="239"/>
      <c r="G863" s="239"/>
      <c r="H863" s="239"/>
      <c r="I863" s="239"/>
      <c r="J863" s="239"/>
      <c r="K863" s="239"/>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c r="AK863" s="239"/>
    </row>
    <row r="864">
      <c r="A864" s="239"/>
      <c r="B864" s="239"/>
      <c r="C864" s="239"/>
      <c r="D864" s="239"/>
      <c r="E864" s="239"/>
      <c r="F864" s="239"/>
      <c r="G864" s="239"/>
      <c r="H864" s="239"/>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row>
    <row r="865">
      <c r="A865" s="239"/>
      <c r="B865" s="239"/>
      <c r="C865" s="239"/>
      <c r="D865" s="239"/>
      <c r="E865" s="239"/>
      <c r="F865" s="239"/>
      <c r="G865" s="239"/>
      <c r="H865" s="239"/>
      <c r="I865" s="239"/>
      <c r="J865" s="239"/>
      <c r="K865" s="239"/>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c r="AK865" s="239"/>
    </row>
    <row r="866">
      <c r="A866" s="239"/>
      <c r="B866" s="239"/>
      <c r="C866" s="239"/>
      <c r="D866" s="239"/>
      <c r="E866" s="239"/>
      <c r="F866" s="239"/>
      <c r="G866" s="239"/>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row>
    <row r="867">
      <c r="A867" s="239"/>
      <c r="B867" s="239"/>
      <c r="C867" s="239"/>
      <c r="D867" s="239"/>
      <c r="E867" s="239"/>
      <c r="F867" s="239"/>
      <c r="G867" s="239"/>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row>
    <row r="868">
      <c r="A868" s="239"/>
      <c r="B868" s="239"/>
      <c r="C868" s="239"/>
      <c r="D868" s="239"/>
      <c r="E868" s="239"/>
      <c r="F868" s="239"/>
      <c r="G868" s="239"/>
      <c r="H868" s="239"/>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row>
    <row r="869">
      <c r="A869" s="239"/>
      <c r="B869" s="239"/>
      <c r="C869" s="239"/>
      <c r="D869" s="239"/>
      <c r="E869" s="239"/>
      <c r="F869" s="239"/>
      <c r="G869" s="239"/>
      <c r="H869" s="239"/>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row>
    <row r="870">
      <c r="A870" s="239"/>
      <c r="B870" s="239"/>
      <c r="C870" s="239"/>
      <c r="D870" s="239"/>
      <c r="E870" s="239"/>
      <c r="F870" s="239"/>
      <c r="G870" s="239"/>
      <c r="H870" s="239"/>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row>
    <row r="871">
      <c r="A871" s="239"/>
      <c r="B871" s="239"/>
      <c r="C871" s="239"/>
      <c r="D871" s="239"/>
      <c r="E871" s="239"/>
      <c r="F871" s="239"/>
      <c r="G871" s="239"/>
      <c r="H871" s="239"/>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row>
    <row r="872">
      <c r="A872" s="239"/>
      <c r="B872" s="239"/>
      <c r="C872" s="239"/>
      <c r="D872" s="239"/>
      <c r="E872" s="239"/>
      <c r="F872" s="239"/>
      <c r="G872" s="239"/>
      <c r="H872" s="239"/>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row>
    <row r="873">
      <c r="A873" s="239"/>
      <c r="B873" s="239"/>
      <c r="C873" s="239"/>
      <c r="D873" s="239"/>
      <c r="E873" s="239"/>
      <c r="F873" s="239"/>
      <c r="G873" s="239"/>
      <c r="H873" s="239"/>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c r="AK873" s="239"/>
    </row>
    <row r="874">
      <c r="A874" s="239"/>
      <c r="B874" s="239"/>
      <c r="C874" s="239"/>
      <c r="D874" s="239"/>
      <c r="E874" s="239"/>
      <c r="F874" s="239"/>
      <c r="G874" s="239"/>
      <c r="H874" s="239"/>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row>
    <row r="875">
      <c r="A875" s="239"/>
      <c r="B875" s="239"/>
      <c r="C875" s="239"/>
      <c r="D875" s="239"/>
      <c r="E875" s="239"/>
      <c r="F875" s="239"/>
      <c r="G875" s="239"/>
      <c r="H875" s="239"/>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row>
    <row r="876">
      <c r="A876" s="239"/>
      <c r="B876" s="239"/>
      <c r="C876" s="239"/>
      <c r="D876" s="239"/>
      <c r="E876" s="239"/>
      <c r="F876" s="239"/>
      <c r="G876" s="239"/>
      <c r="H876" s="239"/>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row>
    <row r="877">
      <c r="A877" s="239"/>
      <c r="B877" s="239"/>
      <c r="C877" s="239"/>
      <c r="D877" s="239"/>
      <c r="E877" s="239"/>
      <c r="F877" s="239"/>
      <c r="G877" s="239"/>
      <c r="H877" s="239"/>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row>
    <row r="878">
      <c r="A878" s="239"/>
      <c r="B878" s="239"/>
      <c r="C878" s="239"/>
      <c r="D878" s="239"/>
      <c r="E878" s="239"/>
      <c r="F878" s="239"/>
      <c r="G878" s="239"/>
      <c r="H878" s="239"/>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row>
    <row r="879">
      <c r="A879" s="239"/>
      <c r="B879" s="239"/>
      <c r="C879" s="239"/>
      <c r="D879" s="239"/>
      <c r="E879" s="239"/>
      <c r="F879" s="239"/>
      <c r="G879" s="239"/>
      <c r="H879" s="239"/>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row>
    <row r="880">
      <c r="A880" s="239"/>
      <c r="B880" s="239"/>
      <c r="C880" s="239"/>
      <c r="D880" s="239"/>
      <c r="E880" s="239"/>
      <c r="F880" s="239"/>
      <c r="G880" s="239"/>
      <c r="H880" s="239"/>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row>
    <row r="881">
      <c r="A881" s="239"/>
      <c r="B881" s="239"/>
      <c r="C881" s="239"/>
      <c r="D881" s="239"/>
      <c r="E881" s="239"/>
      <c r="F881" s="239"/>
      <c r="G881" s="239"/>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row>
    <row r="882">
      <c r="A882" s="239"/>
      <c r="B882" s="239"/>
      <c r="C882" s="239"/>
      <c r="D882" s="239"/>
      <c r="E882" s="239"/>
      <c r="F882" s="239"/>
      <c r="G882" s="239"/>
      <c r="H882" s="239"/>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row>
    <row r="883">
      <c r="A883" s="239"/>
      <c r="B883" s="239"/>
      <c r="C883" s="239"/>
      <c r="D883" s="239"/>
      <c r="E883" s="239"/>
      <c r="F883" s="239"/>
      <c r="G883" s="239"/>
      <c r="H883" s="239"/>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row>
    <row r="884">
      <c r="A884" s="239"/>
      <c r="B884" s="239"/>
      <c r="C884" s="239"/>
      <c r="D884" s="239"/>
      <c r="E884" s="239"/>
      <c r="F884" s="239"/>
      <c r="G884" s="239"/>
      <c r="H884" s="239"/>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row>
    <row r="885">
      <c r="A885" s="239"/>
      <c r="B885" s="239"/>
      <c r="C885" s="239"/>
      <c r="D885" s="239"/>
      <c r="E885" s="239"/>
      <c r="F885" s="239"/>
      <c r="G885" s="239"/>
      <c r="H885" s="239"/>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row>
    <row r="886">
      <c r="A886" s="239"/>
      <c r="B886" s="239"/>
      <c r="C886" s="239"/>
      <c r="D886" s="239"/>
      <c r="E886" s="239"/>
      <c r="F886" s="239"/>
      <c r="G886" s="239"/>
      <c r="H886" s="239"/>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c r="AK886" s="239"/>
    </row>
    <row r="887">
      <c r="A887" s="239"/>
      <c r="B887" s="239"/>
      <c r="C887" s="239"/>
      <c r="D887" s="239"/>
      <c r="E887" s="239"/>
      <c r="F887" s="239"/>
      <c r="G887" s="239"/>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row>
    <row r="888">
      <c r="A888" s="239"/>
      <c r="B888" s="239"/>
      <c r="C888" s="239"/>
      <c r="D888" s="239"/>
      <c r="E888" s="239"/>
      <c r="F888" s="239"/>
      <c r="G888" s="239"/>
      <c r="H888" s="239"/>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row>
    <row r="889">
      <c r="A889" s="239"/>
      <c r="B889" s="239"/>
      <c r="C889" s="239"/>
      <c r="D889" s="239"/>
      <c r="E889" s="239"/>
      <c r="F889" s="239"/>
      <c r="G889" s="239"/>
      <c r="H889" s="239"/>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row>
    <row r="890">
      <c r="A890" s="239"/>
      <c r="B890" s="239"/>
      <c r="C890" s="239"/>
      <c r="D890" s="239"/>
      <c r="E890" s="239"/>
      <c r="F890" s="239"/>
      <c r="G890" s="239"/>
      <c r="H890" s="239"/>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row>
    <row r="891">
      <c r="A891" s="239"/>
      <c r="B891" s="239"/>
      <c r="C891" s="239"/>
      <c r="D891" s="239"/>
      <c r="E891" s="239"/>
      <c r="F891" s="239"/>
      <c r="G891" s="239"/>
      <c r="H891" s="239"/>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row>
    <row r="892">
      <c r="A892" s="239"/>
      <c r="B892" s="239"/>
      <c r="C892" s="239"/>
      <c r="D892" s="239"/>
      <c r="E892" s="239"/>
      <c r="F892" s="239"/>
      <c r="G892" s="239"/>
      <c r="H892" s="239"/>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row>
    <row r="893">
      <c r="A893" s="239"/>
      <c r="B893" s="239"/>
      <c r="C893" s="239"/>
      <c r="D893" s="239"/>
      <c r="E893" s="239"/>
      <c r="F893" s="239"/>
      <c r="G893" s="239"/>
      <c r="H893" s="239"/>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row>
    <row r="894">
      <c r="A894" s="239"/>
      <c r="B894" s="239"/>
      <c r="C894" s="239"/>
      <c r="D894" s="239"/>
      <c r="E894" s="239"/>
      <c r="F894" s="239"/>
      <c r="G894" s="239"/>
      <c r="H894" s="239"/>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row>
    <row r="895">
      <c r="A895" s="239"/>
      <c r="B895" s="239"/>
      <c r="C895" s="239"/>
      <c r="D895" s="239"/>
      <c r="E895" s="239"/>
      <c r="F895" s="239"/>
      <c r="G895" s="239"/>
      <c r="H895" s="239"/>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row>
    <row r="896">
      <c r="A896" s="239"/>
      <c r="B896" s="239"/>
      <c r="C896" s="239"/>
      <c r="D896" s="239"/>
      <c r="E896" s="239"/>
      <c r="F896" s="239"/>
      <c r="G896" s="239"/>
      <c r="H896" s="239"/>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row>
    <row r="897">
      <c r="A897" s="239"/>
      <c r="B897" s="239"/>
      <c r="C897" s="239"/>
      <c r="D897" s="239"/>
      <c r="E897" s="239"/>
      <c r="F897" s="239"/>
      <c r="G897" s="239"/>
      <c r="H897" s="239"/>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row>
    <row r="898">
      <c r="A898" s="239"/>
      <c r="B898" s="239"/>
      <c r="C898" s="239"/>
      <c r="D898" s="239"/>
      <c r="E898" s="239"/>
      <c r="F898" s="239"/>
      <c r="G898" s="239"/>
      <c r="H898" s="239"/>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row>
    <row r="899">
      <c r="A899" s="239"/>
      <c r="B899" s="239"/>
      <c r="C899" s="239"/>
      <c r="D899" s="239"/>
      <c r="E899" s="239"/>
      <c r="F899" s="239"/>
      <c r="G899" s="239"/>
      <c r="H899" s="239"/>
      <c r="I899" s="239"/>
      <c r="J899" s="239"/>
      <c r="K899" s="239"/>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c r="AK899" s="239"/>
    </row>
    <row r="900">
      <c r="A900" s="239"/>
      <c r="B900" s="239"/>
      <c r="C900" s="239"/>
      <c r="D900" s="239"/>
      <c r="E900" s="239"/>
      <c r="F900" s="239"/>
      <c r="G900" s="239"/>
      <c r="H900" s="239"/>
      <c r="I900" s="239"/>
      <c r="J900" s="239"/>
      <c r="K900" s="239"/>
      <c r="L900" s="239"/>
      <c r="M900" s="239"/>
      <c r="N900" s="239"/>
      <c r="O900" s="239"/>
      <c r="P900" s="239"/>
      <c r="Q900" s="239"/>
      <c r="R900" s="239"/>
      <c r="S900" s="239"/>
      <c r="T900" s="239"/>
      <c r="U900" s="239"/>
      <c r="V900" s="239"/>
      <c r="W900" s="239"/>
      <c r="X900" s="239"/>
      <c r="Y900" s="239"/>
      <c r="Z900" s="239"/>
      <c r="AA900" s="239"/>
      <c r="AB900" s="239"/>
      <c r="AC900" s="239"/>
      <c r="AD900" s="239"/>
      <c r="AE900" s="239"/>
      <c r="AF900" s="239"/>
      <c r="AG900" s="239"/>
      <c r="AH900" s="239"/>
      <c r="AI900" s="239"/>
      <c r="AJ900" s="239"/>
      <c r="AK900" s="239"/>
    </row>
    <row r="901">
      <c r="A901" s="239"/>
      <c r="B901" s="239"/>
      <c r="C901" s="239"/>
      <c r="D901" s="239"/>
      <c r="E901" s="239"/>
      <c r="F901" s="239"/>
      <c r="G901" s="239"/>
      <c r="H901" s="239"/>
      <c r="I901" s="239"/>
      <c r="J901" s="239"/>
      <c r="K901" s="239"/>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c r="AK901" s="239"/>
    </row>
    <row r="902">
      <c r="A902" s="239"/>
      <c r="B902" s="239"/>
      <c r="C902" s="239"/>
      <c r="D902" s="239"/>
      <c r="E902" s="239"/>
      <c r="F902" s="239"/>
      <c r="G902" s="239"/>
      <c r="H902" s="239"/>
      <c r="I902" s="239"/>
      <c r="J902" s="239"/>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c r="AK902" s="239"/>
    </row>
    <row r="903">
      <c r="A903" s="239"/>
      <c r="B903" s="239"/>
      <c r="C903" s="239"/>
      <c r="D903" s="239"/>
      <c r="E903" s="239"/>
      <c r="F903" s="239"/>
      <c r="G903" s="239"/>
      <c r="H903" s="239"/>
      <c r="I903" s="239"/>
      <c r="J903" s="239"/>
      <c r="K903" s="239"/>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c r="AK903" s="239"/>
    </row>
    <row r="904">
      <c r="A904" s="239"/>
      <c r="B904" s="239"/>
      <c r="C904" s="239"/>
      <c r="D904" s="239"/>
      <c r="E904" s="239"/>
      <c r="F904" s="239"/>
      <c r="G904" s="239"/>
      <c r="H904" s="239"/>
      <c r="I904" s="239"/>
      <c r="J904" s="239"/>
      <c r="K904" s="239"/>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c r="AK904" s="239"/>
    </row>
    <row r="905">
      <c r="A905" s="239"/>
      <c r="B905" s="239"/>
      <c r="C905" s="239"/>
      <c r="D905" s="239"/>
      <c r="E905" s="239"/>
      <c r="F905" s="239"/>
      <c r="G905" s="239"/>
      <c r="H905" s="239"/>
      <c r="I905" s="239"/>
      <c r="J905" s="239"/>
      <c r="K905" s="239"/>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c r="AK905" s="239"/>
    </row>
    <row r="906">
      <c r="A906" s="239"/>
      <c r="B906" s="239"/>
      <c r="C906" s="239"/>
      <c r="D906" s="239"/>
      <c r="E906" s="239"/>
      <c r="F906" s="239"/>
      <c r="G906" s="239"/>
      <c r="H906" s="239"/>
      <c r="I906" s="239"/>
      <c r="J906" s="239"/>
      <c r="K906" s="239"/>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c r="AK906" s="239"/>
    </row>
    <row r="907">
      <c r="A907" s="239"/>
      <c r="B907" s="239"/>
      <c r="C907" s="239"/>
      <c r="D907" s="239"/>
      <c r="E907" s="239"/>
      <c r="F907" s="239"/>
      <c r="G907" s="239"/>
      <c r="H907" s="239"/>
      <c r="I907" s="239"/>
      <c r="J907" s="239"/>
      <c r="K907" s="239"/>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c r="AK907" s="239"/>
    </row>
    <row r="908">
      <c r="A908" s="239"/>
      <c r="B908" s="239"/>
      <c r="C908" s="239"/>
      <c r="D908" s="239"/>
      <c r="E908" s="239"/>
      <c r="F908" s="239"/>
      <c r="G908" s="239"/>
      <c r="H908" s="239"/>
      <c r="I908" s="239"/>
      <c r="J908" s="239"/>
      <c r="K908" s="239"/>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c r="AK908" s="239"/>
    </row>
    <row r="909">
      <c r="A909" s="239"/>
      <c r="B909" s="239"/>
      <c r="C909" s="239"/>
      <c r="D909" s="239"/>
      <c r="E909" s="239"/>
      <c r="F909" s="239"/>
      <c r="G909" s="239"/>
      <c r="H909" s="239"/>
      <c r="I909" s="239"/>
      <c r="J909" s="239"/>
      <c r="K909" s="239"/>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c r="AK909" s="239"/>
    </row>
    <row r="910">
      <c r="A910" s="239"/>
      <c r="B910" s="239"/>
      <c r="C910" s="239"/>
      <c r="D910" s="239"/>
      <c r="E910" s="239"/>
      <c r="F910" s="239"/>
      <c r="G910" s="239"/>
      <c r="H910" s="239"/>
      <c r="I910" s="239"/>
      <c r="J910" s="239"/>
      <c r="K910" s="239"/>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c r="AK910" s="239"/>
    </row>
    <row r="911">
      <c r="A911" s="239"/>
      <c r="B911" s="239"/>
      <c r="C911" s="239"/>
      <c r="D911" s="239"/>
      <c r="E911" s="239"/>
      <c r="F911" s="239"/>
      <c r="G911" s="239"/>
      <c r="H911" s="239"/>
      <c r="I911" s="239"/>
      <c r="J911" s="239"/>
      <c r="K911" s="239"/>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c r="AK911" s="239"/>
    </row>
    <row r="912">
      <c r="A912" s="239"/>
      <c r="B912" s="239"/>
      <c r="C912" s="239"/>
      <c r="D912" s="239"/>
      <c r="E912" s="239"/>
      <c r="F912" s="239"/>
      <c r="G912" s="239"/>
      <c r="H912" s="239"/>
      <c r="I912" s="239"/>
      <c r="J912" s="239"/>
      <c r="K912" s="239"/>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c r="AK912" s="239"/>
    </row>
    <row r="913">
      <c r="A913" s="239"/>
      <c r="B913" s="239"/>
      <c r="C913" s="239"/>
      <c r="D913" s="239"/>
      <c r="E913" s="239"/>
      <c r="F913" s="239"/>
      <c r="G913" s="239"/>
      <c r="H913" s="239"/>
      <c r="I913" s="239"/>
      <c r="J913" s="239"/>
      <c r="K913" s="239"/>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c r="AK913" s="239"/>
    </row>
    <row r="914">
      <c r="A914" s="239"/>
      <c r="B914" s="239"/>
      <c r="C914" s="239"/>
      <c r="D914" s="239"/>
      <c r="E914" s="239"/>
      <c r="F914" s="239"/>
      <c r="G914" s="239"/>
      <c r="H914" s="239"/>
      <c r="I914" s="239"/>
      <c r="J914" s="239"/>
      <c r="K914" s="239"/>
      <c r="L914" s="239"/>
      <c r="M914" s="239"/>
      <c r="N914" s="239"/>
      <c r="O914" s="239"/>
      <c r="P914" s="239"/>
      <c r="Q914" s="239"/>
      <c r="R914" s="239"/>
      <c r="S914" s="239"/>
      <c r="T914" s="239"/>
      <c r="U914" s="239"/>
      <c r="V914" s="239"/>
      <c r="W914" s="239"/>
      <c r="X914" s="239"/>
      <c r="Y914" s="239"/>
      <c r="Z914" s="239"/>
      <c r="AA914" s="239"/>
      <c r="AB914" s="239"/>
      <c r="AC914" s="239"/>
      <c r="AD914" s="239"/>
      <c r="AE914" s="239"/>
      <c r="AF914" s="239"/>
      <c r="AG914" s="239"/>
      <c r="AH914" s="239"/>
      <c r="AI914" s="239"/>
      <c r="AJ914" s="239"/>
      <c r="AK914" s="239"/>
    </row>
    <row r="915">
      <c r="A915" s="239"/>
      <c r="B915" s="239"/>
      <c r="C915" s="239"/>
      <c r="D915" s="239"/>
      <c r="E915" s="239"/>
      <c r="F915" s="239"/>
      <c r="G915" s="239"/>
      <c r="H915" s="239"/>
      <c r="I915" s="239"/>
      <c r="J915" s="239"/>
      <c r="K915" s="239"/>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c r="AK915" s="239"/>
    </row>
    <row r="916">
      <c r="A916" s="239"/>
      <c r="B916" s="239"/>
      <c r="C916" s="239"/>
      <c r="D916" s="239"/>
      <c r="E916" s="239"/>
      <c r="F916" s="239"/>
      <c r="G916" s="239"/>
      <c r="H916" s="239"/>
      <c r="I916" s="239"/>
      <c r="J916" s="239"/>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c r="AK916" s="239"/>
    </row>
    <row r="917">
      <c r="A917" s="239"/>
      <c r="B917" s="239"/>
      <c r="C917" s="239"/>
      <c r="D917" s="239"/>
      <c r="E917" s="239"/>
      <c r="F917" s="239"/>
      <c r="G917" s="239"/>
      <c r="H917" s="239"/>
      <c r="I917" s="239"/>
      <c r="J917" s="239"/>
      <c r="K917" s="239"/>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c r="AK917" s="239"/>
    </row>
    <row r="918">
      <c r="A918" s="239"/>
      <c r="B918" s="239"/>
      <c r="C918" s="239"/>
      <c r="D918" s="239"/>
      <c r="E918" s="239"/>
      <c r="F918" s="239"/>
      <c r="G918" s="239"/>
      <c r="H918" s="239"/>
      <c r="I918" s="239"/>
      <c r="J918" s="239"/>
      <c r="K918" s="239"/>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c r="AK918" s="239"/>
    </row>
    <row r="919">
      <c r="A919" s="239"/>
      <c r="B919" s="239"/>
      <c r="C919" s="239"/>
      <c r="D919" s="239"/>
      <c r="E919" s="239"/>
      <c r="F919" s="239"/>
      <c r="G919" s="239"/>
      <c r="H919" s="239"/>
      <c r="I919" s="239"/>
      <c r="J919" s="239"/>
      <c r="K919" s="239"/>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c r="AK919" s="239"/>
    </row>
    <row r="920">
      <c r="A920" s="239"/>
      <c r="B920" s="239"/>
      <c r="C920" s="239"/>
      <c r="D920" s="239"/>
      <c r="E920" s="239"/>
      <c r="F920" s="239"/>
      <c r="G920" s="239"/>
      <c r="H920" s="239"/>
      <c r="I920" s="239"/>
      <c r="J920" s="239"/>
      <c r="K920" s="239"/>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c r="AK920" s="239"/>
    </row>
    <row r="921">
      <c r="A921" s="239"/>
      <c r="B921" s="239"/>
      <c r="C921" s="239"/>
      <c r="D921" s="239"/>
      <c r="E921" s="239"/>
      <c r="F921" s="239"/>
      <c r="G921" s="239"/>
      <c r="H921" s="239"/>
      <c r="I921" s="239"/>
      <c r="J921" s="239"/>
      <c r="K921" s="239"/>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c r="AK921" s="239"/>
    </row>
    <row r="922">
      <c r="A922" s="239"/>
      <c r="B922" s="239"/>
      <c r="C922" s="239"/>
      <c r="D922" s="239"/>
      <c r="E922" s="239"/>
      <c r="F922" s="239"/>
      <c r="G922" s="239"/>
      <c r="H922" s="239"/>
      <c r="I922" s="239"/>
      <c r="J922" s="239"/>
      <c r="K922" s="239"/>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c r="AK922" s="239"/>
    </row>
    <row r="923">
      <c r="A923" s="239"/>
      <c r="B923" s="239"/>
      <c r="C923" s="239"/>
      <c r="D923" s="239"/>
      <c r="E923" s="239"/>
      <c r="F923" s="239"/>
      <c r="G923" s="239"/>
      <c r="H923" s="239"/>
      <c r="I923" s="239"/>
      <c r="J923" s="239"/>
      <c r="K923" s="239"/>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c r="AK923" s="239"/>
    </row>
    <row r="924">
      <c r="A924" s="239"/>
      <c r="B924" s="239"/>
      <c r="C924" s="239"/>
      <c r="D924" s="239"/>
      <c r="E924" s="239"/>
      <c r="F924" s="239"/>
      <c r="G924" s="239"/>
      <c r="H924" s="239"/>
      <c r="I924" s="239"/>
      <c r="J924" s="239"/>
      <c r="K924" s="239"/>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c r="AK924" s="239"/>
    </row>
    <row r="925">
      <c r="A925" s="239"/>
      <c r="B925" s="239"/>
      <c r="C925" s="239"/>
      <c r="D925" s="239"/>
      <c r="E925" s="239"/>
      <c r="F925" s="239"/>
      <c r="G925" s="239"/>
      <c r="H925" s="239"/>
      <c r="I925" s="239"/>
      <c r="J925" s="239"/>
      <c r="K925" s="239"/>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c r="AK925" s="239"/>
    </row>
    <row r="926">
      <c r="A926" s="239"/>
      <c r="B926" s="239"/>
      <c r="C926" s="239"/>
      <c r="D926" s="239"/>
      <c r="E926" s="239"/>
      <c r="F926" s="239"/>
      <c r="G926" s="239"/>
      <c r="H926" s="239"/>
      <c r="I926" s="239"/>
      <c r="J926" s="239"/>
      <c r="K926" s="239"/>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c r="AK926" s="239"/>
    </row>
    <row r="927">
      <c r="A927" s="239"/>
      <c r="B927" s="239"/>
      <c r="C927" s="239"/>
      <c r="D927" s="239"/>
      <c r="E927" s="239"/>
      <c r="F927" s="239"/>
      <c r="G927" s="239"/>
      <c r="H927" s="239"/>
      <c r="I927" s="239"/>
      <c r="J927" s="239"/>
      <c r="K927" s="239"/>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c r="AK927" s="239"/>
    </row>
    <row r="928">
      <c r="A928" s="239"/>
      <c r="B928" s="239"/>
      <c r="C928" s="239"/>
      <c r="D928" s="239"/>
      <c r="E928" s="239"/>
      <c r="F928" s="239"/>
      <c r="G928" s="239"/>
      <c r="H928" s="239"/>
      <c r="I928" s="239"/>
      <c r="J928" s="239"/>
      <c r="K928" s="239"/>
      <c r="L928" s="239"/>
      <c r="M928" s="239"/>
      <c r="N928" s="239"/>
      <c r="O928" s="239"/>
      <c r="P928" s="239"/>
      <c r="Q928" s="239"/>
      <c r="R928" s="239"/>
      <c r="S928" s="239"/>
      <c r="T928" s="239"/>
      <c r="U928" s="239"/>
      <c r="V928" s="239"/>
      <c r="W928" s="239"/>
      <c r="X928" s="239"/>
      <c r="Y928" s="239"/>
      <c r="Z928" s="239"/>
      <c r="AA928" s="239"/>
      <c r="AB928" s="239"/>
      <c r="AC928" s="239"/>
      <c r="AD928" s="239"/>
      <c r="AE928" s="239"/>
      <c r="AF928" s="239"/>
      <c r="AG928" s="239"/>
      <c r="AH928" s="239"/>
      <c r="AI928" s="239"/>
      <c r="AJ928" s="239"/>
      <c r="AK928" s="239"/>
    </row>
    <row r="929">
      <c r="A929" s="239"/>
      <c r="B929" s="239"/>
      <c r="C929" s="239"/>
      <c r="D929" s="239"/>
      <c r="E929" s="239"/>
      <c r="F929" s="239"/>
      <c r="G929" s="239"/>
      <c r="H929" s="239"/>
      <c r="I929" s="239"/>
      <c r="J929" s="239"/>
      <c r="K929" s="239"/>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c r="AK929" s="239"/>
    </row>
    <row r="930">
      <c r="A930" s="239"/>
      <c r="B930" s="239"/>
      <c r="C930" s="239"/>
      <c r="D930" s="239"/>
      <c r="E930" s="239"/>
      <c r="F930" s="239"/>
      <c r="G930" s="239"/>
      <c r="H930" s="239"/>
      <c r="I930" s="239"/>
      <c r="J930" s="239"/>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c r="AK930" s="239"/>
    </row>
    <row r="931">
      <c r="A931" s="239"/>
      <c r="B931" s="239"/>
      <c r="C931" s="239"/>
      <c r="D931" s="239"/>
      <c r="E931" s="239"/>
      <c r="F931" s="239"/>
      <c r="G931" s="239"/>
      <c r="H931" s="239"/>
      <c r="I931" s="239"/>
      <c r="J931" s="239"/>
      <c r="K931" s="239"/>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c r="AK931" s="239"/>
    </row>
    <row r="932">
      <c r="A932" s="239"/>
      <c r="B932" s="239"/>
      <c r="C932" s="239"/>
      <c r="D932" s="239"/>
      <c r="E932" s="239"/>
      <c r="F932" s="239"/>
      <c r="G932" s="239"/>
      <c r="H932" s="239"/>
      <c r="I932" s="239"/>
      <c r="J932" s="239"/>
      <c r="K932" s="239"/>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c r="AK932" s="239"/>
    </row>
    <row r="933">
      <c r="A933" s="239"/>
      <c r="B933" s="239"/>
      <c r="C933" s="239"/>
      <c r="D933" s="239"/>
      <c r="E933" s="239"/>
      <c r="F933" s="239"/>
      <c r="G933" s="239"/>
      <c r="H933" s="239"/>
      <c r="I933" s="239"/>
      <c r="J933" s="239"/>
      <c r="K933" s="239"/>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c r="AK933" s="239"/>
    </row>
    <row r="934">
      <c r="A934" s="239"/>
      <c r="B934" s="239"/>
      <c r="C934" s="239"/>
      <c r="D934" s="239"/>
      <c r="E934" s="239"/>
      <c r="F934" s="239"/>
      <c r="G934" s="239"/>
      <c r="H934" s="239"/>
      <c r="I934" s="239"/>
      <c r="J934" s="239"/>
      <c r="K934" s="239"/>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c r="AK934" s="239"/>
    </row>
    <row r="935">
      <c r="A935" s="239"/>
      <c r="B935" s="239"/>
      <c r="C935" s="239"/>
      <c r="D935" s="239"/>
      <c r="E935" s="239"/>
      <c r="F935" s="239"/>
      <c r="G935" s="239"/>
      <c r="H935" s="239"/>
      <c r="I935" s="239"/>
      <c r="J935" s="239"/>
      <c r="K935" s="239"/>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c r="AK935" s="239"/>
    </row>
    <row r="936">
      <c r="A936" s="239"/>
      <c r="B936" s="239"/>
      <c r="C936" s="239"/>
      <c r="D936" s="239"/>
      <c r="E936" s="239"/>
      <c r="F936" s="239"/>
      <c r="G936" s="239"/>
      <c r="H936" s="239"/>
      <c r="I936" s="239"/>
      <c r="J936" s="239"/>
      <c r="K936" s="239"/>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c r="AK936" s="239"/>
    </row>
    <row r="937">
      <c r="A937" s="239"/>
      <c r="B937" s="239"/>
      <c r="C937" s="239"/>
      <c r="D937" s="239"/>
      <c r="E937" s="239"/>
      <c r="F937" s="239"/>
      <c r="G937" s="239"/>
      <c r="H937" s="239"/>
      <c r="I937" s="239"/>
      <c r="J937" s="239"/>
      <c r="K937" s="239"/>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c r="AK937" s="239"/>
    </row>
    <row r="938">
      <c r="A938" s="239"/>
      <c r="B938" s="239"/>
      <c r="C938" s="239"/>
      <c r="D938" s="239"/>
      <c r="E938" s="239"/>
      <c r="F938" s="239"/>
      <c r="G938" s="239"/>
      <c r="H938" s="239"/>
      <c r="I938" s="239"/>
      <c r="J938" s="239"/>
      <c r="K938" s="239"/>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c r="AK938" s="239"/>
    </row>
    <row r="939">
      <c r="A939" s="239"/>
      <c r="B939" s="239"/>
      <c r="C939" s="239"/>
      <c r="D939" s="239"/>
      <c r="E939" s="239"/>
      <c r="F939" s="239"/>
      <c r="G939" s="239"/>
      <c r="H939" s="239"/>
      <c r="I939" s="239"/>
      <c r="J939" s="239"/>
      <c r="K939" s="239"/>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c r="AK939" s="239"/>
    </row>
    <row r="940">
      <c r="A940" s="239"/>
      <c r="B940" s="239"/>
      <c r="C940" s="239"/>
      <c r="D940" s="239"/>
      <c r="E940" s="239"/>
      <c r="F940" s="239"/>
      <c r="G940" s="239"/>
      <c r="H940" s="239"/>
      <c r="I940" s="239"/>
      <c r="J940" s="239"/>
      <c r="K940" s="239"/>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c r="AK940" s="239"/>
    </row>
    <row r="941">
      <c r="A941" s="239"/>
      <c r="B941" s="239"/>
      <c r="C941" s="239"/>
      <c r="D941" s="239"/>
      <c r="E941" s="239"/>
      <c r="F941" s="239"/>
      <c r="G941" s="239"/>
      <c r="H941" s="239"/>
      <c r="I941" s="239"/>
      <c r="J941" s="239"/>
      <c r="K941" s="239"/>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c r="AK941" s="239"/>
    </row>
    <row r="942">
      <c r="A942" s="239"/>
      <c r="B942" s="239"/>
      <c r="C942" s="239"/>
      <c r="D942" s="239"/>
      <c r="E942" s="239"/>
      <c r="F942" s="239"/>
      <c r="G942" s="239"/>
      <c r="H942" s="239"/>
      <c r="I942" s="239"/>
      <c r="J942" s="239"/>
      <c r="K942" s="239"/>
      <c r="L942" s="239"/>
      <c r="M942" s="239"/>
      <c r="N942" s="239"/>
      <c r="O942" s="239"/>
      <c r="P942" s="239"/>
      <c r="Q942" s="239"/>
      <c r="R942" s="239"/>
      <c r="S942" s="239"/>
      <c r="T942" s="239"/>
      <c r="U942" s="239"/>
      <c r="V942" s="239"/>
      <c r="W942" s="239"/>
      <c r="X942" s="239"/>
      <c r="Y942" s="239"/>
      <c r="Z942" s="239"/>
      <c r="AA942" s="239"/>
      <c r="AB942" s="239"/>
      <c r="AC942" s="239"/>
      <c r="AD942" s="239"/>
      <c r="AE942" s="239"/>
      <c r="AF942" s="239"/>
      <c r="AG942" s="239"/>
      <c r="AH942" s="239"/>
      <c r="AI942" s="239"/>
      <c r="AJ942" s="239"/>
      <c r="AK942" s="239"/>
    </row>
    <row r="943">
      <c r="A943" s="239"/>
      <c r="B943" s="239"/>
      <c r="C943" s="239"/>
      <c r="D943" s="239"/>
      <c r="E943" s="239"/>
      <c r="F943" s="239"/>
      <c r="G943" s="239"/>
      <c r="H943" s="239"/>
      <c r="I943" s="239"/>
      <c r="J943" s="239"/>
      <c r="K943" s="239"/>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c r="AK943" s="239"/>
    </row>
    <row r="944">
      <c r="A944" s="239"/>
      <c r="B944" s="239"/>
      <c r="C944" s="239"/>
      <c r="D944" s="239"/>
      <c r="E944" s="239"/>
      <c r="F944" s="239"/>
      <c r="G944" s="239"/>
      <c r="H944" s="239"/>
      <c r="I944" s="239"/>
      <c r="J944" s="239"/>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c r="AK944" s="239"/>
    </row>
    <row r="945">
      <c r="A945" s="239"/>
      <c r="B945" s="239"/>
      <c r="C945" s="239"/>
      <c r="D945" s="239"/>
      <c r="E945" s="239"/>
      <c r="F945" s="239"/>
      <c r="G945" s="239"/>
      <c r="H945" s="239"/>
      <c r="I945" s="239"/>
      <c r="J945" s="239"/>
      <c r="K945" s="239"/>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c r="AK945" s="239"/>
    </row>
    <row r="946">
      <c r="A946" s="239"/>
      <c r="B946" s="239"/>
      <c r="C946" s="239"/>
      <c r="D946" s="239"/>
      <c r="E946" s="239"/>
      <c r="F946" s="239"/>
      <c r="G946" s="239"/>
      <c r="H946" s="239"/>
      <c r="I946" s="239"/>
      <c r="J946" s="239"/>
      <c r="K946" s="239"/>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c r="AK946" s="239"/>
    </row>
    <row r="947">
      <c r="A947" s="239"/>
      <c r="B947" s="239"/>
      <c r="C947" s="239"/>
      <c r="D947" s="239"/>
      <c r="E947" s="239"/>
      <c r="F947" s="239"/>
      <c r="G947" s="239"/>
      <c r="H947" s="239"/>
      <c r="I947" s="239"/>
      <c r="J947" s="239"/>
      <c r="K947" s="239"/>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c r="AK947" s="239"/>
    </row>
    <row r="948">
      <c r="A948" s="239"/>
      <c r="B948" s="239"/>
      <c r="C948" s="239"/>
      <c r="D948" s="239"/>
      <c r="E948" s="239"/>
      <c r="F948" s="239"/>
      <c r="G948" s="239"/>
      <c r="H948" s="239"/>
      <c r="I948" s="239"/>
      <c r="J948" s="239"/>
      <c r="K948" s="239"/>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c r="AK948" s="239"/>
    </row>
    <row r="949">
      <c r="A949" s="239"/>
      <c r="B949" s="239"/>
      <c r="C949" s="239"/>
      <c r="D949" s="239"/>
      <c r="E949" s="239"/>
      <c r="F949" s="239"/>
      <c r="G949" s="239"/>
      <c r="H949" s="239"/>
      <c r="I949" s="239"/>
      <c r="J949" s="239"/>
      <c r="K949" s="239"/>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c r="AK949" s="239"/>
    </row>
    <row r="950">
      <c r="A950" s="239"/>
      <c r="B950" s="239"/>
      <c r="C950" s="239"/>
      <c r="D950" s="239"/>
      <c r="E950" s="239"/>
      <c r="F950" s="239"/>
      <c r="G950" s="239"/>
      <c r="H950" s="239"/>
      <c r="I950" s="239"/>
      <c r="J950" s="239"/>
      <c r="K950" s="239"/>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c r="AK950" s="239"/>
    </row>
    <row r="951">
      <c r="A951" s="239"/>
      <c r="B951" s="239"/>
      <c r="C951" s="239"/>
      <c r="D951" s="239"/>
      <c r="E951" s="239"/>
      <c r="F951" s="239"/>
      <c r="G951" s="239"/>
      <c r="H951" s="239"/>
      <c r="I951" s="239"/>
      <c r="J951" s="239"/>
      <c r="K951" s="239"/>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c r="AK951" s="239"/>
    </row>
    <row r="952">
      <c r="A952" s="239"/>
      <c r="B952" s="239"/>
      <c r="C952" s="239"/>
      <c r="D952" s="239"/>
      <c r="E952" s="239"/>
      <c r="F952" s="239"/>
      <c r="G952" s="239"/>
      <c r="H952" s="239"/>
      <c r="I952" s="239"/>
      <c r="J952" s="239"/>
      <c r="K952" s="239"/>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c r="AK952" s="239"/>
    </row>
    <row r="953">
      <c r="A953" s="239"/>
      <c r="B953" s="239"/>
      <c r="C953" s="239"/>
      <c r="D953" s="239"/>
      <c r="E953" s="239"/>
      <c r="F953" s="239"/>
      <c r="G953" s="239"/>
      <c r="H953" s="239"/>
      <c r="I953" s="239"/>
      <c r="J953" s="239"/>
      <c r="K953" s="239"/>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c r="AK953" s="239"/>
    </row>
    <row r="954">
      <c r="A954" s="239"/>
      <c r="B954" s="239"/>
      <c r="C954" s="239"/>
      <c r="D954" s="239"/>
      <c r="E954" s="239"/>
      <c r="F954" s="239"/>
      <c r="G954" s="239"/>
      <c r="H954" s="239"/>
      <c r="I954" s="239"/>
      <c r="J954" s="239"/>
      <c r="K954" s="239"/>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c r="AK954" s="239"/>
    </row>
    <row r="955">
      <c r="A955" s="239"/>
      <c r="B955" s="239"/>
      <c r="C955" s="239"/>
      <c r="D955" s="239"/>
      <c r="E955" s="239"/>
      <c r="F955" s="239"/>
      <c r="G955" s="239"/>
      <c r="H955" s="239"/>
      <c r="I955" s="239"/>
      <c r="J955" s="239"/>
      <c r="K955" s="239"/>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c r="AK955" s="239"/>
    </row>
    <row r="956">
      <c r="A956" s="239"/>
      <c r="B956" s="239"/>
      <c r="C956" s="239"/>
      <c r="D956" s="239"/>
      <c r="E956" s="239"/>
      <c r="F956" s="239"/>
      <c r="G956" s="239"/>
      <c r="H956" s="239"/>
      <c r="I956" s="239"/>
      <c r="J956" s="239"/>
      <c r="K956" s="239"/>
      <c r="L956" s="239"/>
      <c r="M956" s="239"/>
      <c r="N956" s="239"/>
      <c r="O956" s="239"/>
      <c r="P956" s="239"/>
      <c r="Q956" s="239"/>
      <c r="R956" s="239"/>
      <c r="S956" s="239"/>
      <c r="T956" s="239"/>
      <c r="U956" s="239"/>
      <c r="V956" s="239"/>
      <c r="W956" s="239"/>
      <c r="X956" s="239"/>
      <c r="Y956" s="239"/>
      <c r="Z956" s="239"/>
      <c r="AA956" s="239"/>
      <c r="AB956" s="239"/>
      <c r="AC956" s="239"/>
      <c r="AD956" s="239"/>
      <c r="AE956" s="239"/>
      <c r="AF956" s="239"/>
      <c r="AG956" s="239"/>
      <c r="AH956" s="239"/>
      <c r="AI956" s="239"/>
      <c r="AJ956" s="239"/>
      <c r="AK956" s="239"/>
    </row>
  </sheetData>
  <drawing r:id="rId1"/>
</worksheet>
</file>